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chael\Desktop\Data Analytics\"/>
    </mc:Choice>
  </mc:AlternateContent>
  <xr:revisionPtr revIDLastSave="0" documentId="8_{A773813E-15C1-48A8-9584-761C1CD63D58}" xr6:coauthVersionLast="45" xr6:coauthVersionMax="45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base_salary" sheetId="1" r:id="rId1"/>
    <sheet name="Sheet2" sheetId="7" r:id="rId2"/>
    <sheet name="deals_closed" sheetId="2" r:id="rId3"/>
    <sheet name="calculations" sheetId="6" r:id="rId4"/>
    <sheet name="2018_commission_structure" sheetId="3" r:id="rId5"/>
    <sheet name="benchmark_data" sheetId="4" r:id="rId6"/>
    <sheet name="Sheet1" sheetId="5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7" l="1"/>
  <c r="C6" i="7"/>
  <c r="T3" i="6" a="1"/>
  <c r="T3" i="6" s="1"/>
  <c r="T4" i="6" a="1"/>
  <c r="T4" i="6"/>
  <c r="T5" i="6" a="1"/>
  <c r="T5" i="6" s="1"/>
  <c r="T6" i="6" a="1"/>
  <c r="T6" i="6"/>
  <c r="T7" i="6" a="1"/>
  <c r="T7" i="6" s="1"/>
  <c r="T8" i="6" a="1"/>
  <c r="T8" i="6" s="1"/>
  <c r="T9" i="6" a="1"/>
  <c r="T9" i="6" s="1"/>
  <c r="T10" i="6" a="1"/>
  <c r="T10" i="6"/>
  <c r="T11" i="6" a="1"/>
  <c r="T11" i="6" s="1"/>
  <c r="T12" i="6" a="1"/>
  <c r="T12" i="6"/>
  <c r="T13" i="6" a="1"/>
  <c r="T13" i="6" s="1"/>
  <c r="T14" i="6" a="1"/>
  <c r="T14" i="6" s="1"/>
  <c r="T15" i="6" a="1"/>
  <c r="T15" i="6" s="1"/>
  <c r="T16" i="6" a="1"/>
  <c r="T16" i="6" s="1"/>
  <c r="T17" i="6" a="1"/>
  <c r="T17" i="6" s="1"/>
  <c r="T18" i="6" a="1"/>
  <c r="T18" i="6" s="1"/>
  <c r="T19" i="6" a="1"/>
  <c r="T19" i="6" s="1"/>
  <c r="T20" i="6" a="1"/>
  <c r="T20" i="6"/>
  <c r="T21" i="6" a="1"/>
  <c r="T21" i="6" s="1"/>
  <c r="T22" i="6" a="1"/>
  <c r="T22" i="6" s="1"/>
  <c r="T23" i="6" a="1"/>
  <c r="T23" i="6" s="1"/>
  <c r="T24" i="6" a="1"/>
  <c r="T24" i="6" s="1"/>
  <c r="T25" i="6" a="1"/>
  <c r="T25" i="6" s="1"/>
  <c r="T26" i="6" a="1"/>
  <c r="T26" i="6"/>
  <c r="T27" i="6" a="1"/>
  <c r="T27" i="6" s="1"/>
  <c r="T28" i="6" a="1"/>
  <c r="T28" i="6"/>
  <c r="T29" i="6" a="1"/>
  <c r="T29" i="6" s="1"/>
  <c r="T30" i="6" a="1"/>
  <c r="T30" i="6" s="1"/>
  <c r="T31" i="6" a="1"/>
  <c r="T31" i="6" s="1"/>
  <c r="T32" i="6" a="1"/>
  <c r="T32" i="6" s="1"/>
  <c r="T33" i="6" a="1"/>
  <c r="T33" i="6" s="1"/>
  <c r="T34" i="6" a="1"/>
  <c r="T34" i="6" s="1"/>
  <c r="T35" i="6" a="1"/>
  <c r="T35" i="6" s="1"/>
  <c r="T36" i="6" a="1"/>
  <c r="T36" i="6"/>
  <c r="T37" i="6" a="1"/>
  <c r="T37" i="6" s="1"/>
  <c r="T38" i="6" a="1"/>
  <c r="T38" i="6" s="1"/>
  <c r="T39" i="6" a="1"/>
  <c r="T39" i="6" s="1"/>
  <c r="T40" i="6" a="1"/>
  <c r="T40" i="6" s="1"/>
  <c r="T41" i="6" a="1"/>
  <c r="T41" i="6" s="1"/>
  <c r="T42" i="6" a="1"/>
  <c r="T42" i="6"/>
  <c r="T43" i="6" a="1"/>
  <c r="T43" i="6" s="1"/>
  <c r="T44" i="6" a="1"/>
  <c r="T44" i="6"/>
  <c r="T45" i="6" a="1"/>
  <c r="T45" i="6" s="1"/>
  <c r="T46" i="6" a="1"/>
  <c r="T46" i="6" s="1"/>
  <c r="T47" i="6" a="1"/>
  <c r="T47" i="6" s="1"/>
  <c r="T48" i="6" a="1"/>
  <c r="T48" i="6" s="1"/>
  <c r="T49" i="6" a="1"/>
  <c r="T49" i="6" s="1"/>
  <c r="T50" i="6" a="1"/>
  <c r="T50" i="6" s="1"/>
  <c r="T51" i="6" a="1"/>
  <c r="T51" i="6" s="1"/>
  <c r="T52" i="6" a="1"/>
  <c r="T52" i="6"/>
  <c r="T53" i="6" a="1"/>
  <c r="T53" i="6" s="1"/>
  <c r="T54" i="6" a="1"/>
  <c r="T54" i="6" s="1"/>
  <c r="T55" i="6" a="1"/>
  <c r="T55" i="6" s="1"/>
  <c r="T56" i="6" a="1"/>
  <c r="T56" i="6" s="1"/>
  <c r="T57" i="6" a="1"/>
  <c r="T57" i="6" s="1"/>
  <c r="T58" i="6" a="1"/>
  <c r="T58" i="6"/>
  <c r="T59" i="6" a="1"/>
  <c r="T59" i="6" s="1"/>
  <c r="T60" i="6" a="1"/>
  <c r="T60" i="6"/>
  <c r="T61" i="6" a="1"/>
  <c r="T61" i="6" s="1"/>
  <c r="T62" i="6" a="1"/>
  <c r="T62" i="6" s="1"/>
  <c r="T63" i="6" a="1"/>
  <c r="T63" i="6" s="1"/>
  <c r="T64" i="6" a="1"/>
  <c r="T64" i="6" s="1"/>
  <c r="T65" i="6" a="1"/>
  <c r="T65" i="6" s="1"/>
  <c r="T66" i="6" a="1"/>
  <c r="T66" i="6" s="1"/>
  <c r="T67" i="6" a="1"/>
  <c r="T67" i="6" s="1"/>
  <c r="T68" i="6" a="1"/>
  <c r="T68" i="6"/>
  <c r="T69" i="6" a="1"/>
  <c r="T69" i="6" s="1"/>
  <c r="T70" i="6" a="1"/>
  <c r="T70" i="6" s="1"/>
  <c r="T71" i="6" a="1"/>
  <c r="T71" i="6" s="1"/>
  <c r="T72" i="6" a="1"/>
  <c r="T72" i="6" s="1"/>
  <c r="T73" i="6" a="1"/>
  <c r="T73" i="6" s="1"/>
  <c r="T74" i="6" a="1"/>
  <c r="T74" i="6"/>
  <c r="T75" i="6" a="1"/>
  <c r="T75" i="6" s="1"/>
  <c r="T76" i="6" a="1"/>
  <c r="T76" i="6"/>
  <c r="T77" i="6" a="1"/>
  <c r="T77" i="6" s="1"/>
  <c r="T78" i="6" a="1"/>
  <c r="T78" i="6" s="1"/>
  <c r="T79" i="6" a="1"/>
  <c r="T79" i="6" s="1"/>
  <c r="T80" i="6" a="1"/>
  <c r="T80" i="6" s="1"/>
  <c r="T81" i="6" a="1"/>
  <c r="T81" i="6" s="1"/>
  <c r="T82" i="6" a="1"/>
  <c r="T82" i="6" s="1"/>
  <c r="T83" i="6" a="1"/>
  <c r="T83" i="6" s="1"/>
  <c r="T84" i="6" a="1"/>
  <c r="T84" i="6"/>
  <c r="T85" i="6" a="1"/>
  <c r="T85" i="6" s="1"/>
  <c r="T86" i="6" a="1"/>
  <c r="T86" i="6" s="1"/>
  <c r="T87" i="6" a="1"/>
  <c r="T87" i="6" s="1"/>
  <c r="T88" i="6" a="1"/>
  <c r="T88" i="6" s="1"/>
  <c r="T89" i="6" a="1"/>
  <c r="T89" i="6" s="1"/>
  <c r="T90" i="6" a="1"/>
  <c r="T90" i="6"/>
  <c r="T91" i="6" a="1"/>
  <c r="T91" i="6" s="1"/>
  <c r="T92" i="6" a="1"/>
  <c r="T92" i="6"/>
  <c r="T93" i="6" a="1"/>
  <c r="T93" i="6" s="1"/>
  <c r="T94" i="6" a="1"/>
  <c r="T94" i="6" s="1"/>
  <c r="T95" i="6" a="1"/>
  <c r="T95" i="6" s="1"/>
  <c r="T96" i="6" a="1"/>
  <c r="T96" i="6" s="1"/>
  <c r="T97" i="6" a="1"/>
  <c r="T97" i="6" s="1"/>
  <c r="T98" i="6" a="1"/>
  <c r="T98" i="6" s="1"/>
  <c r="T99" i="6" a="1"/>
  <c r="T99" i="6" s="1"/>
  <c r="T100" i="6" a="1"/>
  <c r="T100" i="6"/>
  <c r="T101" i="6" a="1"/>
  <c r="T101" i="6" s="1"/>
  <c r="T102" i="6" a="1"/>
  <c r="T102" i="6" s="1"/>
  <c r="T103" i="6" a="1"/>
  <c r="T103" i="6" s="1"/>
  <c r="T104" i="6" a="1"/>
  <c r="T104" i="6" s="1"/>
  <c r="T105" i="6" a="1"/>
  <c r="T105" i="6" s="1"/>
  <c r="T106" i="6" a="1"/>
  <c r="T106" i="6"/>
  <c r="T107" i="6" a="1"/>
  <c r="T107" i="6" s="1"/>
  <c r="T108" i="6" a="1"/>
  <c r="T108" i="6"/>
  <c r="T109" i="6" a="1"/>
  <c r="T109" i="6" s="1"/>
  <c r="T110" i="6" a="1"/>
  <c r="T110" i="6" s="1"/>
  <c r="T111" i="6" a="1"/>
  <c r="T111" i="6" s="1"/>
  <c r="T112" i="6" a="1"/>
  <c r="T112" i="6" s="1"/>
  <c r="T113" i="6" a="1"/>
  <c r="T113" i="6" s="1"/>
  <c r="T114" i="6" a="1"/>
  <c r="T114" i="6" s="1"/>
  <c r="T115" i="6" a="1"/>
  <c r="T115" i="6" s="1"/>
  <c r="T116" i="6" a="1"/>
  <c r="T116" i="6"/>
  <c r="T117" i="6" a="1"/>
  <c r="T117" i="6" s="1"/>
  <c r="T118" i="6" a="1"/>
  <c r="T118" i="6" s="1"/>
  <c r="T119" i="6" a="1"/>
  <c r="T119" i="6" s="1"/>
  <c r="T120" i="6" a="1"/>
  <c r="T120" i="6" s="1"/>
  <c r="T121" i="6" a="1"/>
  <c r="T121" i="6" s="1"/>
  <c r="T122" i="6" a="1"/>
  <c r="T122" i="6"/>
  <c r="T123" i="6" a="1"/>
  <c r="T123" i="6" s="1"/>
  <c r="T124" i="6" a="1"/>
  <c r="T124" i="6"/>
  <c r="T125" i="6" a="1"/>
  <c r="T125" i="6" s="1"/>
  <c r="T126" i="6" a="1"/>
  <c r="T126" i="6" s="1"/>
  <c r="T127" i="6" a="1"/>
  <c r="T127" i="6" s="1"/>
  <c r="T128" i="6" a="1"/>
  <c r="T128" i="6" s="1"/>
  <c r="T129" i="6" a="1"/>
  <c r="T129" i="6" s="1"/>
  <c r="T130" i="6" a="1"/>
  <c r="T130" i="6" s="1"/>
  <c r="T131" i="6" a="1"/>
  <c r="T131" i="6" s="1"/>
  <c r="T132" i="6" a="1"/>
  <c r="T132" i="6"/>
  <c r="T133" i="6" a="1"/>
  <c r="T133" i="6" s="1"/>
  <c r="T134" i="6" a="1"/>
  <c r="T134" i="6" s="1"/>
  <c r="T135" i="6" a="1"/>
  <c r="T135" i="6" s="1"/>
  <c r="T136" i="6" a="1"/>
  <c r="T136" i="6" s="1"/>
  <c r="T137" i="6" a="1"/>
  <c r="T137" i="6" s="1"/>
  <c r="T138" i="6" a="1"/>
  <c r="T138" i="6"/>
  <c r="T139" i="6" a="1"/>
  <c r="T139" i="6" s="1"/>
  <c r="T140" i="6" a="1"/>
  <c r="T140" i="6"/>
  <c r="T141" i="6" a="1"/>
  <c r="T141" i="6" s="1"/>
  <c r="T142" i="6" a="1"/>
  <c r="T142" i="6" s="1"/>
  <c r="T143" i="6" a="1"/>
  <c r="T143" i="6" s="1"/>
  <c r="T144" i="6" a="1"/>
  <c r="T144" i="6" s="1"/>
  <c r="T145" i="6" a="1"/>
  <c r="T145" i="6" s="1"/>
  <c r="T146" i="6" a="1"/>
  <c r="T146" i="6" s="1"/>
  <c r="T147" i="6" a="1"/>
  <c r="T147" i="6" s="1"/>
  <c r="T148" i="6" a="1"/>
  <c r="T148" i="6"/>
  <c r="T149" i="6" a="1"/>
  <c r="T149" i="6" s="1"/>
  <c r="T150" i="6" a="1"/>
  <c r="T150" i="6" s="1"/>
  <c r="T151" i="6" a="1"/>
  <c r="T151" i="6" s="1"/>
  <c r="T152" i="6" a="1"/>
  <c r="T152" i="6" s="1"/>
  <c r="T153" i="6" a="1"/>
  <c r="T153" i="6" s="1"/>
  <c r="T154" i="6" a="1"/>
  <c r="T154" i="6"/>
  <c r="T155" i="6" a="1"/>
  <c r="T155" i="6" s="1"/>
  <c r="T156" i="6" a="1"/>
  <c r="T156" i="6"/>
  <c r="T157" i="6" a="1"/>
  <c r="T157" i="6" s="1"/>
  <c r="T158" i="6" a="1"/>
  <c r="T158" i="6" s="1"/>
  <c r="T159" i="6" a="1"/>
  <c r="T159" i="6" s="1"/>
  <c r="T160" i="6" a="1"/>
  <c r="T160" i="6" s="1"/>
  <c r="T161" i="6" a="1"/>
  <c r="T161" i="6" s="1"/>
  <c r="T162" i="6" a="1"/>
  <c r="T162" i="6" s="1"/>
  <c r="T163" i="6" a="1"/>
  <c r="T163" i="6" s="1"/>
  <c r="T164" i="6" a="1"/>
  <c r="T164" i="6"/>
  <c r="T165" i="6" a="1"/>
  <c r="T165" i="6" s="1"/>
  <c r="T166" i="6" a="1"/>
  <c r="T166" i="6" s="1"/>
  <c r="T167" i="6" a="1"/>
  <c r="T167" i="6" s="1"/>
  <c r="T168" i="6" a="1"/>
  <c r="T168" i="6" s="1"/>
  <c r="T169" i="6" a="1"/>
  <c r="T169" i="6" s="1"/>
  <c r="T170" i="6" a="1"/>
  <c r="T170" i="6"/>
  <c r="T171" i="6" a="1"/>
  <c r="T171" i="6" s="1"/>
  <c r="T172" i="6" a="1"/>
  <c r="T172" i="6"/>
  <c r="T173" i="6" a="1"/>
  <c r="T173" i="6" s="1"/>
  <c r="T174" i="6" a="1"/>
  <c r="T174" i="6"/>
  <c r="T175" i="6" a="1"/>
  <c r="T175" i="6" s="1"/>
  <c r="T176" i="6" a="1"/>
  <c r="T176" i="6"/>
  <c r="T177" i="6" a="1"/>
  <c r="T177" i="6" s="1"/>
  <c r="T178" i="6" a="1"/>
  <c r="T178" i="6"/>
  <c r="T179" i="6" a="1"/>
  <c r="T179" i="6" s="1"/>
  <c r="T180" i="6" a="1"/>
  <c r="T180" i="6"/>
  <c r="T181" i="6" a="1"/>
  <c r="T181" i="6" s="1"/>
  <c r="T182" i="6" a="1"/>
  <c r="T182" i="6"/>
  <c r="T183" i="6" a="1"/>
  <c r="T183" i="6" s="1"/>
  <c r="T184" i="6" a="1"/>
  <c r="T184" i="6"/>
  <c r="T185" i="6" a="1"/>
  <c r="T185" i="6" s="1"/>
  <c r="T186" i="6" a="1"/>
  <c r="T186" i="6"/>
  <c r="T187" i="6" a="1"/>
  <c r="T187" i="6" s="1"/>
  <c r="T188" i="6" a="1"/>
  <c r="T188" i="6"/>
  <c r="T189" i="6" a="1"/>
  <c r="T189" i="6" s="1"/>
  <c r="T190" i="6" a="1"/>
  <c r="T190" i="6"/>
  <c r="T191" i="6" a="1"/>
  <c r="T191" i="6" s="1"/>
  <c r="T192" i="6" a="1"/>
  <c r="T192" i="6"/>
  <c r="T193" i="6" a="1"/>
  <c r="T193" i="6" s="1"/>
  <c r="T194" i="6" a="1"/>
  <c r="T194" i="6"/>
  <c r="T195" i="6" a="1"/>
  <c r="T195" i="6" s="1"/>
  <c r="T196" i="6" a="1"/>
  <c r="T196" i="6"/>
  <c r="T197" i="6" a="1"/>
  <c r="T197" i="6" s="1"/>
  <c r="T198" i="6" a="1"/>
  <c r="T198" i="6"/>
  <c r="T199" i="6" a="1"/>
  <c r="T199" i="6" s="1"/>
  <c r="T200" i="6" a="1"/>
  <c r="T200" i="6"/>
  <c r="T201" i="6" a="1"/>
  <c r="T201" i="6" s="1"/>
  <c r="T202" i="6" a="1"/>
  <c r="T202" i="6"/>
  <c r="T203" i="6" a="1"/>
  <c r="T203" i="6" s="1"/>
  <c r="T204" i="6" a="1"/>
  <c r="T204" i="6"/>
  <c r="T205" i="6" a="1"/>
  <c r="T205" i="6" s="1"/>
  <c r="T206" i="6" a="1"/>
  <c r="T206" i="6"/>
  <c r="T207" i="6" a="1"/>
  <c r="T207" i="6" s="1"/>
  <c r="T208" i="6" a="1"/>
  <c r="T208" i="6"/>
  <c r="T209" i="6" a="1"/>
  <c r="T209" i="6" s="1"/>
  <c r="T210" i="6" a="1"/>
  <c r="T210" i="6"/>
  <c r="T211" i="6" a="1"/>
  <c r="T211" i="6" s="1"/>
  <c r="T212" i="6" a="1"/>
  <c r="T212" i="6" s="1"/>
  <c r="T213" i="6" a="1"/>
  <c r="T213" i="6" s="1"/>
  <c r="T214" i="6" a="1"/>
  <c r="T214" i="6" s="1"/>
  <c r="T215" i="6" a="1"/>
  <c r="T215" i="6" s="1"/>
  <c r="T216" i="6" a="1"/>
  <c r="T216" i="6"/>
  <c r="T217" i="6" a="1"/>
  <c r="T217" i="6" s="1"/>
  <c r="T218" i="6" a="1"/>
  <c r="T218" i="6"/>
  <c r="T219" i="6" a="1"/>
  <c r="T219" i="6" s="1"/>
  <c r="T220" i="6" a="1"/>
  <c r="T220" i="6" s="1"/>
  <c r="T221" i="6" a="1"/>
  <c r="T221" i="6" s="1"/>
  <c r="T222" i="6" a="1"/>
  <c r="T222" i="6" s="1"/>
  <c r="T223" i="6" a="1"/>
  <c r="T223" i="6" s="1"/>
  <c r="T224" i="6" a="1"/>
  <c r="T224" i="6" s="1"/>
  <c r="T225" i="6" a="1"/>
  <c r="T225" i="6" s="1"/>
  <c r="T226" i="6" a="1"/>
  <c r="T226" i="6"/>
  <c r="T227" i="6" a="1"/>
  <c r="T227" i="6" s="1"/>
  <c r="T228" i="6" a="1"/>
  <c r="T228" i="6" s="1"/>
  <c r="T229" i="6" a="1"/>
  <c r="T229" i="6" s="1"/>
  <c r="T230" i="6" a="1"/>
  <c r="T230" i="6" s="1"/>
  <c r="T231" i="6" a="1"/>
  <c r="T231" i="6" s="1"/>
  <c r="T232" i="6" a="1"/>
  <c r="T232" i="6"/>
  <c r="T233" i="6" a="1"/>
  <c r="T233" i="6" s="1"/>
  <c r="T234" i="6" a="1"/>
  <c r="T234" i="6"/>
  <c r="T235" i="6" a="1"/>
  <c r="T235" i="6" s="1"/>
  <c r="T236" i="6" a="1"/>
  <c r="T236" i="6" s="1"/>
  <c r="T237" i="6" a="1"/>
  <c r="T237" i="6" s="1"/>
  <c r="T238" i="6" a="1"/>
  <c r="T238" i="6" s="1"/>
  <c r="T239" i="6" a="1"/>
  <c r="T239" i="6" s="1"/>
  <c r="T240" i="6" a="1"/>
  <c r="T240" i="6" s="1"/>
  <c r="T241" i="6" a="1"/>
  <c r="T241" i="6" s="1"/>
  <c r="T242" i="6" a="1"/>
  <c r="T242" i="6"/>
  <c r="T243" i="6" a="1"/>
  <c r="T243" i="6" s="1"/>
  <c r="T244" i="6" a="1"/>
  <c r="T244" i="6" s="1"/>
  <c r="T245" i="6" a="1"/>
  <c r="T245" i="6" s="1"/>
  <c r="T246" i="6" a="1"/>
  <c r="T246" i="6" s="1"/>
  <c r="T247" i="6" a="1"/>
  <c r="T247" i="6" s="1"/>
  <c r="T248" i="6" a="1"/>
  <c r="T248" i="6" s="1"/>
  <c r="T249" i="6" a="1"/>
  <c r="T249" i="6" s="1"/>
  <c r="T250" i="6" a="1"/>
  <c r="T250" i="6"/>
  <c r="T251" i="6" a="1"/>
  <c r="T251" i="6" s="1"/>
  <c r="T252" i="6" a="1"/>
  <c r="T252" i="6" s="1"/>
  <c r="T253" i="6" a="1"/>
  <c r="T253" i="6" s="1"/>
  <c r="T254" i="6" a="1"/>
  <c r="T254" i="6" s="1"/>
  <c r="T255" i="6" a="1"/>
  <c r="T255" i="6" s="1"/>
  <c r="T256" i="6" a="1"/>
  <c r="T256" i="6" s="1"/>
  <c r="T257" i="6" a="1"/>
  <c r="T257" i="6" s="1"/>
  <c r="T258" i="6" a="1"/>
  <c r="T258" i="6"/>
  <c r="T259" i="6" a="1"/>
  <c r="T259" i="6" s="1"/>
  <c r="T260" i="6" a="1"/>
  <c r="T260" i="6" s="1"/>
  <c r="T261" i="6" a="1"/>
  <c r="T261" i="6" s="1"/>
  <c r="T262" i="6" a="1"/>
  <c r="T262" i="6" s="1"/>
  <c r="T263" i="6" a="1"/>
  <c r="T263" i="6" s="1"/>
  <c r="T264" i="6" a="1"/>
  <c r="T264" i="6" s="1"/>
  <c r="T265" i="6" a="1"/>
  <c r="T265" i="6" s="1"/>
  <c r="T266" i="6" a="1"/>
  <c r="T266" i="6"/>
  <c r="T267" i="6" a="1"/>
  <c r="T267" i="6" s="1"/>
  <c r="T268" i="6" a="1"/>
  <c r="T268" i="6" s="1"/>
  <c r="T269" i="6" a="1"/>
  <c r="T269" i="6" s="1"/>
  <c r="T270" i="6" a="1"/>
  <c r="T270" i="6" s="1"/>
  <c r="T271" i="6" a="1"/>
  <c r="T271" i="6" s="1"/>
  <c r="T272" i="6" a="1"/>
  <c r="T272" i="6" s="1"/>
  <c r="T273" i="6" a="1"/>
  <c r="T273" i="6" s="1"/>
  <c r="T274" i="6" a="1"/>
  <c r="T274" i="6"/>
  <c r="T275" i="6" a="1"/>
  <c r="T275" i="6" s="1"/>
  <c r="T276" i="6" a="1"/>
  <c r="T276" i="6" s="1"/>
  <c r="T277" i="6" a="1"/>
  <c r="T277" i="6" s="1"/>
  <c r="T278" i="6" a="1"/>
  <c r="T278" i="6" s="1"/>
  <c r="T279" i="6" a="1"/>
  <c r="T279" i="6" s="1"/>
  <c r="T280" i="6" a="1"/>
  <c r="T280" i="6"/>
  <c r="T281" i="6" a="1"/>
  <c r="T281" i="6" s="1"/>
  <c r="T282" i="6" a="1"/>
  <c r="T282" i="6"/>
  <c r="T283" i="6" a="1"/>
  <c r="T283" i="6" s="1"/>
  <c r="T284" i="6" a="1"/>
  <c r="T284" i="6" s="1"/>
  <c r="T285" i="6" a="1"/>
  <c r="T285" i="6" s="1"/>
  <c r="T286" i="6" a="1"/>
  <c r="T286" i="6" s="1"/>
  <c r="T287" i="6" a="1"/>
  <c r="T287" i="6" s="1"/>
  <c r="T288" i="6" a="1"/>
  <c r="T288" i="6" s="1"/>
  <c r="T289" i="6" a="1"/>
  <c r="T289" i="6" s="1"/>
  <c r="T290" i="6" a="1"/>
  <c r="T290" i="6"/>
  <c r="T291" i="6" a="1"/>
  <c r="T291" i="6" s="1"/>
  <c r="T292" i="6" a="1"/>
  <c r="T292" i="6" s="1"/>
  <c r="T293" i="6" a="1"/>
  <c r="T293" i="6" s="1"/>
  <c r="T294" i="6" a="1"/>
  <c r="T294" i="6" s="1"/>
  <c r="T295" i="6" a="1"/>
  <c r="T295" i="6" s="1"/>
  <c r="T296" i="6" a="1"/>
  <c r="T296" i="6"/>
  <c r="T297" i="6" a="1"/>
  <c r="T297" i="6" s="1"/>
  <c r="T298" i="6" a="1"/>
  <c r="T298" i="6"/>
  <c r="T299" i="6" a="1"/>
  <c r="T299" i="6" s="1"/>
  <c r="T300" i="6" a="1"/>
  <c r="T300" i="6" s="1"/>
  <c r="T301" i="6" a="1"/>
  <c r="T301" i="6"/>
  <c r="T302" i="6" a="1"/>
  <c r="T302" i="6" s="1"/>
  <c r="T303" i="6" a="1"/>
  <c r="T303" i="6" s="1"/>
  <c r="T304" i="6" a="1"/>
  <c r="T304" i="6" s="1"/>
  <c r="T305" i="6" a="1"/>
  <c r="T305" i="6" s="1"/>
  <c r="T306" i="6" a="1"/>
  <c r="T306" i="6" s="1"/>
  <c r="T307" i="6" a="1"/>
  <c r="T307" i="6" s="1"/>
  <c r="T308" i="6" a="1"/>
  <c r="T308" i="6" s="1"/>
  <c r="T309" i="6" a="1"/>
  <c r="T309" i="6"/>
  <c r="T310" i="6" a="1"/>
  <c r="T310" i="6" s="1"/>
  <c r="T311" i="6" a="1"/>
  <c r="T311" i="6" s="1"/>
  <c r="T312" i="6" a="1"/>
  <c r="T312" i="6" s="1"/>
  <c r="T313" i="6" a="1"/>
  <c r="T313" i="6" s="1"/>
  <c r="T314" i="6" a="1"/>
  <c r="T314" i="6" s="1"/>
  <c r="T315" i="6" a="1"/>
  <c r="T315" i="6"/>
  <c r="T316" i="6" a="1"/>
  <c r="T316" i="6" s="1"/>
  <c r="T317" i="6" a="1"/>
  <c r="T317" i="6"/>
  <c r="T318" i="6" a="1"/>
  <c r="T318" i="6" s="1"/>
  <c r="T319" i="6" a="1"/>
  <c r="T319" i="6" s="1"/>
  <c r="T320" i="6" a="1"/>
  <c r="T320" i="6" s="1"/>
  <c r="T321" i="6" a="1"/>
  <c r="T321" i="6" s="1"/>
  <c r="T322" i="6" a="1"/>
  <c r="T322" i="6" s="1"/>
  <c r="T323" i="6" a="1"/>
  <c r="T323" i="6" s="1"/>
  <c r="T324" i="6" a="1"/>
  <c r="T324" i="6" s="1"/>
  <c r="T325" i="6" a="1"/>
  <c r="T325" i="6"/>
  <c r="T326" i="6" a="1"/>
  <c r="T326" i="6" s="1"/>
  <c r="T327" i="6" a="1"/>
  <c r="T327" i="6" s="1"/>
  <c r="T328" i="6" a="1"/>
  <c r="T328" i="6" s="1"/>
  <c r="T329" i="6" a="1"/>
  <c r="T329" i="6" s="1"/>
  <c r="T330" i="6" a="1"/>
  <c r="T330" i="6" s="1"/>
  <c r="T331" i="6" a="1"/>
  <c r="T331" i="6"/>
  <c r="T332" i="6" a="1"/>
  <c r="T332" i="6" s="1"/>
  <c r="T333" i="6" a="1"/>
  <c r="T333" i="6"/>
  <c r="T334" i="6" a="1"/>
  <c r="T334" i="6" s="1"/>
  <c r="T335" i="6" a="1"/>
  <c r="T335" i="6" s="1"/>
  <c r="T336" i="6" a="1"/>
  <c r="T336" i="6" s="1"/>
  <c r="T337" i="6" a="1"/>
  <c r="T337" i="6" s="1"/>
  <c r="T338" i="6" a="1"/>
  <c r="T338" i="6" s="1"/>
  <c r="T339" i="6" a="1"/>
  <c r="T339" i="6" s="1"/>
  <c r="T340" i="6" a="1"/>
  <c r="T340" i="6" s="1"/>
  <c r="T341" i="6" a="1"/>
  <c r="T341" i="6"/>
  <c r="T342" i="6" a="1"/>
  <c r="T342" i="6" s="1"/>
  <c r="T343" i="6" a="1"/>
  <c r="T343" i="6" s="1"/>
  <c r="T344" i="6" a="1"/>
  <c r="T344" i="6" s="1"/>
  <c r="T345" i="6" a="1"/>
  <c r="T345" i="6" s="1"/>
  <c r="T346" i="6" a="1"/>
  <c r="T346" i="6" s="1"/>
  <c r="T347" i="6" a="1"/>
  <c r="T347" i="6"/>
  <c r="T348" i="6" a="1"/>
  <c r="T348" i="6" s="1"/>
  <c r="T349" i="6" a="1"/>
  <c r="T349" i="6"/>
  <c r="T350" i="6" a="1"/>
  <c r="T350" i="6" s="1"/>
  <c r="T351" i="6" a="1"/>
  <c r="T351" i="6" s="1"/>
  <c r="T352" i="6" a="1"/>
  <c r="T352" i="6" s="1"/>
  <c r="T353" i="6" a="1"/>
  <c r="T353" i="6" s="1"/>
  <c r="T354" i="6" a="1"/>
  <c r="T354" i="6" s="1"/>
  <c r="T355" i="6" a="1"/>
  <c r="T355" i="6" s="1"/>
  <c r="T356" i="6" a="1"/>
  <c r="T356" i="6" s="1"/>
  <c r="T357" i="6" a="1"/>
  <c r="T357" i="6"/>
  <c r="T358" i="6" a="1"/>
  <c r="T358" i="6" s="1"/>
  <c r="T359" i="6" a="1"/>
  <c r="T359" i="6" s="1"/>
  <c r="T360" i="6" a="1"/>
  <c r="T360" i="6" s="1"/>
  <c r="T361" i="6" a="1"/>
  <c r="T361" i="6" s="1"/>
  <c r="T362" i="6" a="1"/>
  <c r="T362" i="6" s="1"/>
  <c r="T363" i="6" a="1"/>
  <c r="T363" i="6"/>
  <c r="T364" i="6" a="1"/>
  <c r="T364" i="6" s="1"/>
  <c r="T365" i="6" a="1"/>
  <c r="T365" i="6"/>
  <c r="T366" i="6" a="1"/>
  <c r="T366" i="6" s="1"/>
  <c r="T367" i="6" a="1"/>
  <c r="T367" i="6" s="1"/>
  <c r="T368" i="6" a="1"/>
  <c r="T368" i="6" s="1"/>
  <c r="T369" i="6" a="1"/>
  <c r="T369" i="6" s="1"/>
  <c r="T370" i="6" a="1"/>
  <c r="T370" i="6" s="1"/>
  <c r="T371" i="6" a="1"/>
  <c r="T371" i="6" s="1"/>
  <c r="T372" i="6" a="1"/>
  <c r="T372" i="6" s="1"/>
  <c r="T373" i="6" a="1"/>
  <c r="T373" i="6"/>
  <c r="T374" i="6" a="1"/>
  <c r="T374" i="6" s="1"/>
  <c r="T375" i="6" a="1"/>
  <c r="T375" i="6" s="1"/>
  <c r="T376" i="6" a="1"/>
  <c r="T376" i="6" s="1"/>
  <c r="T377" i="6" a="1"/>
  <c r="T377" i="6" s="1"/>
  <c r="T378" i="6" a="1"/>
  <c r="T378" i="6" s="1"/>
  <c r="T379" i="6" a="1"/>
  <c r="T379" i="6"/>
  <c r="T380" i="6" a="1"/>
  <c r="T380" i="6" s="1"/>
  <c r="T381" i="6" a="1"/>
  <c r="T381" i="6"/>
  <c r="T382" i="6" a="1"/>
  <c r="T382" i="6" s="1"/>
  <c r="T383" i="6" a="1"/>
  <c r="T383" i="6" s="1"/>
  <c r="T384" i="6" a="1"/>
  <c r="T384" i="6" s="1"/>
  <c r="T385" i="6" a="1"/>
  <c r="T385" i="6" s="1"/>
  <c r="T386" i="6" a="1"/>
  <c r="T386" i="6" s="1"/>
  <c r="T387" i="6" a="1"/>
  <c r="T387" i="6" s="1"/>
  <c r="T388" i="6" a="1"/>
  <c r="T388" i="6" s="1"/>
  <c r="T389" i="6" a="1"/>
  <c r="T389" i="6"/>
  <c r="T390" i="6" a="1"/>
  <c r="T390" i="6" s="1"/>
  <c r="T391" i="6" a="1"/>
  <c r="T391" i="6" s="1"/>
  <c r="T392" i="6" a="1"/>
  <c r="T392" i="6" s="1"/>
  <c r="T393" i="6" a="1"/>
  <c r="T393" i="6" s="1"/>
  <c r="T394" i="6" a="1"/>
  <c r="T394" i="6" s="1"/>
  <c r="T395" i="6" a="1"/>
  <c r="T395" i="6"/>
  <c r="T396" i="6" a="1"/>
  <c r="T396" i="6" s="1"/>
  <c r="T397" i="6" a="1"/>
  <c r="T397" i="6"/>
  <c r="T398" i="6" a="1"/>
  <c r="T398" i="6" s="1"/>
  <c r="T399" i="6" a="1"/>
  <c r="T399" i="6" s="1"/>
  <c r="T400" i="6" a="1"/>
  <c r="T400" i="6" s="1"/>
  <c r="T401" i="6" a="1"/>
  <c r="T401" i="6" s="1"/>
  <c r="T402" i="6" a="1"/>
  <c r="T402" i="6" s="1"/>
  <c r="T403" i="6" a="1"/>
  <c r="T403" i="6" s="1"/>
  <c r="T404" i="6" a="1"/>
  <c r="T404" i="6" s="1"/>
  <c r="T405" i="6" a="1"/>
  <c r="T405" i="6"/>
  <c r="T406" i="6" a="1"/>
  <c r="T406" i="6" s="1"/>
  <c r="T407" i="6" a="1"/>
  <c r="T407" i="6"/>
  <c r="T408" i="6" a="1"/>
  <c r="T408" i="6" s="1"/>
  <c r="T409" i="6" a="1"/>
  <c r="T409" i="6" s="1"/>
  <c r="T410" i="6" a="1"/>
  <c r="T410" i="6" s="1"/>
  <c r="T411" i="6" a="1"/>
  <c r="T411" i="6"/>
  <c r="T412" i="6" a="1"/>
  <c r="T412" i="6" s="1"/>
  <c r="T413" i="6" a="1"/>
  <c r="T413" i="6"/>
  <c r="T414" i="6" a="1"/>
  <c r="T414" i="6" s="1"/>
  <c r="T415" i="6" a="1"/>
  <c r="T415" i="6"/>
  <c r="T416" i="6" a="1"/>
  <c r="T416" i="6" s="1"/>
  <c r="T417" i="6" a="1"/>
  <c r="T417" i="6" s="1"/>
  <c r="T418" i="6" a="1"/>
  <c r="T418" i="6" s="1"/>
  <c r="T419" i="6" a="1"/>
  <c r="T419" i="6"/>
  <c r="T420" i="6" a="1"/>
  <c r="T420" i="6" s="1"/>
  <c r="T421" i="6" a="1"/>
  <c r="T421" i="6"/>
  <c r="T422" i="6" a="1"/>
  <c r="T422" i="6" s="1"/>
  <c r="T423" i="6" a="1"/>
  <c r="T423" i="6"/>
  <c r="T424" i="6" a="1"/>
  <c r="T424" i="6" s="1"/>
  <c r="T425" i="6" a="1"/>
  <c r="T425" i="6" s="1"/>
  <c r="T426" i="6" a="1"/>
  <c r="T426" i="6" s="1"/>
  <c r="T427" i="6" a="1"/>
  <c r="T427" i="6" s="1"/>
  <c r="T428" i="6" a="1"/>
  <c r="T428" i="6" s="1"/>
  <c r="T429" i="6" a="1"/>
  <c r="T429" i="6"/>
  <c r="T430" i="6" a="1"/>
  <c r="T430" i="6" s="1"/>
  <c r="T431" i="6" a="1"/>
  <c r="T431" i="6"/>
  <c r="T432" i="6" a="1"/>
  <c r="T432" i="6" s="1"/>
  <c r="T433" i="6" a="1"/>
  <c r="T433" i="6" s="1"/>
  <c r="T434" i="6" a="1"/>
  <c r="T434" i="6" s="1"/>
  <c r="T435" i="6" a="1"/>
  <c r="T435" i="6" s="1"/>
  <c r="T436" i="6" a="1"/>
  <c r="T436" i="6" s="1"/>
  <c r="T437" i="6" a="1"/>
  <c r="T437" i="6"/>
  <c r="T438" i="6" a="1"/>
  <c r="T438" i="6" s="1"/>
  <c r="T439" i="6" a="1"/>
  <c r="T439" i="6"/>
  <c r="T440" i="6" a="1"/>
  <c r="T440" i="6" s="1"/>
  <c r="T441" i="6" a="1"/>
  <c r="T441" i="6" s="1"/>
  <c r="T442" i="6" a="1"/>
  <c r="T442" i="6" s="1"/>
  <c r="T443" i="6" a="1"/>
  <c r="T443" i="6"/>
  <c r="T444" i="6" a="1"/>
  <c r="T444" i="6" s="1"/>
  <c r="T445" i="6" a="1"/>
  <c r="T445" i="6"/>
  <c r="T446" i="6" a="1"/>
  <c r="T446" i="6" s="1"/>
  <c r="T447" i="6" a="1"/>
  <c r="T447" i="6"/>
  <c r="T448" i="6" a="1"/>
  <c r="T448" i="6" s="1"/>
  <c r="T449" i="6" a="1"/>
  <c r="T449" i="6" s="1"/>
  <c r="T450" i="6" a="1"/>
  <c r="T450" i="6" s="1"/>
  <c r="T451" i="6" a="1"/>
  <c r="T451" i="6"/>
  <c r="T452" i="6" a="1"/>
  <c r="T452" i="6" s="1"/>
  <c r="T453" i="6" a="1"/>
  <c r="T453" i="6"/>
  <c r="T454" i="6" a="1"/>
  <c r="T454" i="6" s="1"/>
  <c r="T455" i="6" a="1"/>
  <c r="T455" i="6" s="1"/>
  <c r="T456" i="6" a="1"/>
  <c r="T456" i="6" s="1"/>
  <c r="T457" i="6" a="1"/>
  <c r="T457" i="6" s="1"/>
  <c r="T458" i="6" a="1"/>
  <c r="T458" i="6" s="1"/>
  <c r="T459" i="6" a="1"/>
  <c r="T459" i="6" s="1"/>
  <c r="T460" i="6" a="1"/>
  <c r="T460" i="6" s="1"/>
  <c r="T461" i="6" a="1"/>
  <c r="T461" i="6"/>
  <c r="T462" i="6" a="1"/>
  <c r="T462" i="6" s="1"/>
  <c r="T463" i="6" a="1"/>
  <c r="T463" i="6" s="1"/>
  <c r="T464" i="6" a="1"/>
  <c r="T464" i="6" s="1"/>
  <c r="T465" i="6" a="1"/>
  <c r="T465" i="6" s="1"/>
  <c r="T466" i="6" a="1"/>
  <c r="T466" i="6" s="1"/>
  <c r="T467" i="6" a="1"/>
  <c r="T467" i="6"/>
  <c r="T468" i="6" a="1"/>
  <c r="T468" i="6" s="1"/>
  <c r="T469" i="6" a="1"/>
  <c r="T469" i="6"/>
  <c r="T470" i="6" a="1"/>
  <c r="T470" i="6" s="1"/>
  <c r="T471" i="6" a="1"/>
  <c r="T471" i="6" s="1"/>
  <c r="T472" i="6" a="1"/>
  <c r="T472" i="6" s="1"/>
  <c r="T473" i="6" a="1"/>
  <c r="T473" i="6" s="1"/>
  <c r="T474" i="6" a="1"/>
  <c r="T474" i="6" s="1"/>
  <c r="T475" i="6" a="1"/>
  <c r="T475" i="6" s="1"/>
  <c r="T476" i="6" a="1"/>
  <c r="T476" i="6" s="1"/>
  <c r="T477" i="6" a="1"/>
  <c r="T477" i="6"/>
  <c r="T478" i="6" a="1"/>
  <c r="T478" i="6" s="1"/>
  <c r="T479" i="6" a="1"/>
  <c r="T479" i="6" s="1"/>
  <c r="T480" i="6" a="1"/>
  <c r="T480" i="6" s="1"/>
  <c r="T481" i="6" a="1"/>
  <c r="T481" i="6" s="1"/>
  <c r="T482" i="6" a="1"/>
  <c r="T482" i="6" s="1"/>
  <c r="T483" i="6" a="1"/>
  <c r="T483" i="6"/>
  <c r="T484" i="6" a="1"/>
  <c r="T484" i="6" s="1"/>
  <c r="T485" i="6" a="1"/>
  <c r="T485" i="6"/>
  <c r="T486" i="6" a="1"/>
  <c r="T486" i="6" s="1"/>
  <c r="T487" i="6" a="1"/>
  <c r="T487" i="6" s="1"/>
  <c r="T488" i="6" a="1"/>
  <c r="T488" i="6" s="1"/>
  <c r="T489" i="6" a="1"/>
  <c r="T489" i="6" s="1"/>
  <c r="T490" i="6" a="1"/>
  <c r="T490" i="6" s="1"/>
  <c r="T491" i="6" a="1"/>
  <c r="T491" i="6" s="1"/>
  <c r="T492" i="6" a="1"/>
  <c r="T492" i="6" s="1"/>
  <c r="T493" i="6" a="1"/>
  <c r="T493" i="6"/>
  <c r="T494" i="6" a="1"/>
  <c r="T494" i="6" s="1"/>
  <c r="T495" i="6" a="1"/>
  <c r="T495" i="6" s="1"/>
  <c r="T496" i="6" a="1"/>
  <c r="T496" i="6" s="1"/>
  <c r="T497" i="6" a="1"/>
  <c r="T497" i="6" s="1"/>
  <c r="T498" i="6" a="1"/>
  <c r="T498" i="6" s="1"/>
  <c r="T499" i="6" a="1"/>
  <c r="T499" i="6"/>
  <c r="T500" i="6" a="1"/>
  <c r="T500" i="6" s="1"/>
  <c r="T501" i="6" a="1"/>
  <c r="T501" i="6"/>
  <c r="T502" i="6" a="1"/>
  <c r="T502" i="6" s="1"/>
  <c r="T503" i="6" a="1"/>
  <c r="T503" i="6" s="1"/>
  <c r="T504" i="6" a="1"/>
  <c r="T504" i="6" s="1"/>
  <c r="T505" i="6" a="1"/>
  <c r="T505" i="6" s="1"/>
  <c r="T506" i="6" a="1"/>
  <c r="T506" i="6" s="1"/>
  <c r="T507" i="6" a="1"/>
  <c r="T507" i="6" s="1"/>
  <c r="T508" i="6" a="1"/>
  <c r="T508" i="6" s="1"/>
  <c r="T509" i="6" a="1"/>
  <c r="T509" i="6"/>
  <c r="T510" i="6" a="1"/>
  <c r="T510" i="6" s="1"/>
  <c r="T511" i="6" a="1"/>
  <c r="T511" i="6" s="1"/>
  <c r="T512" i="6" a="1"/>
  <c r="T512" i="6" s="1"/>
  <c r="T513" i="6" a="1"/>
  <c r="T513" i="6" s="1"/>
  <c r="T514" i="6" a="1"/>
  <c r="T514" i="6" s="1"/>
  <c r="T515" i="6" a="1"/>
  <c r="T515" i="6"/>
  <c r="T516" i="6" a="1"/>
  <c r="T516" i="6" s="1"/>
  <c r="T517" i="6" a="1"/>
  <c r="T517" i="6"/>
  <c r="T518" i="6" a="1"/>
  <c r="T518" i="6" s="1"/>
  <c r="T519" i="6" a="1"/>
  <c r="T519" i="6" s="1"/>
  <c r="T520" i="6" a="1"/>
  <c r="T520" i="6" s="1"/>
  <c r="T521" i="6" a="1"/>
  <c r="T521" i="6" s="1"/>
  <c r="T522" i="6" a="1"/>
  <c r="T522" i="6" s="1"/>
  <c r="T523" i="6" a="1"/>
  <c r="T523" i="6" s="1"/>
  <c r="T524" i="6" a="1"/>
  <c r="T524" i="6" s="1"/>
  <c r="T525" i="6" a="1"/>
  <c r="T525" i="6"/>
  <c r="T526" i="6" a="1"/>
  <c r="T526" i="6" s="1"/>
  <c r="T527" i="6" a="1"/>
  <c r="T527" i="6" s="1"/>
  <c r="T528" i="6" a="1"/>
  <c r="T528" i="6" s="1"/>
  <c r="T529" i="6" a="1"/>
  <c r="T529" i="6" s="1"/>
  <c r="T530" i="6" a="1"/>
  <c r="T530" i="6" s="1"/>
  <c r="T531" i="6" a="1"/>
  <c r="T531" i="6"/>
  <c r="T532" i="6" a="1"/>
  <c r="T532" i="6" s="1"/>
  <c r="T533" i="6" a="1"/>
  <c r="T533" i="6"/>
  <c r="T534" i="6" a="1"/>
  <c r="T534" i="6" s="1"/>
  <c r="T535" i="6" a="1"/>
  <c r="T535" i="6" s="1"/>
  <c r="T536" i="6" a="1"/>
  <c r="T536" i="6" s="1"/>
  <c r="T537" i="6" a="1"/>
  <c r="T537" i="6" s="1"/>
  <c r="T538" i="6" a="1"/>
  <c r="T538" i="6" s="1"/>
  <c r="T539" i="6" a="1"/>
  <c r="T539" i="6" s="1"/>
  <c r="T540" i="6" a="1"/>
  <c r="T540" i="6" s="1"/>
  <c r="T541" i="6" a="1"/>
  <c r="T541" i="6"/>
  <c r="T542" i="6" a="1"/>
  <c r="T542" i="6" s="1"/>
  <c r="T543" i="6" a="1"/>
  <c r="T543" i="6" s="1"/>
  <c r="T544" i="6" a="1"/>
  <c r="T544" i="6" s="1"/>
  <c r="T545" i="6" a="1"/>
  <c r="T545" i="6" s="1"/>
  <c r="T546" i="6" a="1"/>
  <c r="T546" i="6" s="1"/>
  <c r="T547" i="6" a="1"/>
  <c r="T547" i="6"/>
  <c r="T548" i="6" a="1"/>
  <c r="T548" i="6" s="1"/>
  <c r="T549" i="6" a="1"/>
  <c r="T549" i="6"/>
  <c r="T550" i="6" a="1"/>
  <c r="T550" i="6" s="1"/>
  <c r="T551" i="6" a="1"/>
  <c r="T551" i="6" s="1"/>
  <c r="T552" i="6" a="1"/>
  <c r="T552" i="6" s="1"/>
  <c r="T553" i="6" a="1"/>
  <c r="T553" i="6" s="1"/>
  <c r="T554" i="6" a="1"/>
  <c r="T554" i="6" s="1"/>
  <c r="T555" i="6" a="1"/>
  <c r="T555" i="6" s="1"/>
  <c r="T556" i="6" a="1"/>
  <c r="T556" i="6" s="1"/>
  <c r="T557" i="6" a="1"/>
  <c r="T557" i="6"/>
  <c r="T558" i="6" a="1"/>
  <c r="T558" i="6" s="1"/>
  <c r="T559" i="6" a="1"/>
  <c r="T559" i="6" s="1"/>
  <c r="T560" i="6" a="1"/>
  <c r="T560" i="6" s="1"/>
  <c r="T561" i="6" a="1"/>
  <c r="T561" i="6" s="1"/>
  <c r="T562" i="6" a="1"/>
  <c r="T562" i="6" s="1"/>
  <c r="T563" i="6" a="1"/>
  <c r="T563" i="6"/>
  <c r="T564" i="6" a="1"/>
  <c r="T564" i="6" s="1"/>
  <c r="T565" i="6" a="1"/>
  <c r="T565" i="6"/>
  <c r="T566" i="6" a="1"/>
  <c r="T566" i="6" s="1"/>
  <c r="T567" i="6" a="1"/>
  <c r="T567" i="6" s="1"/>
  <c r="T568" i="6" a="1"/>
  <c r="T568" i="6" s="1"/>
  <c r="T569" i="6" a="1"/>
  <c r="T569" i="6" s="1"/>
  <c r="T570" i="6" a="1"/>
  <c r="T570" i="6" s="1"/>
  <c r="T571" i="6" a="1"/>
  <c r="T571" i="6" s="1"/>
  <c r="T572" i="6" a="1"/>
  <c r="T572" i="6" s="1"/>
  <c r="T573" i="6" a="1"/>
  <c r="T573" i="6"/>
  <c r="T574" i="6" a="1"/>
  <c r="T574" i="6" s="1"/>
  <c r="T575" i="6" a="1"/>
  <c r="T575" i="6" s="1"/>
  <c r="T576" i="6" a="1"/>
  <c r="T576" i="6" s="1"/>
  <c r="T577" i="6" a="1"/>
  <c r="T577" i="6" s="1"/>
  <c r="T578" i="6" a="1"/>
  <c r="T578" i="6" s="1"/>
  <c r="T579" i="6" a="1"/>
  <c r="T579" i="6"/>
  <c r="T580" i="6" a="1"/>
  <c r="T580" i="6" s="1"/>
  <c r="T581" i="6" a="1"/>
  <c r="T581" i="6"/>
  <c r="T582" i="6" a="1"/>
  <c r="T582" i="6" s="1"/>
  <c r="T583" i="6" a="1"/>
  <c r="T583" i="6" s="1"/>
  <c r="T584" i="6" a="1"/>
  <c r="T584" i="6" s="1"/>
  <c r="T585" i="6" a="1"/>
  <c r="T585" i="6" s="1"/>
  <c r="T586" i="6" a="1"/>
  <c r="T586" i="6" s="1"/>
  <c r="T587" i="6" a="1"/>
  <c r="T587" i="6" s="1"/>
  <c r="T588" i="6" a="1"/>
  <c r="T588" i="6" s="1"/>
  <c r="T589" i="6" a="1"/>
  <c r="T589" i="6"/>
  <c r="T590" i="6" a="1"/>
  <c r="T590" i="6" s="1"/>
  <c r="T591" i="6" a="1"/>
  <c r="T591" i="6" s="1"/>
  <c r="T592" i="6" a="1"/>
  <c r="T592" i="6" s="1"/>
  <c r="T593" i="6" a="1"/>
  <c r="T593" i="6" s="1"/>
  <c r="T594" i="6" a="1"/>
  <c r="T594" i="6" s="1"/>
  <c r="T595" i="6" a="1"/>
  <c r="T595" i="6"/>
  <c r="T596" i="6" a="1"/>
  <c r="T596" i="6" s="1"/>
  <c r="T597" i="6" a="1"/>
  <c r="T597" i="6"/>
  <c r="T598" i="6" a="1"/>
  <c r="T598" i="6" s="1"/>
  <c r="T599" i="6" a="1"/>
  <c r="T599" i="6" s="1"/>
  <c r="T600" i="6" a="1"/>
  <c r="T600" i="6" s="1"/>
  <c r="T601" i="6" a="1"/>
  <c r="T601" i="6" s="1"/>
  <c r="T602" i="6" a="1"/>
  <c r="T602" i="6" s="1"/>
  <c r="T603" i="6" a="1"/>
  <c r="T603" i="6" s="1"/>
  <c r="T604" i="6" a="1"/>
  <c r="T604" i="6" s="1"/>
  <c r="T605" i="6" a="1"/>
  <c r="T605" i="6"/>
  <c r="T606" i="6" a="1"/>
  <c r="T606" i="6" s="1"/>
  <c r="T607" i="6" a="1"/>
  <c r="T607" i="6" s="1"/>
  <c r="T608" i="6" a="1"/>
  <c r="T608" i="6" s="1"/>
  <c r="T609" i="6" a="1"/>
  <c r="T609" i="6" s="1"/>
  <c r="T610" i="6" a="1"/>
  <c r="T610" i="6" s="1"/>
  <c r="T611" i="6" a="1"/>
  <c r="T611" i="6"/>
  <c r="T612" i="6" a="1"/>
  <c r="T612" i="6" s="1"/>
  <c r="T613" i="6" a="1"/>
  <c r="T613" i="6"/>
  <c r="T614" i="6" a="1"/>
  <c r="T614" i="6" s="1"/>
  <c r="T615" i="6" a="1"/>
  <c r="T615" i="6" s="1"/>
  <c r="T616" i="6" a="1"/>
  <c r="T616" i="6" s="1"/>
  <c r="T617" i="6" a="1"/>
  <c r="T617" i="6" s="1"/>
  <c r="T618" i="6" a="1"/>
  <c r="T618" i="6"/>
  <c r="T619" i="6" a="1"/>
  <c r="T619" i="6" s="1"/>
  <c r="T620" i="6" a="1"/>
  <c r="T620" i="6"/>
  <c r="T621" i="6" a="1"/>
  <c r="T621" i="6" s="1"/>
  <c r="T622" i="6" a="1"/>
  <c r="T622" i="6"/>
  <c r="T623" i="6" a="1"/>
  <c r="T623" i="6" s="1"/>
  <c r="T624" i="6" a="1"/>
  <c r="T624" i="6"/>
  <c r="T625" i="6" a="1"/>
  <c r="T625" i="6" s="1"/>
  <c r="T626" i="6" a="1"/>
  <c r="T626" i="6"/>
  <c r="T627" i="6" a="1"/>
  <c r="T627" i="6" s="1"/>
  <c r="T628" i="6" a="1"/>
  <c r="T628" i="6"/>
  <c r="T629" i="6" a="1"/>
  <c r="T629" i="6" s="1"/>
  <c r="T630" i="6" a="1"/>
  <c r="T630" i="6"/>
  <c r="T631" i="6" a="1"/>
  <c r="T631" i="6" s="1"/>
  <c r="T632" i="6" a="1"/>
  <c r="T632" i="6"/>
  <c r="T633" i="6" a="1"/>
  <c r="T633" i="6" s="1"/>
  <c r="T634" i="6" a="1"/>
  <c r="T634" i="6"/>
  <c r="T635" i="6" a="1"/>
  <c r="T635" i="6" s="1"/>
  <c r="T636" i="6" a="1"/>
  <c r="T636" i="6"/>
  <c r="T637" i="6" a="1"/>
  <c r="T637" i="6" s="1"/>
  <c r="T638" i="6" a="1"/>
  <c r="T638" i="6"/>
  <c r="T639" i="6" a="1"/>
  <c r="T639" i="6" s="1"/>
  <c r="T640" i="6" a="1"/>
  <c r="T640" i="6"/>
  <c r="T641" i="6" a="1"/>
  <c r="T641" i="6" s="1"/>
  <c r="T642" i="6" a="1"/>
  <c r="T642" i="6"/>
  <c r="T643" i="6" a="1"/>
  <c r="T643" i="6" s="1"/>
  <c r="T644" i="6" a="1"/>
  <c r="T644" i="6"/>
  <c r="T645" i="6" a="1"/>
  <c r="T645" i="6" s="1"/>
  <c r="T646" i="6" a="1"/>
  <c r="T646" i="6"/>
  <c r="T647" i="6" a="1"/>
  <c r="T647" i="6" s="1"/>
  <c r="T648" i="6" a="1"/>
  <c r="T648" i="6"/>
  <c r="T649" i="6" a="1"/>
  <c r="T649" i="6" s="1"/>
  <c r="T650" i="6" a="1"/>
  <c r="T650" i="6"/>
  <c r="T651" i="6" a="1"/>
  <c r="T651" i="6" s="1"/>
  <c r="T652" i="6" a="1"/>
  <c r="T652" i="6"/>
  <c r="T653" i="6" a="1"/>
  <c r="T653" i="6" s="1"/>
  <c r="T654" i="6" a="1"/>
  <c r="T654" i="6"/>
  <c r="T655" i="6" a="1"/>
  <c r="T655" i="6" s="1"/>
  <c r="T656" i="6" a="1"/>
  <c r="T656" i="6"/>
  <c r="T657" i="6" a="1"/>
  <c r="T657" i="6" s="1"/>
  <c r="T658" i="6" a="1"/>
  <c r="T658" i="6"/>
  <c r="T659" i="6" a="1"/>
  <c r="T659" i="6" s="1"/>
  <c r="T660" i="6" a="1"/>
  <c r="T660" i="6"/>
  <c r="T661" i="6" a="1"/>
  <c r="T661" i="6" s="1"/>
  <c r="T662" i="6" a="1"/>
  <c r="T662" i="6"/>
  <c r="T663" i="6" a="1"/>
  <c r="T663" i="6" s="1"/>
  <c r="T664" i="6" a="1"/>
  <c r="T664" i="6"/>
  <c r="T665" i="6" a="1"/>
  <c r="T665" i="6" s="1"/>
  <c r="T666" i="6" a="1"/>
  <c r="T666" i="6"/>
  <c r="T667" i="6" a="1"/>
  <c r="T667" i="6" s="1"/>
  <c r="T668" i="6" a="1"/>
  <c r="T668" i="6"/>
  <c r="T669" i="6" a="1"/>
  <c r="T669" i="6" s="1"/>
  <c r="T670" i="6" a="1"/>
  <c r="T670" i="6"/>
  <c r="T671" i="6" a="1"/>
  <c r="T671" i="6" s="1"/>
  <c r="T672" i="6" a="1"/>
  <c r="T672" i="6"/>
  <c r="T673" i="6" a="1"/>
  <c r="T673" i="6" s="1"/>
  <c r="T674" i="6" a="1"/>
  <c r="T674" i="6"/>
  <c r="T675" i="6" a="1"/>
  <c r="T675" i="6" s="1"/>
  <c r="T676" i="6" a="1"/>
  <c r="T676" i="6"/>
  <c r="T677" i="6" a="1"/>
  <c r="T677" i="6" s="1"/>
  <c r="T678" i="6" a="1"/>
  <c r="T678" i="6"/>
  <c r="T679" i="6" a="1"/>
  <c r="T679" i="6" s="1"/>
  <c r="T680" i="6" a="1"/>
  <c r="T680" i="6"/>
  <c r="T681" i="6" a="1"/>
  <c r="T681" i="6" s="1"/>
  <c r="T682" i="6" a="1"/>
  <c r="T682" i="6"/>
  <c r="T683" i="6" a="1"/>
  <c r="T683" i="6" s="1"/>
  <c r="T684" i="6" a="1"/>
  <c r="T684" i="6"/>
  <c r="T685" i="6" a="1"/>
  <c r="T685" i="6" s="1"/>
  <c r="T686" i="6" a="1"/>
  <c r="T686" i="6" s="1"/>
  <c r="T687" i="6" a="1"/>
  <c r="T687" i="6" s="1"/>
  <c r="T688" i="6" a="1"/>
  <c r="T688" i="6" s="1"/>
  <c r="T689" i="6" a="1"/>
  <c r="T689" i="6" s="1"/>
  <c r="T690" i="6" a="1"/>
  <c r="T690" i="6"/>
  <c r="T691" i="6" a="1"/>
  <c r="T691" i="6" s="1"/>
  <c r="T692" i="6" a="1"/>
  <c r="T692" i="6"/>
  <c r="T693" i="6" a="1"/>
  <c r="T693" i="6" s="1"/>
  <c r="T694" i="6" a="1"/>
  <c r="T694" i="6" s="1"/>
  <c r="T695" i="6" a="1"/>
  <c r="T695" i="6" s="1"/>
  <c r="T696" i="6" a="1"/>
  <c r="T696" i="6" s="1"/>
  <c r="T697" i="6" a="1"/>
  <c r="T697" i="6" s="1"/>
  <c r="T698" i="6" a="1"/>
  <c r="T698" i="6"/>
  <c r="T699" i="6" a="1"/>
  <c r="T699" i="6" s="1"/>
  <c r="T700" i="6" a="1"/>
  <c r="T700" i="6"/>
  <c r="T701" i="6" a="1"/>
  <c r="T701" i="6" s="1"/>
  <c r="T702" i="6" a="1"/>
  <c r="T702" i="6" s="1"/>
  <c r="T703" i="6" a="1"/>
  <c r="T703" i="6" s="1"/>
  <c r="T704" i="6" a="1"/>
  <c r="T704" i="6" s="1"/>
  <c r="T705" i="6" a="1"/>
  <c r="T705" i="6" s="1"/>
  <c r="T706" i="6" a="1"/>
  <c r="T706" i="6"/>
  <c r="T707" i="6" a="1"/>
  <c r="T707" i="6" s="1"/>
  <c r="T708" i="6" a="1"/>
  <c r="T708" i="6"/>
  <c r="T709" i="6" a="1"/>
  <c r="T709" i="6" s="1"/>
  <c r="T710" i="6" a="1"/>
  <c r="T710" i="6" s="1"/>
  <c r="T711" i="6" a="1"/>
  <c r="T711" i="6" s="1"/>
  <c r="T712" i="6" a="1"/>
  <c r="T712" i="6" s="1"/>
  <c r="T713" i="6" a="1"/>
  <c r="T713" i="6" s="1"/>
  <c r="T714" i="6" a="1"/>
  <c r="T714" i="6"/>
  <c r="T715" i="6" a="1"/>
  <c r="T715" i="6" s="1"/>
  <c r="T716" i="6" a="1"/>
  <c r="T716" i="6"/>
  <c r="T717" i="6" a="1"/>
  <c r="T717" i="6" s="1"/>
  <c r="T718" i="6" a="1"/>
  <c r="T718" i="6" s="1"/>
  <c r="T719" i="6" a="1"/>
  <c r="T719" i="6" s="1"/>
  <c r="T720" i="6" a="1"/>
  <c r="T720" i="6" s="1"/>
  <c r="T721" i="6" a="1"/>
  <c r="T721" i="6" s="1"/>
  <c r="T722" i="6" a="1"/>
  <c r="T722" i="6"/>
  <c r="T723" i="6" a="1"/>
  <c r="T723" i="6" s="1"/>
  <c r="T724" i="6" a="1"/>
  <c r="T724" i="6"/>
  <c r="T725" i="6" a="1"/>
  <c r="T725" i="6" s="1"/>
  <c r="T726" i="6" a="1"/>
  <c r="T726" i="6" s="1"/>
  <c r="T727" i="6" a="1"/>
  <c r="T727" i="6" s="1"/>
  <c r="T728" i="6" a="1"/>
  <c r="T728" i="6" s="1"/>
  <c r="T729" i="6" a="1"/>
  <c r="T729" i="6" s="1"/>
  <c r="T730" i="6" a="1"/>
  <c r="T730" i="6"/>
  <c r="T731" i="6" a="1"/>
  <c r="T731" i="6" s="1"/>
  <c r="T732" i="6" a="1"/>
  <c r="T732" i="6"/>
  <c r="T733" i="6" a="1"/>
  <c r="T733" i="6" s="1"/>
  <c r="T734" i="6" a="1"/>
  <c r="T734" i="6" s="1"/>
  <c r="T735" i="6" a="1"/>
  <c r="T735" i="6" s="1"/>
  <c r="T736" i="6" a="1"/>
  <c r="T736" i="6" s="1"/>
  <c r="T737" i="6" a="1"/>
  <c r="T737" i="6" s="1"/>
  <c r="T738" i="6" a="1"/>
  <c r="T738" i="6"/>
  <c r="T739" i="6" a="1"/>
  <c r="T739" i="6" s="1"/>
  <c r="T740" i="6" a="1"/>
  <c r="T740" i="6"/>
  <c r="T741" i="6" a="1"/>
  <c r="T741" i="6" s="1"/>
  <c r="T742" i="6" a="1"/>
  <c r="T742" i="6" s="1"/>
  <c r="T743" i="6" a="1"/>
  <c r="T743" i="6" s="1"/>
  <c r="T744" i="6" a="1"/>
  <c r="T744" i="6" s="1"/>
  <c r="T745" i="6" a="1"/>
  <c r="T745" i="6" s="1"/>
  <c r="T746" i="6" a="1"/>
  <c r="T746" i="6"/>
  <c r="T747" i="6" a="1"/>
  <c r="T747" i="6" s="1"/>
  <c r="T748" i="6" a="1"/>
  <c r="T748" i="6"/>
  <c r="T749" i="6" a="1"/>
  <c r="T749" i="6" s="1"/>
  <c r="T750" i="6" a="1"/>
  <c r="T750" i="6" s="1"/>
  <c r="T751" i="6" a="1"/>
  <c r="T751" i="6" s="1"/>
  <c r="T752" i="6" a="1"/>
  <c r="T752" i="6" s="1"/>
  <c r="T753" i="6" a="1"/>
  <c r="T753" i="6" s="1"/>
  <c r="T754" i="6" a="1"/>
  <c r="T754" i="6"/>
  <c r="T755" i="6" a="1"/>
  <c r="T755" i="6" s="1"/>
  <c r="T756" i="6" a="1"/>
  <c r="T756" i="6"/>
  <c r="T757" i="6" a="1"/>
  <c r="T757" i="6" s="1"/>
  <c r="T758" i="6" a="1"/>
  <c r="T758" i="6" s="1"/>
  <c r="T759" i="6" a="1"/>
  <c r="T759" i="6" s="1"/>
  <c r="T760" i="6" a="1"/>
  <c r="T760" i="6" s="1"/>
  <c r="T761" i="6" a="1"/>
  <c r="T761" i="6" s="1"/>
  <c r="T762" i="6" a="1"/>
  <c r="T762" i="6"/>
  <c r="T763" i="6" a="1"/>
  <c r="T763" i="6" s="1"/>
  <c r="T764" i="6" a="1"/>
  <c r="T764" i="6"/>
  <c r="T765" i="6" a="1"/>
  <c r="T765" i="6" s="1"/>
  <c r="T766" i="6" a="1"/>
  <c r="T766" i="6" s="1"/>
  <c r="T767" i="6" a="1"/>
  <c r="T767" i="6" s="1"/>
  <c r="T768" i="6" a="1"/>
  <c r="T768" i="6" s="1"/>
  <c r="T769" i="6" a="1"/>
  <c r="T769" i="6" s="1"/>
  <c r="T770" i="6" a="1"/>
  <c r="T770" i="6"/>
  <c r="T771" i="6" a="1"/>
  <c r="T771" i="6" s="1"/>
  <c r="T772" i="6" a="1"/>
  <c r="T772" i="6"/>
  <c r="T773" i="6" a="1"/>
  <c r="T773" i="6" s="1"/>
  <c r="T774" i="6" a="1"/>
  <c r="T774" i="6" s="1"/>
  <c r="T775" i="6" a="1"/>
  <c r="T775" i="6" s="1"/>
  <c r="T776" i="6" a="1"/>
  <c r="T776" i="6" s="1"/>
  <c r="T777" i="6" a="1"/>
  <c r="T777" i="6" s="1"/>
  <c r="T778" i="6" a="1"/>
  <c r="T778" i="6"/>
  <c r="T779" i="6" a="1"/>
  <c r="T779" i="6" s="1"/>
  <c r="T780" i="6" a="1"/>
  <c r="T780" i="6"/>
  <c r="T781" i="6" a="1"/>
  <c r="T781" i="6" s="1"/>
  <c r="T782" i="6" a="1"/>
  <c r="T782" i="6" s="1"/>
  <c r="T783" i="6" a="1"/>
  <c r="T783" i="6" s="1"/>
  <c r="T784" i="6" a="1"/>
  <c r="T784" i="6" s="1"/>
  <c r="T785" i="6" a="1"/>
  <c r="T785" i="6" s="1"/>
  <c r="T786" i="6" a="1"/>
  <c r="T786" i="6"/>
  <c r="T787" i="6" a="1"/>
  <c r="T787" i="6" s="1"/>
  <c r="T788" i="6" a="1"/>
  <c r="T788" i="6"/>
  <c r="T789" i="6" a="1"/>
  <c r="T789" i="6" s="1"/>
  <c r="T790" i="6" a="1"/>
  <c r="T790" i="6" s="1"/>
  <c r="T791" i="6" a="1"/>
  <c r="T791" i="6" s="1"/>
  <c r="T792" i="6" a="1"/>
  <c r="T792" i="6" s="1"/>
  <c r="T793" i="6" a="1"/>
  <c r="T793" i="6" s="1"/>
  <c r="T794" i="6" a="1"/>
  <c r="T794" i="6"/>
  <c r="T795" i="6" a="1"/>
  <c r="T795" i="6" s="1"/>
  <c r="T796" i="6" a="1"/>
  <c r="T796" i="6"/>
  <c r="T797" i="6" a="1"/>
  <c r="T797" i="6" s="1"/>
  <c r="T798" i="6" a="1"/>
  <c r="T798" i="6" s="1"/>
  <c r="T799" i="6" a="1"/>
  <c r="T799" i="6" s="1"/>
  <c r="T800" i="6" a="1"/>
  <c r="T800" i="6" s="1"/>
  <c r="T801" i="6" a="1"/>
  <c r="T801" i="6" s="1"/>
  <c r="T802" i="6" a="1"/>
  <c r="T802" i="6"/>
  <c r="T803" i="6" a="1"/>
  <c r="T803" i="6" s="1"/>
  <c r="T804" i="6" a="1"/>
  <c r="T804" i="6"/>
  <c r="T805" i="6" a="1"/>
  <c r="T805" i="6" s="1"/>
  <c r="T806" i="6" a="1"/>
  <c r="T806" i="6" s="1"/>
  <c r="T807" i="6" a="1"/>
  <c r="T807" i="6" s="1"/>
  <c r="T808" i="6" a="1"/>
  <c r="T808" i="6" s="1"/>
  <c r="T809" i="6" a="1"/>
  <c r="T809" i="6" s="1"/>
  <c r="T810" i="6" a="1"/>
  <c r="T810" i="6"/>
  <c r="T811" i="6" a="1"/>
  <c r="T811" i="6" s="1"/>
  <c r="T812" i="6" a="1"/>
  <c r="T812" i="6"/>
  <c r="T813" i="6" a="1"/>
  <c r="T813" i="6" s="1"/>
  <c r="T814" i="6" a="1"/>
  <c r="T814" i="6" s="1"/>
  <c r="T815" i="6" a="1"/>
  <c r="T815" i="6" s="1"/>
  <c r="T816" i="6" a="1"/>
  <c r="T816" i="6" s="1"/>
  <c r="T817" i="6" a="1"/>
  <c r="T817" i="6" s="1"/>
  <c r="T818" i="6" a="1"/>
  <c r="T818" i="6"/>
  <c r="T819" i="6" a="1"/>
  <c r="T819" i="6" s="1"/>
  <c r="T820" i="6" a="1"/>
  <c r="T820" i="6"/>
  <c r="T821" i="6" a="1"/>
  <c r="T821" i="6" s="1"/>
  <c r="T822" i="6" a="1"/>
  <c r="T822" i="6" s="1"/>
  <c r="T823" i="6" a="1"/>
  <c r="T823" i="6" s="1"/>
  <c r="T824" i="6" a="1"/>
  <c r="T824" i="6" s="1"/>
  <c r="T825" i="6" a="1"/>
  <c r="T825" i="6" s="1"/>
  <c r="T826" i="6" a="1"/>
  <c r="T826" i="6"/>
  <c r="T827" i="6" a="1"/>
  <c r="T827" i="6" s="1"/>
  <c r="T828" i="6" a="1"/>
  <c r="T828" i="6"/>
  <c r="T829" i="6" a="1"/>
  <c r="T829" i="6" s="1"/>
  <c r="T830" i="6" a="1"/>
  <c r="T830" i="6" s="1"/>
  <c r="T831" i="6" a="1"/>
  <c r="T831" i="6" s="1"/>
  <c r="T832" i="6" a="1"/>
  <c r="T832" i="6" s="1"/>
  <c r="T833" i="6" a="1"/>
  <c r="T833" i="6" s="1"/>
  <c r="T834" i="6" a="1"/>
  <c r="T834" i="6"/>
  <c r="T835" i="6" a="1"/>
  <c r="T835" i="6" s="1"/>
  <c r="T836" i="6" a="1"/>
  <c r="T836" i="6"/>
  <c r="T837" i="6" a="1"/>
  <c r="T837" i="6" s="1"/>
  <c r="T838" i="6" a="1"/>
  <c r="T838" i="6" s="1"/>
  <c r="T839" i="6" a="1"/>
  <c r="T839" i="6" s="1"/>
  <c r="T840" i="6" a="1"/>
  <c r="T840" i="6" s="1"/>
  <c r="T841" i="6" a="1"/>
  <c r="T841" i="6" s="1"/>
  <c r="T842" i="6" a="1"/>
  <c r="T842" i="6"/>
  <c r="T843" i="6" a="1"/>
  <c r="T843" i="6" s="1"/>
  <c r="T844" i="6" a="1"/>
  <c r="T844" i="6"/>
  <c r="T845" i="6" a="1"/>
  <c r="T845" i="6" s="1"/>
  <c r="T846" i="6" a="1"/>
  <c r="T846" i="6" s="1"/>
  <c r="T847" i="6" a="1"/>
  <c r="T847" i="6" s="1"/>
  <c r="T848" i="6" a="1"/>
  <c r="T848" i="6" s="1"/>
  <c r="T849" i="6" a="1"/>
  <c r="T849" i="6" s="1"/>
  <c r="T850" i="6" a="1"/>
  <c r="T850" i="6"/>
  <c r="T851" i="6" a="1"/>
  <c r="T851" i="6" s="1"/>
  <c r="T852" i="6" a="1"/>
  <c r="T852" i="6"/>
  <c r="T853" i="6" a="1"/>
  <c r="T853" i="6" s="1"/>
  <c r="T854" i="6" a="1"/>
  <c r="T854" i="6" s="1"/>
  <c r="T855" i="6" a="1"/>
  <c r="T855" i="6" s="1"/>
  <c r="T856" i="6" a="1"/>
  <c r="T856" i="6" s="1"/>
  <c r="T857" i="6" a="1"/>
  <c r="T857" i="6" s="1"/>
  <c r="T858" i="6" a="1"/>
  <c r="T858" i="6"/>
  <c r="T859" i="6" a="1"/>
  <c r="T859" i="6" s="1"/>
  <c r="T860" i="6" a="1"/>
  <c r="T860" i="6"/>
  <c r="T861" i="6" a="1"/>
  <c r="T861" i="6" s="1"/>
  <c r="T862" i="6" a="1"/>
  <c r="T862" i="6" s="1"/>
  <c r="T863" i="6" a="1"/>
  <c r="T863" i="6" s="1"/>
  <c r="T864" i="6" a="1"/>
  <c r="T864" i="6" s="1"/>
  <c r="T865" i="6" a="1"/>
  <c r="T865" i="6" s="1"/>
  <c r="T866" i="6" a="1"/>
  <c r="T866" i="6"/>
  <c r="T867" i="6" a="1"/>
  <c r="T867" i="6" s="1"/>
  <c r="T868" i="6" a="1"/>
  <c r="T868" i="6"/>
  <c r="T869" i="6" a="1"/>
  <c r="T869" i="6" s="1"/>
  <c r="T870" i="6" a="1"/>
  <c r="T870" i="6" s="1"/>
  <c r="T871" i="6" a="1"/>
  <c r="T871" i="6" s="1"/>
  <c r="T872" i="6" a="1"/>
  <c r="T872" i="6" s="1"/>
  <c r="T873" i="6" a="1"/>
  <c r="T873" i="6" s="1"/>
  <c r="T874" i="6" a="1"/>
  <c r="T874" i="6"/>
  <c r="T875" i="6" a="1"/>
  <c r="T875" i="6" s="1"/>
  <c r="T876" i="6" a="1"/>
  <c r="T876" i="6"/>
  <c r="T877" i="6" a="1"/>
  <c r="T877" i="6" s="1"/>
  <c r="T878" i="6" a="1"/>
  <c r="T878" i="6" s="1"/>
  <c r="T879" i="6" a="1"/>
  <c r="T879" i="6"/>
  <c r="T880" i="6" a="1"/>
  <c r="T880" i="6" s="1"/>
  <c r="T881" i="6" a="1"/>
  <c r="T881" i="6"/>
  <c r="T882" i="6" a="1"/>
  <c r="T882" i="6" s="1"/>
  <c r="T883" i="6" a="1"/>
  <c r="T883" i="6"/>
  <c r="T884" i="6" a="1"/>
  <c r="T884" i="6" s="1"/>
  <c r="T885" i="6" a="1"/>
  <c r="T885" i="6"/>
  <c r="T886" i="6" a="1"/>
  <c r="T886" i="6" s="1"/>
  <c r="T887" i="6" a="1"/>
  <c r="T887" i="6"/>
  <c r="T888" i="6" a="1"/>
  <c r="T888" i="6" s="1"/>
  <c r="T889" i="6" a="1"/>
  <c r="T889" i="6"/>
  <c r="T890" i="6" a="1"/>
  <c r="T890" i="6" s="1"/>
  <c r="T891" i="6" a="1"/>
  <c r="T891" i="6"/>
  <c r="T892" i="6" a="1"/>
  <c r="T892" i="6" s="1"/>
  <c r="T893" i="6" a="1"/>
  <c r="T893" i="6"/>
  <c r="T894" i="6" a="1"/>
  <c r="T894" i="6" s="1"/>
  <c r="T895" i="6" a="1"/>
  <c r="T895" i="6"/>
  <c r="T896" i="6" a="1"/>
  <c r="T896" i="6" s="1"/>
  <c r="T897" i="6" a="1"/>
  <c r="T897" i="6"/>
  <c r="T898" i="6" a="1"/>
  <c r="T898" i="6" s="1"/>
  <c r="T899" i="6" a="1"/>
  <c r="T899" i="6"/>
  <c r="T900" i="6" a="1"/>
  <c r="T900" i="6" s="1"/>
  <c r="T901" i="6" a="1"/>
  <c r="T901" i="6"/>
  <c r="T902" i="6" a="1"/>
  <c r="T902" i="6" s="1"/>
  <c r="T903" i="6" a="1"/>
  <c r="T903" i="6"/>
  <c r="T904" i="6" a="1"/>
  <c r="T904" i="6" s="1"/>
  <c r="T905" i="6" a="1"/>
  <c r="T905" i="6"/>
  <c r="T906" i="6" a="1"/>
  <c r="T906" i="6" s="1"/>
  <c r="T907" i="6" a="1"/>
  <c r="T907" i="6"/>
  <c r="T908" i="6" a="1"/>
  <c r="T908" i="6" s="1"/>
  <c r="T909" i="6" a="1"/>
  <c r="T909" i="6"/>
  <c r="T910" i="6" a="1"/>
  <c r="T910" i="6" s="1"/>
  <c r="T911" i="6" a="1"/>
  <c r="T911" i="6"/>
  <c r="T912" i="6" a="1"/>
  <c r="T912" i="6" s="1"/>
  <c r="T913" i="6" a="1"/>
  <c r="T913" i="6"/>
  <c r="T914" i="6" a="1"/>
  <c r="T914" i="6" s="1"/>
  <c r="T915" i="6" a="1"/>
  <c r="T915" i="6"/>
  <c r="T916" i="6" a="1"/>
  <c r="T916" i="6" s="1"/>
  <c r="T917" i="6" a="1"/>
  <c r="T917" i="6"/>
  <c r="T918" i="6" a="1"/>
  <c r="T918" i="6" s="1"/>
  <c r="T919" i="6" a="1"/>
  <c r="T919" i="6"/>
  <c r="T920" i="6" a="1"/>
  <c r="T920" i="6" s="1"/>
  <c r="T921" i="6" a="1"/>
  <c r="T921" i="6"/>
  <c r="T922" i="6" a="1"/>
  <c r="T922" i="6" s="1"/>
  <c r="T923" i="6" a="1"/>
  <c r="T923" i="6"/>
  <c r="T924" i="6" a="1"/>
  <c r="T924" i="6" s="1"/>
  <c r="T925" i="6" a="1"/>
  <c r="T925" i="6"/>
  <c r="T926" i="6" a="1"/>
  <c r="T926" i="6" s="1"/>
  <c r="T927" i="6" a="1"/>
  <c r="T927" i="6"/>
  <c r="T928" i="6" a="1"/>
  <c r="T928" i="6" s="1"/>
  <c r="T929" i="6" a="1"/>
  <c r="T929" i="6"/>
  <c r="T930" i="6" a="1"/>
  <c r="T930" i="6" s="1"/>
  <c r="T931" i="6" a="1"/>
  <c r="T931" i="6"/>
  <c r="T932" i="6" a="1"/>
  <c r="T932" i="6" s="1"/>
  <c r="T933" i="6" a="1"/>
  <c r="T933" i="6"/>
  <c r="T934" i="6" a="1"/>
  <c r="T934" i="6" s="1"/>
  <c r="T935" i="6" a="1"/>
  <c r="T935" i="6"/>
  <c r="T936" i="6" a="1"/>
  <c r="T936" i="6" s="1"/>
  <c r="T937" i="6" a="1"/>
  <c r="T937" i="6"/>
  <c r="T938" i="6" a="1"/>
  <c r="T938" i="6" s="1"/>
  <c r="T939" i="6" a="1"/>
  <c r="T939" i="6"/>
  <c r="T940" i="6" a="1"/>
  <c r="T940" i="6" s="1"/>
  <c r="T941" i="6" a="1"/>
  <c r="T941" i="6"/>
  <c r="T942" i="6" a="1"/>
  <c r="T942" i="6" s="1"/>
  <c r="T943" i="6" a="1"/>
  <c r="T943" i="6"/>
  <c r="T944" i="6" a="1"/>
  <c r="T944" i="6" s="1"/>
  <c r="T945" i="6" a="1"/>
  <c r="T945" i="6"/>
  <c r="T946" i="6" a="1"/>
  <c r="T946" i="6" s="1"/>
  <c r="T947" i="6" a="1"/>
  <c r="T947" i="6"/>
  <c r="T948" i="6" a="1"/>
  <c r="T948" i="6" s="1"/>
  <c r="T949" i="6" a="1"/>
  <c r="T949" i="6"/>
  <c r="T950" i="6" a="1"/>
  <c r="T950" i="6" s="1"/>
  <c r="T951" i="6" a="1"/>
  <c r="T951" i="6"/>
  <c r="T952" i="6" a="1"/>
  <c r="T952" i="6" s="1"/>
  <c r="T953" i="6" a="1"/>
  <c r="T953" i="6"/>
  <c r="T954" i="6" a="1"/>
  <c r="T954" i="6" s="1"/>
  <c r="T955" i="6" a="1"/>
  <c r="T955" i="6"/>
  <c r="T956" i="6" a="1"/>
  <c r="T956" i="6" s="1"/>
  <c r="T957" i="6" a="1"/>
  <c r="T957" i="6"/>
  <c r="T958" i="6" a="1"/>
  <c r="T958" i="6" s="1"/>
  <c r="T959" i="6" a="1"/>
  <c r="T959" i="6"/>
  <c r="T960" i="6" a="1"/>
  <c r="T960" i="6" s="1"/>
  <c r="T961" i="6" a="1"/>
  <c r="T961" i="6"/>
  <c r="T962" i="6" a="1"/>
  <c r="T962" i="6" s="1"/>
  <c r="T963" i="6" a="1"/>
  <c r="T963" i="6"/>
  <c r="T964" i="6" a="1"/>
  <c r="T964" i="6" s="1"/>
  <c r="T965" i="6" a="1"/>
  <c r="T965" i="6"/>
  <c r="T966" i="6" a="1"/>
  <c r="T966" i="6" s="1"/>
  <c r="T967" i="6" a="1"/>
  <c r="T967" i="6"/>
  <c r="T968" i="6" a="1"/>
  <c r="T968" i="6" s="1"/>
  <c r="T969" i="6" a="1"/>
  <c r="T969" i="6"/>
  <c r="T970" i="6" a="1"/>
  <c r="T970" i="6" s="1"/>
  <c r="T971" i="6" a="1"/>
  <c r="T971" i="6"/>
  <c r="T972" i="6" a="1"/>
  <c r="T972" i="6" s="1"/>
  <c r="T973" i="6" a="1"/>
  <c r="T973" i="6"/>
  <c r="T974" i="6" a="1"/>
  <c r="T974" i="6" s="1"/>
  <c r="T975" i="6" a="1"/>
  <c r="T975" i="6"/>
  <c r="T976" i="6" a="1"/>
  <c r="T976" i="6" s="1"/>
  <c r="T977" i="6" a="1"/>
  <c r="T977" i="6"/>
  <c r="T978" i="6" a="1"/>
  <c r="T978" i="6" s="1"/>
  <c r="T979" i="6" a="1"/>
  <c r="T979" i="6"/>
  <c r="T980" i="6" a="1"/>
  <c r="T980" i="6" s="1"/>
  <c r="T981" i="6" a="1"/>
  <c r="T981" i="6"/>
  <c r="T982" i="6" a="1"/>
  <c r="T982" i="6" s="1"/>
  <c r="T983" i="6" a="1"/>
  <c r="T983" i="6"/>
  <c r="T984" i="6" a="1"/>
  <c r="T984" i="6" s="1"/>
  <c r="T985" i="6" a="1"/>
  <c r="T985" i="6"/>
  <c r="T986" i="6" a="1"/>
  <c r="T986" i="6" s="1"/>
  <c r="T987" i="6" a="1"/>
  <c r="T987" i="6"/>
  <c r="T988" i="6" a="1"/>
  <c r="T988" i="6" s="1"/>
  <c r="T989" i="6" a="1"/>
  <c r="T989" i="6"/>
  <c r="T990" i="6" a="1"/>
  <c r="T990" i="6" s="1"/>
  <c r="T991" i="6" a="1"/>
  <c r="T991" i="6"/>
  <c r="T992" i="6" a="1"/>
  <c r="T992" i="6" s="1"/>
  <c r="T993" i="6" a="1"/>
  <c r="T993" i="6"/>
  <c r="T994" i="6" a="1"/>
  <c r="T994" i="6" s="1"/>
  <c r="T995" i="6" a="1"/>
  <c r="T995" i="6"/>
  <c r="T996" i="6" a="1"/>
  <c r="T996" i="6" s="1"/>
  <c r="T997" i="6" a="1"/>
  <c r="T997" i="6"/>
  <c r="T998" i="6" a="1"/>
  <c r="T998" i="6" s="1"/>
  <c r="T999" i="6" a="1"/>
  <c r="T999" i="6"/>
  <c r="T1000" i="6" a="1"/>
  <c r="T1000" i="6" s="1"/>
  <c r="T1001" i="6" a="1"/>
  <c r="T1001" i="6"/>
  <c r="T2" i="6" a="1"/>
  <c r="T2" i="6" s="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C4" i="7"/>
  <c r="C2" i="7"/>
  <c r="C3" i="7"/>
  <c r="C10" i="7" s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C8" i="7" l="1"/>
  <c r="C9" i="7"/>
  <c r="P2" i="6" l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2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2" i="6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F3" i="2"/>
  <c r="F4" i="2"/>
  <c r="F5" i="2"/>
  <c r="F6" i="2"/>
  <c r="F7" i="2"/>
  <c r="F8" i="2"/>
  <c r="F9" i="2"/>
  <c r="F10" i="2"/>
  <c r="F2" i="2"/>
  <c r="H3" i="1"/>
  <c r="H5" i="1"/>
  <c r="H9" i="1"/>
  <c r="H13" i="1"/>
  <c r="H16" i="1"/>
  <c r="H25" i="1"/>
  <c r="H35" i="1"/>
  <c r="H37" i="1"/>
  <c r="H41" i="1"/>
  <c r="H45" i="1"/>
  <c r="H53" i="1"/>
  <c r="H59" i="1"/>
  <c r="H61" i="1"/>
  <c r="H63" i="1"/>
  <c r="H69" i="1"/>
  <c r="H73" i="1"/>
  <c r="H77" i="1"/>
  <c r="H89" i="1"/>
  <c r="H95" i="1"/>
  <c r="H101" i="1"/>
  <c r="H105" i="1"/>
  <c r="H109" i="1"/>
  <c r="H117" i="1"/>
  <c r="H125" i="1"/>
  <c r="H131" i="1"/>
  <c r="H133" i="1"/>
  <c r="H137" i="1"/>
  <c r="H141" i="1"/>
  <c r="H153" i="1"/>
  <c r="H163" i="1"/>
  <c r="H165" i="1"/>
  <c r="H169" i="1"/>
  <c r="H173" i="1"/>
  <c r="H181" i="1"/>
  <c r="H187" i="1"/>
  <c r="H189" i="1"/>
  <c r="H191" i="1"/>
  <c r="H197" i="1"/>
  <c r="H201" i="1"/>
  <c r="H205" i="1"/>
  <c r="H217" i="1"/>
  <c r="H223" i="1"/>
  <c r="H229" i="1"/>
  <c r="H233" i="1"/>
  <c r="H237" i="1"/>
  <c r="H244" i="1"/>
  <c r="H245" i="1"/>
  <c r="H253" i="1"/>
  <c r="H259" i="1"/>
  <c r="H261" i="1"/>
  <c r="H265" i="1"/>
  <c r="H269" i="1"/>
  <c r="H281" i="1"/>
  <c r="H291" i="1"/>
  <c r="H293" i="1"/>
  <c r="H297" i="1"/>
  <c r="H301" i="1"/>
  <c r="H309" i="1"/>
  <c r="H315" i="1"/>
  <c r="H317" i="1"/>
  <c r="H319" i="1"/>
  <c r="H325" i="1"/>
  <c r="H329" i="1"/>
  <c r="H333" i="1"/>
  <c r="H345" i="1"/>
  <c r="H349" i="1"/>
  <c r="H357" i="1"/>
  <c r="H361" i="1"/>
  <c r="H365" i="1"/>
  <c r="H373" i="1"/>
  <c r="H377" i="1"/>
  <c r="H381" i="1"/>
  <c r="H389" i="1"/>
  <c r="H393" i="1"/>
  <c r="H397" i="1"/>
  <c r="H405" i="1"/>
  <c r="H409" i="1"/>
  <c r="H413" i="1"/>
  <c r="H421" i="1"/>
  <c r="H425" i="1"/>
  <c r="H429" i="1"/>
  <c r="H437" i="1"/>
  <c r="H441" i="1"/>
  <c r="H445" i="1"/>
  <c r="H453" i="1"/>
  <c r="H457" i="1"/>
  <c r="H461" i="1"/>
  <c r="H469" i="1"/>
  <c r="H473" i="1"/>
  <c r="H477" i="1"/>
  <c r="H485" i="1"/>
  <c r="H489" i="1"/>
  <c r="H493" i="1"/>
  <c r="H501" i="1"/>
  <c r="H505" i="1"/>
  <c r="H509" i="1"/>
  <c r="H517" i="1"/>
  <c r="H521" i="1"/>
  <c r="H525" i="1"/>
  <c r="H533" i="1"/>
  <c r="H537" i="1"/>
  <c r="H541" i="1"/>
  <c r="H549" i="1"/>
  <c r="H553" i="1"/>
  <c r="H557" i="1"/>
  <c r="H565" i="1"/>
  <c r="H569" i="1"/>
  <c r="H573" i="1"/>
  <c r="H581" i="1"/>
  <c r="H585" i="1"/>
  <c r="H589" i="1"/>
  <c r="H597" i="1"/>
  <c r="H601" i="1"/>
  <c r="H605" i="1"/>
  <c r="H613" i="1"/>
  <c r="H617" i="1"/>
  <c r="H621" i="1"/>
  <c r="H629" i="1"/>
  <c r="H633" i="1"/>
  <c r="H637" i="1"/>
  <c r="H645" i="1"/>
  <c r="H649" i="1"/>
  <c r="H653" i="1"/>
  <c r="H661" i="1"/>
  <c r="H665" i="1"/>
  <c r="H669" i="1"/>
  <c r="H677" i="1"/>
  <c r="H681" i="1"/>
  <c r="H685" i="1"/>
  <c r="H693" i="1"/>
  <c r="H697" i="1"/>
  <c r="H701" i="1"/>
  <c r="H709" i="1"/>
  <c r="H713" i="1"/>
  <c r="H717" i="1"/>
  <c r="H725" i="1"/>
  <c r="H729" i="1"/>
  <c r="H733" i="1"/>
  <c r="H741" i="1"/>
  <c r="H745" i="1"/>
  <c r="H749" i="1"/>
  <c r="H757" i="1"/>
  <c r="H761" i="1"/>
  <c r="H765" i="1"/>
  <c r="H771" i="1"/>
  <c r="H787" i="1"/>
  <c r="H803" i="1"/>
  <c r="H819" i="1"/>
  <c r="H835" i="1"/>
  <c r="H851" i="1"/>
  <c r="H867" i="1"/>
  <c r="H883" i="1"/>
  <c r="H899" i="1"/>
  <c r="H915" i="1"/>
  <c r="H931" i="1"/>
  <c r="H947" i="1"/>
  <c r="H963" i="1"/>
  <c r="H979" i="1"/>
  <c r="H99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H21" i="1" s="1"/>
  <c r="G22" i="1"/>
  <c r="G23" i="1"/>
  <c r="G24" i="1"/>
  <c r="G25" i="1"/>
  <c r="G26" i="1"/>
  <c r="G27" i="1"/>
  <c r="H27" i="1" s="1"/>
  <c r="G28" i="1"/>
  <c r="G29" i="1"/>
  <c r="H29" i="1" s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H57" i="1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H85" i="1" s="1"/>
  <c r="G86" i="1"/>
  <c r="G87" i="1"/>
  <c r="G88" i="1"/>
  <c r="G89" i="1"/>
  <c r="G90" i="1"/>
  <c r="G91" i="1"/>
  <c r="G92" i="1"/>
  <c r="G93" i="1"/>
  <c r="H93" i="1" s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H121" i="1" s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H149" i="1" s="1"/>
  <c r="G150" i="1"/>
  <c r="G151" i="1"/>
  <c r="G152" i="1"/>
  <c r="G153" i="1"/>
  <c r="G154" i="1"/>
  <c r="G155" i="1"/>
  <c r="H155" i="1" s="1"/>
  <c r="G156" i="1"/>
  <c r="G157" i="1"/>
  <c r="H157" i="1" s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H185" i="1" s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H213" i="1" s="1"/>
  <c r="G214" i="1"/>
  <c r="G215" i="1"/>
  <c r="G216" i="1"/>
  <c r="G217" i="1"/>
  <c r="G218" i="1"/>
  <c r="G219" i="1"/>
  <c r="G220" i="1"/>
  <c r="G221" i="1"/>
  <c r="H221" i="1" s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H249" i="1" s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H277" i="1" s="1"/>
  <c r="G278" i="1"/>
  <c r="G279" i="1"/>
  <c r="G280" i="1"/>
  <c r="G281" i="1"/>
  <c r="G282" i="1"/>
  <c r="G283" i="1"/>
  <c r="H283" i="1" s="1"/>
  <c r="G284" i="1"/>
  <c r="G285" i="1"/>
  <c r="H285" i="1" s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H313" i="1" s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H341" i="1" s="1"/>
  <c r="G342" i="1"/>
  <c r="G343" i="1"/>
  <c r="G344" i="1"/>
  <c r="G345" i="1"/>
  <c r="G346" i="1"/>
  <c r="G347" i="1"/>
  <c r="G348" i="1"/>
  <c r="G349" i="1"/>
  <c r="G350" i="1"/>
  <c r="G351" i="1"/>
  <c r="G352" i="1"/>
  <c r="G353" i="1"/>
  <c r="H353" i="1" s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H369" i="1" s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H385" i="1" s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H401" i="1" s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H417" i="1" s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H433" i="1" s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H449" i="1" s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H465" i="1" s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H481" i="1" s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H497" i="1" s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H513" i="1" s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H529" i="1" s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H545" i="1" s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H561" i="1" s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H577" i="1" s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H593" i="1" s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H609" i="1" s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H625" i="1" s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H641" i="1" s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H657" i="1" s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H673" i="1" s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H689" i="1" s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H705" i="1" s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H721" i="1" s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H737" i="1" s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H753" i="1" s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H769" i="1" s="1"/>
  <c r="G770" i="1"/>
  <c r="G771" i="1"/>
  <c r="G772" i="1"/>
  <c r="G773" i="1"/>
  <c r="H773" i="1" s="1"/>
  <c r="G774" i="1"/>
  <c r="G775" i="1"/>
  <c r="G776" i="1"/>
  <c r="H776" i="1" s="1"/>
  <c r="G777" i="1"/>
  <c r="H777" i="1" s="1"/>
  <c r="G778" i="1"/>
  <c r="G779" i="1"/>
  <c r="H779" i="1" s="1"/>
  <c r="G780" i="1"/>
  <c r="G781" i="1"/>
  <c r="H781" i="1" s="1"/>
  <c r="G782" i="1"/>
  <c r="G783" i="1"/>
  <c r="G784" i="1"/>
  <c r="G785" i="1"/>
  <c r="H785" i="1" s="1"/>
  <c r="G786" i="1"/>
  <c r="G787" i="1"/>
  <c r="G788" i="1"/>
  <c r="G789" i="1"/>
  <c r="H789" i="1" s="1"/>
  <c r="G790" i="1"/>
  <c r="G791" i="1"/>
  <c r="G792" i="1"/>
  <c r="G793" i="1"/>
  <c r="H793" i="1" s="1"/>
  <c r="G794" i="1"/>
  <c r="G795" i="1"/>
  <c r="H795" i="1" s="1"/>
  <c r="G796" i="1"/>
  <c r="G797" i="1"/>
  <c r="H797" i="1" s="1"/>
  <c r="G798" i="1"/>
  <c r="H798" i="1" s="1"/>
  <c r="G799" i="1"/>
  <c r="G800" i="1"/>
  <c r="G801" i="1"/>
  <c r="H801" i="1" s="1"/>
  <c r="G802" i="1"/>
  <c r="G803" i="1"/>
  <c r="G804" i="1"/>
  <c r="G805" i="1"/>
  <c r="H805" i="1" s="1"/>
  <c r="G806" i="1"/>
  <c r="G807" i="1"/>
  <c r="G808" i="1"/>
  <c r="H808" i="1" s="1"/>
  <c r="G809" i="1"/>
  <c r="H809" i="1" s="1"/>
  <c r="G810" i="1"/>
  <c r="G811" i="1"/>
  <c r="H811" i="1" s="1"/>
  <c r="G812" i="1"/>
  <c r="G813" i="1"/>
  <c r="H813" i="1" s="1"/>
  <c r="G814" i="1"/>
  <c r="G815" i="1"/>
  <c r="G816" i="1"/>
  <c r="G817" i="1"/>
  <c r="H817" i="1" s="1"/>
  <c r="G818" i="1"/>
  <c r="G819" i="1"/>
  <c r="G820" i="1"/>
  <c r="G821" i="1"/>
  <c r="H821" i="1" s="1"/>
  <c r="G822" i="1"/>
  <c r="G823" i="1"/>
  <c r="G824" i="1"/>
  <c r="G825" i="1"/>
  <c r="H825" i="1" s="1"/>
  <c r="G826" i="1"/>
  <c r="G827" i="1"/>
  <c r="H827" i="1" s="1"/>
  <c r="G828" i="1"/>
  <c r="G829" i="1"/>
  <c r="H829" i="1" s="1"/>
  <c r="G830" i="1"/>
  <c r="H830" i="1" s="1"/>
  <c r="G831" i="1"/>
  <c r="G832" i="1"/>
  <c r="G833" i="1"/>
  <c r="H833" i="1" s="1"/>
  <c r="G834" i="1"/>
  <c r="G835" i="1"/>
  <c r="G836" i="1"/>
  <c r="G837" i="1"/>
  <c r="H837" i="1" s="1"/>
  <c r="G838" i="1"/>
  <c r="G839" i="1"/>
  <c r="G840" i="1"/>
  <c r="H840" i="1" s="1"/>
  <c r="G841" i="1"/>
  <c r="H841" i="1" s="1"/>
  <c r="G842" i="1"/>
  <c r="G843" i="1"/>
  <c r="H843" i="1" s="1"/>
  <c r="G844" i="1"/>
  <c r="G845" i="1"/>
  <c r="H845" i="1" s="1"/>
  <c r="G846" i="1"/>
  <c r="G847" i="1"/>
  <c r="G848" i="1"/>
  <c r="G849" i="1"/>
  <c r="H849" i="1" s="1"/>
  <c r="G850" i="1"/>
  <c r="G851" i="1"/>
  <c r="G852" i="1"/>
  <c r="G853" i="1"/>
  <c r="H853" i="1" s="1"/>
  <c r="G854" i="1"/>
  <c r="G855" i="1"/>
  <c r="G856" i="1"/>
  <c r="G857" i="1"/>
  <c r="H857" i="1" s="1"/>
  <c r="G858" i="1"/>
  <c r="G859" i="1"/>
  <c r="H859" i="1" s="1"/>
  <c r="G860" i="1"/>
  <c r="G861" i="1"/>
  <c r="H861" i="1" s="1"/>
  <c r="G862" i="1"/>
  <c r="H862" i="1" s="1"/>
  <c r="G863" i="1"/>
  <c r="G864" i="1"/>
  <c r="G865" i="1"/>
  <c r="H865" i="1" s="1"/>
  <c r="G866" i="1"/>
  <c r="G867" i="1"/>
  <c r="G868" i="1"/>
  <c r="G869" i="1"/>
  <c r="H869" i="1" s="1"/>
  <c r="G870" i="1"/>
  <c r="G871" i="1"/>
  <c r="G872" i="1"/>
  <c r="H872" i="1" s="1"/>
  <c r="G873" i="1"/>
  <c r="H873" i="1" s="1"/>
  <c r="G874" i="1"/>
  <c r="G875" i="1"/>
  <c r="H875" i="1" s="1"/>
  <c r="G876" i="1"/>
  <c r="G877" i="1"/>
  <c r="H877" i="1" s="1"/>
  <c r="G878" i="1"/>
  <c r="G879" i="1"/>
  <c r="G880" i="1"/>
  <c r="G881" i="1"/>
  <c r="H881" i="1" s="1"/>
  <c r="G882" i="1"/>
  <c r="G883" i="1"/>
  <c r="G884" i="1"/>
  <c r="G885" i="1"/>
  <c r="H885" i="1" s="1"/>
  <c r="G886" i="1"/>
  <c r="G887" i="1"/>
  <c r="G888" i="1"/>
  <c r="G889" i="1"/>
  <c r="H889" i="1" s="1"/>
  <c r="G890" i="1"/>
  <c r="G891" i="1"/>
  <c r="H891" i="1" s="1"/>
  <c r="G892" i="1"/>
  <c r="G893" i="1"/>
  <c r="H893" i="1" s="1"/>
  <c r="G894" i="1"/>
  <c r="H894" i="1" s="1"/>
  <c r="G895" i="1"/>
  <c r="G896" i="1"/>
  <c r="G897" i="1"/>
  <c r="H897" i="1" s="1"/>
  <c r="G898" i="1"/>
  <c r="G899" i="1"/>
  <c r="G900" i="1"/>
  <c r="G901" i="1"/>
  <c r="H901" i="1" s="1"/>
  <c r="G902" i="1"/>
  <c r="G903" i="1"/>
  <c r="G904" i="1"/>
  <c r="H904" i="1" s="1"/>
  <c r="G905" i="1"/>
  <c r="H905" i="1" s="1"/>
  <c r="G906" i="1"/>
  <c r="G907" i="1"/>
  <c r="H907" i="1" s="1"/>
  <c r="G908" i="1"/>
  <c r="G909" i="1"/>
  <c r="H909" i="1" s="1"/>
  <c r="G910" i="1"/>
  <c r="G911" i="1"/>
  <c r="G912" i="1"/>
  <c r="G913" i="1"/>
  <c r="H913" i="1" s="1"/>
  <c r="G914" i="1"/>
  <c r="G915" i="1"/>
  <c r="G916" i="1"/>
  <c r="G917" i="1"/>
  <c r="H917" i="1" s="1"/>
  <c r="G918" i="1"/>
  <c r="G919" i="1"/>
  <c r="G920" i="1"/>
  <c r="G921" i="1"/>
  <c r="H921" i="1" s="1"/>
  <c r="G922" i="1"/>
  <c r="G923" i="1"/>
  <c r="H923" i="1" s="1"/>
  <c r="G924" i="1"/>
  <c r="G925" i="1"/>
  <c r="H925" i="1" s="1"/>
  <c r="G926" i="1"/>
  <c r="H926" i="1" s="1"/>
  <c r="G927" i="1"/>
  <c r="G928" i="1"/>
  <c r="G929" i="1"/>
  <c r="H929" i="1" s="1"/>
  <c r="G930" i="1"/>
  <c r="G931" i="1"/>
  <c r="G932" i="1"/>
  <c r="G933" i="1"/>
  <c r="H933" i="1" s="1"/>
  <c r="G934" i="1"/>
  <c r="G935" i="1"/>
  <c r="G936" i="1"/>
  <c r="H936" i="1" s="1"/>
  <c r="G937" i="1"/>
  <c r="H937" i="1" s="1"/>
  <c r="G938" i="1"/>
  <c r="G939" i="1"/>
  <c r="H939" i="1" s="1"/>
  <c r="G940" i="1"/>
  <c r="G941" i="1"/>
  <c r="H941" i="1" s="1"/>
  <c r="G942" i="1"/>
  <c r="G943" i="1"/>
  <c r="G944" i="1"/>
  <c r="G945" i="1"/>
  <c r="H945" i="1" s="1"/>
  <c r="G946" i="1"/>
  <c r="G947" i="1"/>
  <c r="G948" i="1"/>
  <c r="G949" i="1"/>
  <c r="H949" i="1" s="1"/>
  <c r="G950" i="1"/>
  <c r="G951" i="1"/>
  <c r="G952" i="1"/>
  <c r="G953" i="1"/>
  <c r="H953" i="1" s="1"/>
  <c r="G954" i="1"/>
  <c r="G955" i="1"/>
  <c r="H955" i="1" s="1"/>
  <c r="G956" i="1"/>
  <c r="G957" i="1"/>
  <c r="H957" i="1" s="1"/>
  <c r="G958" i="1"/>
  <c r="H958" i="1" s="1"/>
  <c r="G959" i="1"/>
  <c r="G960" i="1"/>
  <c r="G961" i="1"/>
  <c r="H961" i="1" s="1"/>
  <c r="G962" i="1"/>
  <c r="G963" i="1"/>
  <c r="G964" i="1"/>
  <c r="G965" i="1"/>
  <c r="H965" i="1" s="1"/>
  <c r="G966" i="1"/>
  <c r="G967" i="1"/>
  <c r="G968" i="1"/>
  <c r="H968" i="1" s="1"/>
  <c r="G969" i="1"/>
  <c r="H969" i="1" s="1"/>
  <c r="G970" i="1"/>
  <c r="G971" i="1"/>
  <c r="H971" i="1" s="1"/>
  <c r="G972" i="1"/>
  <c r="G973" i="1"/>
  <c r="H973" i="1" s="1"/>
  <c r="G974" i="1"/>
  <c r="G975" i="1"/>
  <c r="G976" i="1"/>
  <c r="G977" i="1"/>
  <c r="H977" i="1" s="1"/>
  <c r="G978" i="1"/>
  <c r="G979" i="1"/>
  <c r="G980" i="1"/>
  <c r="G981" i="1"/>
  <c r="H981" i="1" s="1"/>
  <c r="G982" i="1"/>
  <c r="G983" i="1"/>
  <c r="G984" i="1"/>
  <c r="G985" i="1"/>
  <c r="H985" i="1" s="1"/>
  <c r="G986" i="1"/>
  <c r="G987" i="1"/>
  <c r="H987" i="1" s="1"/>
  <c r="G988" i="1"/>
  <c r="G989" i="1"/>
  <c r="H989" i="1" s="1"/>
  <c r="G990" i="1"/>
  <c r="H990" i="1" s="1"/>
  <c r="G991" i="1"/>
  <c r="G992" i="1"/>
  <c r="G993" i="1"/>
  <c r="H993" i="1" s="1"/>
  <c r="G994" i="1"/>
  <c r="G995" i="1"/>
  <c r="G996" i="1"/>
  <c r="G997" i="1"/>
  <c r="H997" i="1" s="1"/>
  <c r="G998" i="1"/>
  <c r="G999" i="1"/>
  <c r="G1000" i="1"/>
  <c r="H1000" i="1" s="1"/>
  <c r="G1001" i="1"/>
  <c r="H1001" i="1" s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H24" i="1" s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H48" i="1" s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H84" i="1" s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H116" i="1" s="1"/>
  <c r="F117" i="1"/>
  <c r="F118" i="1"/>
  <c r="F119" i="1"/>
  <c r="F120" i="1"/>
  <c r="H120" i="1" s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H144" i="1" s="1"/>
  <c r="F145" i="1"/>
  <c r="F146" i="1"/>
  <c r="F147" i="1"/>
  <c r="F148" i="1"/>
  <c r="F149" i="1"/>
  <c r="F150" i="1"/>
  <c r="F151" i="1"/>
  <c r="F152" i="1"/>
  <c r="H152" i="1" s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H176" i="1" s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H212" i="1" s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H248" i="1" s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H272" i="1" s="1"/>
  <c r="F273" i="1"/>
  <c r="F274" i="1"/>
  <c r="F275" i="1"/>
  <c r="F276" i="1"/>
  <c r="F277" i="1"/>
  <c r="F278" i="1"/>
  <c r="F279" i="1"/>
  <c r="F280" i="1"/>
  <c r="H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H304" i="1" s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H340" i="1" s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H360" i="1" s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B3" i="5"/>
  <c r="B4" i="5"/>
  <c r="B2" i="5"/>
  <c r="H998" i="1" l="1"/>
  <c r="H982" i="1"/>
  <c r="H974" i="1"/>
  <c r="H966" i="1"/>
  <c r="H950" i="1"/>
  <c r="H942" i="1"/>
  <c r="H934" i="1"/>
  <c r="H918" i="1"/>
  <c r="H910" i="1"/>
  <c r="H902" i="1"/>
  <c r="H890" i="1"/>
  <c r="H882" i="1"/>
  <c r="H874" i="1"/>
  <c r="H866" i="1"/>
  <c r="H850" i="1"/>
  <c r="H846" i="1"/>
  <c r="H838" i="1"/>
  <c r="H822" i="1"/>
  <c r="H814" i="1"/>
  <c r="H802" i="1"/>
  <c r="H794" i="1"/>
  <c r="H786" i="1"/>
  <c r="H778" i="1"/>
  <c r="H770" i="1"/>
  <c r="H762" i="1"/>
  <c r="H754" i="1"/>
  <c r="H746" i="1"/>
  <c r="H738" i="1"/>
  <c r="H730" i="1"/>
  <c r="H722" i="1"/>
  <c r="H714" i="1"/>
  <c r="H706" i="1"/>
  <c r="H698" i="1"/>
  <c r="H690" i="1"/>
  <c r="H682" i="1"/>
  <c r="H674" i="1"/>
  <c r="H666" i="1"/>
  <c r="H658" i="1"/>
  <c r="H650" i="1"/>
  <c r="H642" i="1"/>
  <c r="H634" i="1"/>
  <c r="H626" i="1"/>
  <c r="H618" i="1"/>
  <c r="H610" i="1"/>
  <c r="H602" i="1"/>
  <c r="H594" i="1"/>
  <c r="H586" i="1"/>
  <c r="H578" i="1"/>
  <c r="H570" i="1"/>
  <c r="H562" i="1"/>
  <c r="H554" i="1"/>
  <c r="H546" i="1"/>
  <c r="H542" i="1"/>
  <c r="H534" i="1"/>
  <c r="H526" i="1"/>
  <c r="H518" i="1"/>
  <c r="H510" i="1"/>
  <c r="H502" i="1"/>
  <c r="H494" i="1"/>
  <c r="H486" i="1"/>
  <c r="H478" i="1"/>
  <c r="H470" i="1"/>
  <c r="H462" i="1"/>
  <c r="H454" i="1"/>
  <c r="H446" i="1"/>
  <c r="H438" i="1"/>
  <c r="H434" i="1"/>
  <c r="H426" i="1"/>
  <c r="H422" i="1"/>
  <c r="H418" i="1"/>
  <c r="H414" i="1"/>
  <c r="H410" i="1"/>
  <c r="H406" i="1"/>
  <c r="H402" i="1"/>
  <c r="H398" i="1"/>
  <c r="H394" i="1"/>
  <c r="H390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2" i="1"/>
  <c r="H994" i="1"/>
  <c r="H986" i="1"/>
  <c r="H978" i="1"/>
  <c r="H970" i="1"/>
  <c r="H962" i="1"/>
  <c r="H954" i="1"/>
  <c r="H946" i="1"/>
  <c r="H938" i="1"/>
  <c r="H930" i="1"/>
  <c r="H922" i="1"/>
  <c r="H914" i="1"/>
  <c r="H906" i="1"/>
  <c r="H898" i="1"/>
  <c r="H886" i="1"/>
  <c r="H878" i="1"/>
  <c r="H870" i="1"/>
  <c r="H858" i="1"/>
  <c r="H854" i="1"/>
  <c r="H842" i="1"/>
  <c r="H834" i="1"/>
  <c r="H826" i="1"/>
  <c r="H818" i="1"/>
  <c r="H810" i="1"/>
  <c r="H806" i="1"/>
  <c r="H790" i="1"/>
  <c r="H782" i="1"/>
  <c r="H774" i="1"/>
  <c r="H766" i="1"/>
  <c r="H758" i="1"/>
  <c r="H750" i="1"/>
  <c r="H742" i="1"/>
  <c r="H734" i="1"/>
  <c r="H726" i="1"/>
  <c r="H718" i="1"/>
  <c r="H710" i="1"/>
  <c r="H702" i="1"/>
  <c r="H694" i="1"/>
  <c r="H686" i="1"/>
  <c r="H678" i="1"/>
  <c r="H670" i="1"/>
  <c r="H662" i="1"/>
  <c r="H654" i="1"/>
  <c r="H646" i="1"/>
  <c r="H638" i="1"/>
  <c r="H630" i="1"/>
  <c r="H622" i="1"/>
  <c r="H614" i="1"/>
  <c r="H606" i="1"/>
  <c r="H598" i="1"/>
  <c r="H590" i="1"/>
  <c r="H582" i="1"/>
  <c r="H574" i="1"/>
  <c r="H566" i="1"/>
  <c r="H558" i="1"/>
  <c r="H550" i="1"/>
  <c r="H538" i="1"/>
  <c r="H530" i="1"/>
  <c r="H522" i="1"/>
  <c r="H514" i="1"/>
  <c r="H506" i="1"/>
  <c r="H498" i="1"/>
  <c r="H490" i="1"/>
  <c r="H482" i="1"/>
  <c r="H474" i="1"/>
  <c r="H466" i="1"/>
  <c r="H458" i="1"/>
  <c r="H450" i="1"/>
  <c r="H442" i="1"/>
  <c r="H430" i="1"/>
  <c r="H386" i="1"/>
  <c r="H996" i="1"/>
  <c r="H992" i="1"/>
  <c r="H988" i="1"/>
  <c r="H984" i="1"/>
  <c r="H980" i="1"/>
  <c r="H976" i="1"/>
  <c r="H972" i="1"/>
  <c r="H964" i="1"/>
  <c r="H960" i="1"/>
  <c r="H956" i="1"/>
  <c r="H952" i="1"/>
  <c r="H948" i="1"/>
  <c r="H944" i="1"/>
  <c r="H940" i="1"/>
  <c r="H932" i="1"/>
  <c r="H928" i="1"/>
  <c r="H924" i="1"/>
  <c r="H920" i="1"/>
  <c r="H916" i="1"/>
  <c r="H912" i="1"/>
  <c r="H908" i="1"/>
  <c r="H900" i="1"/>
  <c r="H896" i="1"/>
  <c r="H892" i="1"/>
  <c r="H888" i="1"/>
  <c r="H884" i="1"/>
  <c r="H880" i="1"/>
  <c r="H876" i="1"/>
  <c r="H868" i="1"/>
  <c r="H864" i="1"/>
  <c r="H860" i="1"/>
  <c r="H856" i="1"/>
  <c r="H852" i="1"/>
  <c r="H848" i="1"/>
  <c r="H844" i="1"/>
  <c r="H836" i="1"/>
  <c r="H832" i="1"/>
  <c r="H828" i="1"/>
  <c r="H824" i="1"/>
  <c r="H820" i="1"/>
  <c r="H816" i="1"/>
  <c r="H812" i="1"/>
  <c r="H804" i="1"/>
  <c r="H800" i="1"/>
  <c r="H796" i="1"/>
  <c r="H792" i="1"/>
  <c r="H788" i="1"/>
  <c r="H784" i="1"/>
  <c r="H780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592" i="1"/>
  <c r="H584" i="1"/>
  <c r="H560" i="1"/>
  <c r="H552" i="1"/>
  <c r="H528" i="1"/>
  <c r="H520" i="1"/>
  <c r="H496" i="1"/>
  <c r="H488" i="1"/>
  <c r="H464" i="1"/>
  <c r="H456" i="1"/>
  <c r="H432" i="1"/>
  <c r="H424" i="1"/>
  <c r="H400" i="1"/>
  <c r="H392" i="1"/>
  <c r="H368" i="1"/>
  <c r="H612" i="1"/>
  <c r="H608" i="1"/>
  <c r="H604" i="1"/>
  <c r="H600" i="1"/>
  <c r="H596" i="1"/>
  <c r="H588" i="1"/>
  <c r="H580" i="1"/>
  <c r="H576" i="1"/>
  <c r="H572" i="1"/>
  <c r="H568" i="1"/>
  <c r="H564" i="1"/>
  <c r="H556" i="1"/>
  <c r="H548" i="1"/>
  <c r="H544" i="1"/>
  <c r="H540" i="1"/>
  <c r="H536" i="1"/>
  <c r="H532" i="1"/>
  <c r="H524" i="1"/>
  <c r="H516" i="1"/>
  <c r="H512" i="1"/>
  <c r="H508" i="1"/>
  <c r="H504" i="1"/>
  <c r="H500" i="1"/>
  <c r="H492" i="1"/>
  <c r="H484" i="1"/>
  <c r="H480" i="1"/>
  <c r="H476" i="1"/>
  <c r="H472" i="1"/>
  <c r="H468" i="1"/>
  <c r="H460" i="1"/>
  <c r="H452" i="1"/>
  <c r="H448" i="1"/>
  <c r="H444" i="1"/>
  <c r="H440" i="1"/>
  <c r="H436" i="1"/>
  <c r="H428" i="1"/>
  <c r="H420" i="1"/>
  <c r="H416" i="1"/>
  <c r="H412" i="1"/>
  <c r="H408" i="1"/>
  <c r="H404" i="1"/>
  <c r="H396" i="1"/>
  <c r="H388" i="1"/>
  <c r="H384" i="1"/>
  <c r="H380" i="1"/>
  <c r="H376" i="1"/>
  <c r="H372" i="1"/>
  <c r="H364" i="1"/>
  <c r="H352" i="1"/>
  <c r="H344" i="1"/>
  <c r="H336" i="1"/>
  <c r="H312" i="1"/>
  <c r="H308" i="1"/>
  <c r="H276" i="1"/>
  <c r="H240" i="1"/>
  <c r="H216" i="1"/>
  <c r="H208" i="1"/>
  <c r="H184" i="1"/>
  <c r="H180" i="1"/>
  <c r="H148" i="1"/>
  <c r="H112" i="1"/>
  <c r="H88" i="1"/>
  <c r="H80" i="1"/>
  <c r="H56" i="1"/>
  <c r="H52" i="1"/>
  <c r="H20" i="1"/>
  <c r="H999" i="1"/>
  <c r="H991" i="1"/>
  <c r="H983" i="1"/>
  <c r="H975" i="1"/>
  <c r="H967" i="1"/>
  <c r="H959" i="1"/>
  <c r="H951" i="1"/>
  <c r="H943" i="1"/>
  <c r="H935" i="1"/>
  <c r="H927" i="1"/>
  <c r="H919" i="1"/>
  <c r="H911" i="1"/>
  <c r="H903" i="1"/>
  <c r="H895" i="1"/>
  <c r="H887" i="1"/>
  <c r="H879" i="1"/>
  <c r="H871" i="1"/>
  <c r="H863" i="1"/>
  <c r="H855" i="1"/>
  <c r="H847" i="1"/>
  <c r="H839" i="1"/>
  <c r="H831" i="1"/>
  <c r="H823" i="1"/>
  <c r="H815" i="1"/>
  <c r="H807" i="1"/>
  <c r="H799" i="1"/>
  <c r="H791" i="1"/>
  <c r="H783" i="1"/>
  <c r="H775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1" i="1"/>
  <c r="H307" i="1"/>
  <c r="H303" i="1"/>
  <c r="H299" i="1"/>
  <c r="H295" i="1"/>
  <c r="H287" i="1"/>
  <c r="H279" i="1"/>
  <c r="H275" i="1"/>
  <c r="H271" i="1"/>
  <c r="H267" i="1"/>
  <c r="H263" i="1"/>
  <c r="H255" i="1"/>
  <c r="H251" i="1"/>
  <c r="H247" i="1"/>
  <c r="H243" i="1"/>
  <c r="H239" i="1"/>
  <c r="H235" i="1"/>
  <c r="H231" i="1"/>
  <c r="H227" i="1"/>
  <c r="H219" i="1"/>
  <c r="H215" i="1"/>
  <c r="H211" i="1"/>
  <c r="H207" i="1"/>
  <c r="H203" i="1"/>
  <c r="H199" i="1"/>
  <c r="H195" i="1"/>
  <c r="H183" i="1"/>
  <c r="H179" i="1"/>
  <c r="H175" i="1"/>
  <c r="H171" i="1"/>
  <c r="H167" i="1"/>
  <c r="H159" i="1"/>
  <c r="H151" i="1"/>
  <c r="H147" i="1"/>
  <c r="H143" i="1"/>
  <c r="H139" i="1"/>
  <c r="H135" i="1"/>
  <c r="H127" i="1"/>
  <c r="H123" i="1"/>
  <c r="H119" i="1"/>
  <c r="H115" i="1"/>
  <c r="H111" i="1"/>
  <c r="H107" i="1"/>
  <c r="H103" i="1"/>
  <c r="H99" i="1"/>
  <c r="H91" i="1"/>
  <c r="H87" i="1"/>
  <c r="H83" i="1"/>
  <c r="H79" i="1"/>
  <c r="H75" i="1"/>
  <c r="H71" i="1"/>
  <c r="H67" i="1"/>
  <c r="H55" i="1"/>
  <c r="H51" i="1"/>
  <c r="H47" i="1"/>
  <c r="H43" i="1"/>
  <c r="H39" i="1"/>
  <c r="H31" i="1"/>
  <c r="H23" i="1"/>
  <c r="H19" i="1"/>
  <c r="H15" i="1"/>
  <c r="H11" i="1"/>
  <c r="H7" i="1"/>
  <c r="H356" i="1"/>
  <c r="H348" i="1"/>
  <c r="H332" i="1"/>
  <c r="H328" i="1"/>
  <c r="H324" i="1"/>
  <c r="H320" i="1"/>
  <c r="H316" i="1"/>
  <c r="H300" i="1"/>
  <c r="H296" i="1"/>
  <c r="H292" i="1"/>
  <c r="H288" i="1"/>
  <c r="H284" i="1"/>
  <c r="H268" i="1"/>
  <c r="H264" i="1"/>
  <c r="H260" i="1"/>
  <c r="H256" i="1"/>
  <c r="H252" i="1"/>
  <c r="H236" i="1"/>
  <c r="H232" i="1"/>
  <c r="H228" i="1"/>
  <c r="H224" i="1"/>
  <c r="H220" i="1"/>
  <c r="H204" i="1"/>
  <c r="H200" i="1"/>
  <c r="H196" i="1"/>
  <c r="H192" i="1"/>
  <c r="H188" i="1"/>
  <c r="H172" i="1"/>
  <c r="H168" i="1"/>
  <c r="H164" i="1"/>
  <c r="H160" i="1"/>
  <c r="H156" i="1"/>
  <c r="H140" i="1"/>
  <c r="H136" i="1"/>
  <c r="H132" i="1"/>
  <c r="H128" i="1"/>
  <c r="H124" i="1"/>
  <c r="H108" i="1"/>
  <c r="H104" i="1"/>
  <c r="H100" i="1"/>
  <c r="H96" i="1"/>
  <c r="H92" i="1"/>
  <c r="H76" i="1"/>
  <c r="H72" i="1"/>
  <c r="H68" i="1"/>
  <c r="H64" i="1"/>
  <c r="H60" i="1"/>
  <c r="H44" i="1"/>
  <c r="H40" i="1"/>
  <c r="H36" i="1"/>
  <c r="H32" i="1"/>
  <c r="H28" i="1"/>
  <c r="H12" i="1"/>
  <c r="H8" i="1"/>
  <c r="H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337" i="1"/>
  <c r="H321" i="1"/>
  <c r="H305" i="1"/>
  <c r="H289" i="1"/>
  <c r="H273" i="1"/>
  <c r="H257" i="1"/>
  <c r="H241" i="1"/>
  <c r="H225" i="1"/>
  <c r="H209" i="1"/>
  <c r="H193" i="1"/>
  <c r="H177" i="1"/>
  <c r="H161" i="1"/>
  <c r="H145" i="1"/>
  <c r="H129" i="1"/>
  <c r="H113" i="1"/>
  <c r="H97" i="1"/>
  <c r="H81" i="1"/>
  <c r="H65" i="1"/>
  <c r="H49" i="1"/>
  <c r="H33" i="1"/>
  <c r="H17" i="1"/>
  <c r="D4" i="4"/>
  <c r="D3" i="4"/>
  <c r="D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<sst xmlns="http://schemas.openxmlformats.org/spreadsheetml/2006/main" count="46065" uniqueCount="22341">
  <si>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</si>
  <si>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</si>
  <si>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</si>
  <si>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</si>
  <si>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</si>
  <si>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</si>
  <si>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</si>
  <si>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</si>
  <si>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</si>
  <si>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</si>
  <si>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</si>
  <si>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</si>
  <si>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</si>
  <si>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</si>
  <si>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</si>
  <si>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</si>
  <si>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</si>
  <si>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</si>
  <si>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</si>
  <si>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</si>
  <si>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</si>
  <si>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</si>
  <si>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</si>
  <si>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</si>
  <si>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</si>
  <si>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</si>
  <si>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</si>
  <si>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</si>
  <si>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</si>
  <si>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</si>
  <si>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</si>
  <si>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</si>
  <si>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</si>
  <si>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</si>
  <si>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</si>
  <si>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</si>
  <si>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</si>
  <si>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</si>
  <si>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</si>
  <si>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</si>
  <si>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</si>
  <si>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</si>
  <si>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</si>
  <si>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</si>
  <si>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</si>
  <si>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</si>
  <si>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</si>
  <si>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</si>
  <si>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</si>
  <si>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</si>
  <si>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</si>
  <si>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</si>
  <si>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</si>
  <si>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</si>
  <si>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</si>
  <si>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</si>
  <si>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</si>
  <si>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</si>
  <si>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</si>
  <si>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</si>
  <si>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</si>
  <si>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</si>
  <si>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</si>
  <si>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</si>
  <si>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</si>
  <si>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</si>
  <si>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</si>
  <si>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</si>
  <si>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</si>
  <si>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</si>
  <si>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</si>
  <si>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</si>
  <si>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</si>
  <si>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</si>
  <si>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</si>
  <si>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</si>
  <si>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</si>
  <si>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</si>
  <si>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</si>
  <si>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</si>
  <si>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</si>
  <si>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</si>
  <si>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</si>
  <si>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</si>
  <si>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</si>
  <si>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</si>
  <si>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</si>
  <si>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</si>
  <si>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</si>
  <si>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</si>
  <si>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</si>
  <si>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</si>
  <si>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</si>
  <si>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</si>
  <si>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</si>
  <si>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</si>
  <si>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</si>
  <si>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</si>
  <si>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</si>
  <si>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</si>
  <si>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</si>
  <si>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</si>
  <si>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</si>
  <si>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</si>
  <si>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</si>
  <si>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</si>
  <si>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</si>
  <si>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</si>
  <si>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</si>
  <si>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</si>
  <si>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</si>
  <si>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</si>
  <si>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</si>
  <si>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</si>
  <si>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</si>
  <si>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</si>
  <si>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</si>
  <si>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</si>
  <si>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</si>
  <si>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</si>
  <si>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</si>
  <si>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</si>
  <si>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</si>
  <si>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</si>
  <si>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</si>
  <si>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</si>
  <si>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</si>
  <si>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</si>
  <si>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</si>
  <si>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</si>
  <si>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</si>
  <si>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</si>
  <si>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</si>
  <si>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</si>
  <si>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</si>
  <si>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</si>
  <si>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</si>
  <si>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</si>
  <si>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</si>
  <si>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</si>
  <si>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</si>
  <si>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</si>
  <si>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</si>
  <si>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</si>
  <si>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</si>
  <si>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</si>
  <si>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</si>
  <si>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</si>
  <si>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</si>
  <si>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</si>
  <si>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</si>
  <si>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</si>
  <si>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</si>
  <si>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</si>
  <si>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</si>
  <si>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</si>
  <si>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</si>
  <si>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</si>
  <si>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</si>
  <si>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</si>
  <si>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</si>
  <si>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</si>
  <si>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</si>
  <si>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</si>
  <si>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</si>
  <si>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</si>
  <si>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</si>
  <si>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</si>
  <si>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</si>
  <si>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</si>
  <si>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</si>
  <si>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</si>
  <si>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</si>
  <si>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</si>
  <si>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</si>
  <si>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</si>
  <si>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</si>
  <si>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</si>
  <si>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</si>
  <si>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</si>
  <si>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</si>
  <si>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</si>
  <si>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</si>
  <si>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</si>
  <si>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</si>
  <si>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</si>
  <si>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</si>
  <si>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</si>
  <si>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</si>
  <si>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</si>
  <si>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</si>
  <si>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</si>
  <si>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</si>
  <si>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</si>
  <si>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</si>
  <si>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</si>
  <si>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</si>
  <si>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</si>
  <si>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</si>
  <si>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</si>
  <si>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</si>
  <si>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</si>
  <si>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</si>
  <si>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</si>
  <si>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</si>
  <si>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</si>
  <si>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</si>
  <si>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</si>
  <si>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</si>
  <si>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</si>
  <si>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</si>
  <si>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</si>
  <si>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</si>
  <si>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</si>
  <si>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</si>
  <si>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</si>
  <si>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</si>
  <si>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</si>
  <si>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</si>
  <si>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</si>
  <si>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</si>
  <si>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</si>
  <si>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</si>
  <si>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</si>
  <si>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</si>
  <si>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</si>
  <si>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</si>
  <si>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</si>
  <si>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</si>
  <si>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</si>
  <si>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</si>
  <si>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</si>
  <si>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</si>
  <si>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</si>
  <si>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</si>
  <si>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</si>
  <si>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</si>
  <si>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</si>
  <si>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</si>
  <si>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</si>
  <si>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</si>
  <si>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</si>
  <si>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</si>
  <si>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</si>
  <si>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</si>
  <si>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</si>
  <si>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</si>
  <si>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</si>
  <si>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</si>
  <si>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</si>
  <si>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</si>
  <si>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</si>
  <si>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</si>
  <si>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</si>
  <si>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</si>
  <si>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</si>
  <si>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</si>
  <si>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</si>
  <si>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</si>
  <si>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</si>
  <si>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</si>
  <si>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</si>
  <si>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</si>
  <si>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</si>
  <si>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</si>
  <si>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</si>
  <si>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</si>
  <si>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</si>
  <si>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</si>
  <si>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</si>
  <si>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</si>
  <si>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</si>
  <si>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</si>
  <si>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</si>
  <si>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</si>
  <si>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</si>
  <si>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</si>
  <si>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</si>
  <si>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</si>
  <si>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</si>
  <si>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</si>
  <si>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</si>
  <si>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</si>
  <si>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</si>
  <si>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</si>
  <si>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</si>
  <si>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</si>
  <si>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</si>
  <si>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</si>
  <si>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</si>
  <si>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</si>
  <si>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</si>
  <si>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</si>
  <si>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</si>
  <si>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</si>
  <si>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</si>
  <si>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</si>
  <si>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</si>
  <si>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</si>
  <si>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</si>
  <si>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</si>
  <si>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</si>
  <si>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</si>
  <si>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</si>
  <si>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</si>
  <si>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</si>
  <si>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</si>
  <si>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</si>
  <si>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</si>
  <si>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</si>
  <si>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</si>
  <si>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</si>
  <si>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</si>
  <si>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</si>
  <si>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</si>
  <si>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</si>
  <si>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</si>
  <si>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</si>
  <si>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</si>
  <si>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</si>
  <si>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</si>
  <si>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</si>
  <si>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</si>
  <si>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</si>
  <si>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</si>
  <si>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</si>
  <si>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</si>
  <si>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</si>
  <si>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</si>
  <si>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</si>
  <si>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</si>
  <si>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</si>
  <si>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</si>
  <si>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</si>
  <si>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</si>
  <si>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</si>
  <si>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</si>
  <si>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</si>
  <si>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</si>
  <si>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</si>
  <si>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</si>
  <si>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</si>
  <si>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</si>
  <si>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</si>
  <si>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</si>
  <si>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</si>
  <si>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</si>
  <si>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</si>
  <si>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</si>
  <si>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</si>
  <si>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</si>
  <si>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</si>
  <si>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</si>
  <si>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</si>
  <si>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</si>
  <si>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</si>
  <si>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</si>
  <si>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</si>
  <si>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</si>
  <si>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</si>
  <si>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</si>
  <si>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</si>
  <si>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</si>
  <si>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</si>
  <si>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</si>
  <si>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</si>
  <si>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</si>
  <si>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</si>
  <si>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</si>
  <si>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</si>
  <si>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</si>
  <si>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</si>
  <si>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</si>
  <si>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</si>
  <si>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</si>
  <si>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</si>
  <si>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</si>
  <si>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</si>
  <si>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</si>
  <si>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</si>
  <si>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</si>
  <si>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</si>
  <si>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</si>
  <si>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</si>
  <si>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</si>
  <si>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</si>
  <si>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</si>
  <si>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</si>
  <si>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</si>
  <si>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</si>
  <si>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</si>
  <si>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</si>
  <si>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</si>
  <si>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</si>
  <si>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</si>
  <si>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</si>
  <si>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</si>
  <si>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</si>
  <si>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</si>
  <si>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</si>
  <si>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</si>
  <si>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</si>
  <si>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</si>
  <si>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</si>
  <si>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</si>
  <si>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</si>
  <si>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</si>
  <si>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</si>
  <si>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</si>
  <si>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</si>
  <si>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</si>
  <si>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</si>
  <si>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</si>
  <si>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</si>
  <si>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</si>
  <si>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</si>
  <si>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</si>
  <si>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</si>
  <si>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</si>
  <si>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</si>
  <si>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</si>
  <si>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</si>
  <si>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</si>
  <si>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</si>
  <si>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</si>
  <si>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</si>
  <si>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</si>
  <si>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</si>
  <si>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</si>
  <si>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</si>
  <si>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</si>
  <si>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</si>
  <si>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</si>
  <si>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</si>
  <si>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</si>
  <si>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</si>
  <si>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</si>
  <si>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</si>
  <si>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</si>
  <si>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</si>
  <si>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</si>
  <si>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</si>
  <si>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</si>
  <si>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</si>
  <si>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</si>
  <si>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</si>
  <si>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</si>
  <si>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</si>
  <si>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</si>
  <si>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</si>
  <si>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</si>
  <si>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</si>
  <si>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</si>
  <si>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</si>
  <si>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</si>
  <si>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</si>
  <si>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</si>
  <si>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</si>
  <si>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</si>
  <si>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</si>
  <si>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</si>
  <si>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</si>
  <si>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</si>
  <si>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</si>
  <si>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</si>
  <si>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</si>
  <si>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</si>
  <si>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</si>
  <si>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</si>
  <si>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</si>
  <si>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</si>
  <si>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</si>
  <si>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</si>
  <si>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</si>
  <si>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</si>
  <si>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</si>
  <si>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</si>
  <si>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</si>
  <si>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</si>
  <si>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</si>
  <si>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</si>
  <si>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</si>
  <si>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</si>
  <si>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</si>
  <si>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</si>
  <si>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</si>
  <si>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</si>
  <si>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</si>
  <si>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</si>
  <si>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</si>
  <si>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</si>
  <si>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</si>
  <si>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</si>
  <si>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</si>
  <si>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</si>
  <si>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</si>
  <si>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</si>
  <si>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</si>
  <si>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</si>
  <si>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</si>
  <si>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</si>
  <si>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</si>
  <si>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</si>
  <si>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</si>
  <si>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</si>
  <si>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</si>
  <si>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</si>
  <si>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</si>
  <si>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</si>
  <si>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</si>
  <si>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</si>
  <si>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</si>
  <si>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</si>
  <si>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</si>
  <si>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</si>
  <si>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</si>
  <si>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</si>
  <si>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</si>
  <si>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</si>
  <si>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</si>
  <si>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</si>
  <si>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</si>
  <si>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</si>
  <si>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</si>
  <si>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</si>
  <si>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</si>
  <si>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</si>
  <si>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</si>
  <si>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</si>
  <si>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</si>
  <si>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</si>
  <si>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</si>
  <si>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</si>
  <si>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</si>
  <si>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</si>
  <si>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</si>
  <si>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</si>
  <si>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</si>
  <si>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</si>
  <si>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</si>
  <si>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</si>
  <si>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</si>
  <si>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</si>
  <si>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</si>
  <si>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</si>
  <si>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</si>
  <si>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</si>
  <si>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</si>
  <si>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</si>
  <si>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</si>
  <si>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</si>
  <si>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</si>
  <si>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</si>
  <si>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</si>
  <si>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</si>
  <si>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</si>
  <si>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</si>
  <si>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</si>
  <si>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</si>
  <si>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</si>
  <si>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</si>
  <si>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</si>
  <si>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</si>
  <si>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</si>
  <si>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</si>
  <si>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</si>
  <si>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</si>
  <si>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</si>
  <si>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</si>
  <si>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</si>
  <si>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</si>
  <si>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</si>
  <si>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</si>
  <si>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</si>
  <si>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</si>
  <si>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</si>
  <si>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</si>
  <si>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</si>
  <si>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</si>
  <si>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</si>
  <si>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</si>
  <si>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</si>
  <si>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</si>
  <si>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</si>
  <si>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</si>
  <si>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</si>
  <si>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</si>
  <si>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</si>
  <si>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</si>
  <si>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</si>
  <si>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</si>
  <si>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</si>
  <si>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</si>
  <si>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</si>
  <si>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</si>
  <si>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</si>
  <si>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</si>
  <si>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</si>
  <si>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</si>
  <si>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</si>
  <si>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</si>
  <si>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</si>
  <si>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</si>
  <si>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</si>
  <si>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</si>
  <si>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</si>
  <si>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</si>
  <si>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</si>
  <si>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</si>
  <si>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</si>
  <si>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</si>
  <si>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</si>
  <si>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</si>
  <si>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</si>
  <si>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</si>
  <si>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</si>
  <si>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</si>
  <si>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</si>
  <si>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</si>
  <si>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</si>
  <si>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</si>
  <si>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</si>
  <si>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</si>
  <si>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</si>
  <si>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</si>
  <si>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</si>
  <si>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</si>
  <si>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</si>
  <si>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</si>
  <si>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</si>
  <si>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</si>
  <si>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</si>
  <si>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</si>
  <si>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</si>
  <si>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</si>
  <si>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</si>
  <si>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</si>
  <si>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</si>
  <si>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</si>
  <si>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</si>
  <si>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</si>
  <si>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</si>
  <si>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</si>
  <si>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</si>
  <si>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</si>
  <si>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</si>
  <si>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</si>
  <si>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</si>
  <si>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</si>
  <si>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</si>
  <si>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</si>
  <si>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</si>
  <si>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</si>
  <si>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</si>
  <si>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</si>
  <si>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</si>
  <si>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</si>
  <si>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</si>
  <si>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</si>
  <si>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</si>
  <si>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</si>
  <si>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</si>
  <si>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</si>
  <si>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</si>
  <si>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</si>
  <si>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</si>
  <si>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</si>
  <si>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</si>
  <si>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</si>
  <si>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</si>
  <si>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</si>
  <si>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</si>
  <si>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</si>
  <si>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</si>
  <si>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</si>
  <si>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</si>
  <si>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</si>
  <si>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</si>
  <si>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</si>
  <si>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</si>
  <si>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</si>
  <si>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</si>
  <si>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</si>
  <si>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</si>
  <si>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</si>
  <si>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</si>
  <si>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</si>
  <si>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</si>
  <si>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</si>
  <si>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</si>
  <si>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</si>
  <si>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</si>
  <si>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</si>
  <si>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</si>
  <si>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</si>
  <si>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</si>
  <si>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</si>
  <si>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</si>
  <si>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</si>
  <si>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</si>
  <si>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</si>
  <si>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</si>
  <si>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</si>
  <si>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</si>
  <si>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</si>
  <si>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</si>
  <si>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</si>
  <si>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</si>
  <si>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</si>
  <si>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</si>
  <si>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</si>
  <si>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</si>
  <si>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</si>
  <si>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</si>
  <si>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</si>
  <si>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</si>
  <si>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</si>
  <si>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</si>
  <si>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</si>
  <si>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</si>
  <si>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</si>
  <si>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</si>
  <si>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</si>
  <si>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</si>
  <si>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</si>
  <si>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</si>
  <si>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</si>
  <si>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</si>
  <si>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</si>
  <si>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</si>
  <si>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</si>
  <si>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</si>
  <si>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</si>
  <si>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</si>
  <si>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</si>
  <si>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</si>
  <si>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</si>
  <si>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</si>
  <si>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</si>
  <si>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</si>
  <si>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</si>
  <si>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</si>
  <si>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</si>
  <si>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</si>
  <si>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</si>
  <si>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</si>
  <si>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</si>
  <si>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</si>
  <si>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</si>
  <si>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</si>
  <si>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</si>
  <si>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</si>
  <si>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</si>
  <si>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</si>
  <si>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</si>
  <si>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</si>
  <si>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</si>
  <si>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</si>
  <si>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</si>
  <si>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</si>
  <si>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</si>
  <si>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</si>
  <si>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</si>
  <si>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</si>
  <si>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</si>
  <si>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</si>
  <si>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</si>
  <si>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</si>
  <si>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</si>
  <si>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</si>
  <si>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</si>
  <si>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</si>
  <si>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</si>
  <si>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</si>
  <si>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</si>
  <si>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</si>
  <si>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</si>
  <si>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</si>
  <si>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</si>
  <si>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</si>
  <si>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</si>
  <si>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</si>
  <si>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</si>
  <si>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</si>
  <si>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</si>
  <si>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</si>
  <si>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</si>
  <si>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</si>
  <si>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</si>
  <si>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</si>
  <si>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</si>
  <si>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</si>
  <si>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</si>
  <si>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</si>
  <si>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</si>
  <si>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</si>
  <si>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</si>
  <si>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</si>
  <si>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</si>
  <si>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</si>
  <si>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</si>
  <si>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</si>
  <si>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</si>
  <si>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</si>
  <si>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</si>
  <si>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</si>
  <si>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</si>
  <si>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</si>
  <si>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</si>
  <si>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</si>
  <si>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</si>
  <si>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</si>
  <si>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</si>
  <si>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</si>
  <si>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</si>
  <si>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</si>
  <si>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</si>
  <si>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</si>
  <si>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</si>
  <si>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</si>
  <si>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</si>
  <si>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</si>
  <si>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</si>
  <si>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</si>
  <si>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</si>
  <si>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</si>
  <si>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</si>
  <si>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</si>
  <si>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</si>
  <si>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</si>
  <si>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</si>
  <si>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</si>
  <si>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</si>
  <si>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</si>
  <si>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</si>
  <si>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</si>
  <si>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</si>
  <si>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</si>
  <si>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</si>
  <si>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</si>
  <si>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</si>
  <si>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</si>
  <si>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</si>
  <si>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</si>
  <si>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</si>
  <si>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</si>
  <si>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</si>
  <si>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</si>
  <si>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</si>
  <si>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</si>
  <si>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</si>
  <si>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</si>
  <si>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</si>
  <si>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</si>
  <si>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</si>
  <si>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</si>
  <si>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</si>
  <si>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</si>
  <si>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</si>
  <si>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</si>
  <si>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</si>
  <si>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</si>
  <si>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</si>
  <si>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</si>
  <si>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</si>
  <si>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</si>
  <si>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</si>
  <si>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</si>
  <si>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</si>
  <si>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</si>
  <si>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</si>
  <si>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</si>
  <si>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</si>
  <si>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</si>
  <si>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</si>
  <si>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</si>
  <si>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</si>
  <si>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</si>
  <si>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</si>
  <si>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</si>
  <si>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</si>
  <si>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</si>
  <si>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</si>
  <si>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</si>
  <si>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</si>
  <si>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</si>
  <si>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</si>
  <si>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</si>
  <si>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</si>
  <si>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</si>
  <si>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</si>
  <si>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</si>
  <si>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</si>
  <si>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</si>
  <si>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</si>
  <si>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</si>
  <si>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</si>
  <si>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</si>
  <si>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</si>
  <si>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</si>
  <si>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</si>
  <si>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</si>
  <si>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</si>
  <si>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</si>
  <si>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</si>
  <si>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</si>
  <si>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</si>
  <si>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</si>
  <si>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</si>
  <si>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</si>
  <si>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</si>
  <si>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</si>
  <si>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</si>
  <si>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</si>
  <si>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</si>
  <si>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</si>
  <si>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</si>
  <si>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</si>
  <si>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</si>
  <si>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</si>
  <si>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</si>
  <si>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</si>
  <si>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</si>
  <si>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</si>
  <si>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</si>
  <si>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</si>
  <si>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</si>
  <si>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</si>
  <si>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</si>
  <si>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</si>
  <si>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</si>
  <si>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</si>
  <si>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</si>
  <si>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</si>
  <si>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</si>
  <si>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</si>
  <si>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</si>
  <si>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</si>
  <si>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</si>
  <si>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</si>
  <si>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</si>
  <si>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</si>
  <si>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</si>
  <si>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</si>
  <si>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</si>
  <si>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</si>
  <si>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</si>
  <si>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</si>
  <si>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</si>
  <si>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</si>
  <si>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</si>
  <si>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</si>
  <si>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</si>
  <si>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</si>
  <si>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</si>
  <si>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</si>
  <si>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</si>
  <si>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</si>
  <si>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</si>
  <si>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</si>
  <si>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</si>
  <si>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</si>
  <si>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</si>
  <si>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</si>
  <si>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</si>
  <si>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</si>
  <si>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</si>
  <si>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</si>
  <si>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</si>
  <si>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</si>
  <si>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</si>
  <si>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</si>
  <si>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</si>
  <si>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</si>
  <si>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</si>
  <si>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</si>
  <si>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</si>
  <si>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</si>
  <si>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</si>
  <si>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</si>
  <si>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</si>
  <si>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</si>
  <si>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</si>
  <si>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</si>
  <si>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</si>
  <si>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</si>
  <si>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</si>
  <si>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</si>
  <si>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</si>
  <si>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</si>
  <si>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</si>
  <si>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</si>
  <si>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</si>
  <si>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</si>
  <si>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</si>
  <si>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</si>
  <si>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</si>
  <si>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</si>
  <si>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</si>
  <si>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</si>
  <si>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</si>
  <si>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</si>
  <si>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</si>
  <si>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</si>
  <si>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</si>
  <si>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</si>
  <si>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</si>
  <si>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</si>
  <si>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</si>
  <si>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</si>
  <si>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</si>
  <si>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</si>
  <si>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</si>
  <si>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</si>
  <si>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</si>
  <si>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</si>
  <si>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</si>
  <si>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</si>
  <si>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</si>
  <si>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</si>
  <si>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</si>
  <si>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</si>
  <si>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</si>
  <si>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</si>
  <si>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</si>
  <si>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</si>
  <si>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</si>
  <si>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</si>
  <si>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</si>
  <si>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</si>
  <si>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</si>
  <si>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</si>
  <si>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</si>
  <si>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</si>
  <si>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</si>
  <si>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</si>
  <si>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</si>
  <si>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</si>
  <si>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</si>
  <si>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</si>
  <si>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</si>
  <si>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</si>
  <si>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</si>
  <si>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</si>
  <si>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</si>
  <si>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</si>
  <si>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</si>
  <si>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</si>
  <si>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</si>
  <si>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</si>
  <si>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</si>
  <si>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</si>
  <si>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</si>
  <si>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</si>
  <si>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</si>
  <si>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</si>
  <si>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</si>
  <si>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</si>
  <si>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</si>
  <si>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</si>
  <si>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</si>
  <si>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</si>
  <si>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</si>
  <si>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</si>
  <si>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</si>
  <si>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</si>
  <si>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</si>
  <si>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</si>
  <si>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</si>
  <si>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</si>
  <si>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</si>
  <si>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</si>
  <si>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</si>
  <si>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</si>
  <si>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</si>
  <si>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</si>
  <si>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</si>
  <si>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</si>
  <si>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</si>
  <si>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</si>
  <si>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</si>
  <si>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</si>
  <si>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</si>
  <si>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</si>
  <si>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</si>
  <si>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</si>
  <si>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</si>
  <si>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</si>
  <si>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</si>
  <si>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</si>
  <si>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</si>
  <si>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</si>
  <si>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</si>
  <si>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</si>
  <si>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</si>
  <si>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</si>
  <si>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</si>
  <si>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</si>
  <si>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</si>
  <si>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</si>
  <si>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</si>
  <si>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</si>
  <si>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</si>
  <si>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</si>
  <si>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</si>
  <si>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</si>
  <si>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</si>
  <si>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</si>
  <si>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</si>
  <si>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</si>
  <si>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</si>
  <si>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</si>
  <si>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</si>
  <si>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</si>
  <si>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</si>
  <si>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</si>
  <si>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</si>
  <si>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</si>
  <si>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</si>
  <si>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</si>
  <si>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</si>
  <si>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</si>
  <si>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</si>
  <si>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</si>
  <si>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</si>
  <si>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</si>
  <si>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</si>
  <si>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</si>
  <si>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</si>
  <si>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</si>
  <si>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</si>
  <si>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</si>
  <si>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</si>
  <si>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</si>
  <si>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</si>
  <si>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</si>
  <si>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</si>
  <si>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</si>
  <si>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</si>
  <si>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</si>
  <si>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</si>
  <si>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</si>
  <si>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</si>
  <si>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</si>
  <si>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</si>
  <si>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</si>
  <si>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</si>
  <si>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</si>
  <si>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</si>
  <si>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</si>
  <si>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</si>
  <si>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</si>
  <si>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</si>
  <si>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</si>
  <si>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</si>
  <si>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</si>
  <si>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</si>
  <si>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</si>
  <si>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</si>
  <si>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</si>
  <si>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</si>
  <si>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</si>
  <si>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</si>
  <si>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</si>
  <si>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</si>
  <si>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</si>
  <si>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</si>
  <si>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</si>
  <si>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</si>
  <si>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</si>
  <si>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</si>
  <si>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</si>
  <si>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</si>
  <si>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</si>
  <si>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</si>
  <si>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</si>
  <si>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</si>
  <si>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</si>
  <si>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</si>
  <si>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</si>
  <si>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</si>
  <si>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</si>
  <si>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</si>
  <si>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</si>
  <si>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</si>
  <si>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</si>
  <si>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</si>
  <si>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</si>
  <si>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</si>
  <si>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</si>
  <si>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</si>
  <si>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</si>
  <si>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</si>
  <si>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</si>
  <si>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</si>
  <si>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</si>
  <si>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</si>
  <si>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</si>
  <si>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</si>
  <si>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</si>
  <si>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</si>
  <si>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</si>
  <si>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</si>
  <si>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</si>
  <si>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</si>
  <si>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</si>
  <si>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</si>
  <si>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</si>
  <si>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</si>
  <si>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</si>
  <si>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</si>
  <si>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</si>
  <si>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</si>
  <si>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</si>
  <si>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</si>
  <si>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</si>
  <si>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</si>
  <si>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</si>
  <si>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</si>
  <si>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</si>
  <si>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</si>
  <si>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</si>
  <si>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</si>
  <si>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</si>
  <si>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</si>
  <si>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</si>
  <si>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</si>
  <si>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</si>
  <si>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</si>
  <si>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</si>
  <si>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</si>
  <si>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</si>
  <si>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</si>
  <si>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</si>
  <si>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</si>
  <si>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</si>
  <si>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</si>
  <si>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</si>
  <si>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</si>
  <si>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</si>
  <si>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</si>
  <si>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</si>
  <si>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</si>
  <si>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</si>
  <si>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</si>
  <si>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</si>
  <si>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</si>
  <si>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</si>
  <si>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</si>
  <si>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</si>
  <si>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</si>
  <si>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</si>
  <si>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</si>
  <si>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</si>
  <si>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</si>
  <si>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</si>
  <si>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</si>
  <si>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</si>
  <si>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</si>
  <si>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</si>
  <si>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</si>
  <si>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</si>
  <si>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</si>
  <si>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</si>
  <si>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</si>
  <si>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</si>
  <si>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</si>
  <si>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</si>
  <si>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</si>
  <si>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</si>
  <si>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</si>
  <si>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</si>
  <si>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</si>
  <si>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</si>
  <si>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</si>
  <si>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</si>
  <si>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</si>
  <si>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</si>
  <si>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</si>
  <si>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</si>
  <si>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</si>
  <si>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</si>
  <si>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</si>
  <si>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</si>
  <si>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</si>
  <si>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</si>
  <si>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</si>
  <si>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</si>
  <si>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</si>
  <si>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</si>
  <si>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</si>
  <si>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</si>
  <si>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</si>
  <si>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</si>
  <si>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</si>
  <si>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</si>
  <si>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</si>
  <si>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</si>
  <si>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</si>
  <si>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</si>
  <si>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</si>
  <si>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</si>
  <si>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</si>
  <si>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</si>
  <si>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</si>
  <si>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</si>
  <si>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</si>
  <si>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</si>
  <si>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</si>
  <si>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</si>
  <si>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</si>
  <si>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</si>
  <si>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</si>
  <si>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</si>
  <si>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</si>
  <si>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</si>
  <si>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</si>
  <si>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</si>
  <si>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</si>
  <si>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</si>
  <si>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</si>
  <si>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</si>
  <si>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</si>
  <si>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</si>
  <si>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</si>
  <si>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</si>
  <si>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</si>
  <si>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</si>
  <si>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</si>
  <si>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</si>
  <si>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</si>
  <si>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</si>
  <si>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</si>
  <si>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</si>
  <si>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</si>
  <si>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</si>
  <si>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</si>
  <si>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</si>
  <si>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</si>
  <si>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</si>
  <si>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</si>
  <si>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</si>
  <si>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</si>
  <si>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</si>
  <si>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</si>
  <si>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</si>
  <si>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</si>
  <si>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</si>
  <si>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</si>
  <si>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</si>
  <si>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</si>
  <si>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</si>
  <si>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</si>
  <si>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</si>
  <si>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</si>
  <si>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</si>
  <si>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</si>
  <si>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</si>
  <si>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</si>
  <si>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</si>
  <si>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</si>
  <si>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</si>
  <si>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</si>
  <si>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</si>
  <si>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</si>
  <si>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</si>
  <si>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</si>
  <si>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</si>
  <si>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</si>
  <si>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</si>
  <si>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</si>
  <si>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</si>
  <si>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</si>
  <si>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</si>
  <si>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</si>
  <si>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</si>
  <si>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</si>
  <si>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</si>
  <si>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</si>
  <si>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</si>
  <si>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</si>
  <si>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</si>
  <si>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</si>
  <si>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</si>
  <si>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</si>
  <si>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</si>
  <si>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</si>
  <si>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</si>
  <si>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</si>
  <si>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</si>
  <si>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</si>
  <si>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</si>
  <si>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</si>
  <si>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</si>
  <si>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</si>
  <si>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</si>
  <si>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</si>
  <si>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</si>
  <si>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</si>
  <si>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</si>
  <si>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</si>
  <si>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</si>
  <si>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</si>
  <si>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</si>
  <si>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</si>
  <si>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</si>
  <si>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</si>
  <si>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</si>
  <si>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</si>
  <si>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</si>
  <si>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</si>
  <si>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</si>
  <si>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</si>
  <si>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</si>
  <si>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</si>
  <si>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</si>
  <si>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</si>
  <si>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</si>
  <si>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</si>
  <si>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</si>
  <si>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</si>
  <si>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</si>
  <si>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</si>
  <si>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</si>
  <si>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</si>
  <si>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</si>
  <si>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</si>
  <si>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</si>
  <si>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</si>
  <si>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</si>
  <si>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</si>
  <si>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</si>
  <si>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</si>
  <si>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</si>
  <si>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</si>
  <si>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</si>
  <si>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</si>
  <si>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</si>
  <si>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</si>
  <si>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</si>
  <si>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</si>
  <si>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</si>
  <si>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</si>
  <si>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</si>
  <si>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</si>
  <si>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</si>
  <si>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</si>
  <si>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</si>
  <si>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</si>
  <si>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</si>
  <si>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</si>
  <si>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</si>
  <si>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</si>
  <si>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</si>
  <si>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</si>
  <si>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</si>
  <si>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</si>
  <si>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</si>
  <si>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</si>
  <si>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</si>
  <si>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</si>
  <si>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</si>
  <si>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</si>
  <si>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</si>
  <si>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</si>
  <si>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</si>
  <si>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</si>
  <si>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</si>
  <si>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</si>
  <si>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</si>
  <si>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</si>
  <si>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</si>
  <si>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</si>
  <si>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</si>
  <si>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</si>
  <si>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</si>
  <si>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</si>
  <si>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</si>
  <si>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</si>
  <si>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</si>
  <si>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</si>
  <si>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</si>
  <si>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</si>
  <si>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</si>
  <si>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</si>
  <si>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</si>
  <si>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</si>
  <si>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</si>
  <si>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</si>
  <si>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</si>
  <si>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</si>
  <si>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</si>
  <si>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</si>
  <si>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</si>
  <si>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</si>
  <si>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</si>
  <si>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</si>
  <si>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</si>
  <si>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</si>
  <si>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</si>
  <si>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</si>
  <si>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</si>
  <si>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</si>
  <si>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</si>
  <si>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</si>
  <si>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</si>
  <si>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</si>
  <si>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</si>
  <si>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</si>
  <si>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</si>
  <si>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</si>
  <si>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</si>
  <si>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</si>
  <si>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</si>
  <si>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</si>
  <si>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</si>
  <si>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</si>
  <si>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</si>
  <si>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</si>
  <si>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</si>
  <si>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</si>
  <si>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</si>
  <si>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</si>
  <si>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</si>
  <si>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</si>
  <si>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</si>
  <si>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</si>
  <si>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</si>
  <si>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</si>
  <si>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</si>
  <si>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</si>
  <si>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</si>
  <si>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</si>
  <si>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</si>
  <si>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</si>
  <si>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</si>
  <si>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</si>
  <si>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</si>
  <si>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</si>
  <si>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</si>
  <si>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</si>
  <si>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</si>
  <si>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</si>
  <si>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</si>
  <si>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</si>
  <si>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</si>
  <si>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</si>
  <si>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</si>
  <si>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</si>
  <si>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</si>
  <si>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</si>
  <si>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</si>
  <si>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</si>
  <si>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</si>
  <si>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</si>
  <si>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</si>
  <si>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</si>
  <si>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</si>
  <si>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</si>
  <si>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</si>
  <si>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</si>
  <si>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</si>
  <si>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</si>
  <si>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</si>
  <si>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</si>
  <si>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</si>
  <si>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</si>
  <si>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</si>
  <si>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</si>
  <si>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</si>
  <si>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</si>
  <si>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</si>
  <si>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</si>
  <si>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</si>
  <si>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</si>
  <si>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</si>
  <si>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</si>
  <si>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</si>
  <si>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</si>
  <si>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</si>
  <si>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</si>
  <si>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</si>
  <si>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</si>
  <si>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</si>
  <si>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</si>
  <si>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</si>
  <si>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</si>
  <si>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</si>
  <si>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</si>
  <si>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</si>
  <si>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</si>
  <si>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</si>
  <si>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</si>
  <si>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</si>
  <si>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</si>
  <si>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</si>
  <si>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</si>
  <si>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</si>
  <si>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</si>
  <si>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</si>
  <si>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</si>
  <si>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</si>
  <si>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</si>
  <si>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</si>
  <si>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</si>
  <si>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</si>
  <si>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</si>
  <si>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</si>
  <si>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</si>
  <si>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</si>
  <si>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</si>
  <si>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</si>
  <si>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</si>
  <si>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</si>
  <si>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</si>
  <si>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</si>
  <si>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</si>
  <si>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</si>
  <si>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</si>
  <si>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</si>
  <si>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</si>
  <si>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</si>
  <si>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</si>
  <si>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</si>
  <si>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</si>
  <si>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</si>
  <si>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</si>
  <si>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</si>
  <si>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</si>
  <si>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</si>
  <si>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</si>
  <si>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</si>
  <si>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</si>
  <si>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</si>
  <si>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</si>
  <si>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</si>
  <si>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</si>
  <si>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</si>
  <si>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</si>
  <si>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</si>
  <si>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</si>
  <si>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</si>
  <si>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</si>
  <si>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</si>
  <si>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</si>
  <si>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</si>
  <si>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</si>
  <si>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</si>
  <si>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</si>
  <si>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</si>
  <si>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</si>
  <si>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</si>
  <si>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</si>
  <si>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</si>
  <si>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</si>
  <si>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</si>
  <si>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</si>
  <si>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</si>
  <si>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</si>
  <si>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</si>
  <si>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</si>
  <si>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</si>
  <si>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</si>
  <si>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</si>
  <si>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</si>
  <si>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</si>
  <si>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</si>
  <si>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</si>
  <si>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</si>
  <si>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</si>
  <si>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</si>
  <si>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</si>
  <si>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</si>
  <si>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</si>
  <si>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</si>
  <si>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</si>
  <si>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</si>
  <si>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</si>
  <si>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</si>
  <si>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</si>
  <si>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</si>
  <si>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</si>
  <si>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</si>
  <si>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</si>
  <si>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</si>
  <si>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</si>
  <si>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</si>
  <si>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</si>
  <si>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</si>
  <si>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</si>
  <si>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</si>
  <si>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</si>
  <si>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</si>
  <si>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</si>
  <si>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</si>
  <si>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</si>
  <si>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</si>
  <si>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</si>
  <si>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</si>
  <si>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</si>
  <si>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</si>
  <si>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</si>
  <si>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</si>
  <si>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</si>
  <si>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</si>
  <si>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</si>
  <si>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</si>
  <si>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</si>
  <si>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</si>
  <si>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</si>
  <si>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</si>
  <si>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</si>
  <si>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</si>
  <si>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</si>
  <si>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</si>
  <si>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</si>
  <si>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</si>
  <si>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</si>
  <si>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</si>
  <si>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</si>
  <si>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</si>
  <si>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</si>
  <si>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</si>
  <si>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</si>
  <si>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</si>
  <si>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</si>
  <si>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</si>
  <si>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</si>
  <si>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</si>
  <si>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</si>
  <si>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</si>
  <si>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</si>
  <si>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</si>
  <si>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</si>
  <si>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</si>
  <si>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</si>
  <si>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</si>
  <si>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</si>
  <si>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</si>
  <si>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</si>
  <si>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</si>
  <si>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</si>
  <si>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</si>
  <si>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</si>
  <si>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</si>
  <si>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</si>
  <si>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</si>
  <si>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</si>
  <si>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</si>
  <si>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</si>
  <si>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</si>
  <si>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</si>
  <si>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</si>
  <si>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</si>
  <si>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</si>
  <si>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</si>
  <si>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</si>
  <si>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</si>
  <si>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</si>
  <si>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</si>
  <si>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</si>
  <si>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</si>
  <si>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</si>
  <si>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</si>
  <si>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</si>
  <si>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</si>
  <si>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</si>
  <si>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</si>
  <si>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</si>
  <si>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</si>
  <si>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</si>
  <si>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</si>
  <si>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</si>
  <si>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</si>
  <si>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</si>
  <si>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</si>
  <si>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</si>
  <si>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</si>
  <si>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</si>
  <si>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</si>
  <si>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</si>
  <si>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</si>
  <si>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</si>
  <si>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</si>
  <si>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</si>
  <si>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</si>
  <si>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</si>
  <si>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</si>
  <si>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</si>
  <si>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</si>
  <si>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</si>
  <si>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</si>
  <si>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</si>
  <si>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</si>
  <si>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</si>
  <si>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</si>
  <si>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</si>
  <si>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</si>
  <si>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</si>
  <si>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</si>
  <si>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</si>
  <si>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</si>
  <si>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</si>
  <si>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</si>
  <si>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</si>
  <si>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</si>
  <si>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</si>
  <si>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</si>
  <si>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</si>
  <si>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</si>
  <si>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</si>
  <si>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</si>
  <si>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</si>
  <si>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</si>
  <si>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</si>
  <si>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</si>
  <si>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</si>
  <si>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</si>
  <si>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</si>
  <si>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</si>
  <si>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</si>
  <si>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</si>
  <si>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</si>
  <si>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</si>
  <si>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</si>
  <si>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</si>
  <si>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</si>
  <si>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</si>
  <si>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</si>
  <si>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</si>
  <si>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</si>
  <si>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</si>
  <si>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</si>
  <si>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</si>
  <si>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</si>
  <si>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</si>
  <si>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</si>
  <si>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</si>
  <si>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</si>
  <si>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</si>
  <si>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</si>
  <si>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</si>
  <si>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</si>
  <si>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</si>
  <si>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</si>
  <si>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</si>
  <si>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</si>
  <si>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</si>
  <si>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</si>
  <si>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</si>
  <si>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</si>
  <si>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</si>
  <si>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</si>
  <si>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</si>
  <si>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</si>
  <si>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</si>
  <si>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</si>
  <si>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</si>
  <si>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</si>
  <si>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</si>
  <si>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</si>
  <si>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</si>
  <si>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</si>
  <si>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</si>
  <si>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</si>
  <si>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</si>
  <si>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</si>
  <si>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</si>
  <si>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</si>
  <si>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</si>
  <si>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</si>
  <si>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</si>
  <si>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</si>
  <si>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</si>
  <si>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</si>
  <si>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</si>
  <si>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</si>
  <si>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</si>
  <si>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</si>
  <si>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</si>
  <si>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</si>
  <si>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</si>
  <si>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</si>
  <si>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</si>
  <si>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</si>
  <si>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</si>
  <si>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</si>
  <si>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</si>
  <si>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</si>
  <si>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</si>
  <si>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</si>
  <si>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</si>
  <si>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</si>
  <si>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</si>
  <si>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</si>
  <si>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</si>
  <si>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</si>
  <si>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</si>
  <si>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</si>
  <si>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</si>
  <si>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</si>
  <si>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</si>
  <si>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</si>
  <si>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</si>
  <si>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</si>
  <si>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</si>
  <si>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</si>
  <si>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</si>
  <si>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</si>
  <si>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</si>
  <si>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</si>
  <si>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</si>
  <si>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</si>
  <si>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</si>
  <si>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</si>
  <si>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</si>
  <si>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</si>
  <si>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</si>
  <si>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</si>
  <si>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</si>
  <si>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</si>
  <si>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</si>
  <si>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</si>
  <si>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</si>
  <si>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</si>
  <si>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</si>
  <si>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</si>
  <si>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</si>
  <si>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</si>
  <si>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</si>
  <si>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</si>
  <si>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</si>
  <si>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</si>
  <si>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</si>
  <si>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</si>
  <si>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</si>
  <si>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</si>
  <si>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</si>
  <si>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</si>
  <si>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</si>
  <si>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</si>
  <si>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</si>
  <si>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</si>
  <si>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</si>
  <si>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</si>
  <si>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</si>
  <si>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</si>
  <si>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</si>
  <si>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</si>
  <si>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</si>
  <si>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</si>
  <si>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</si>
  <si>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</si>
  <si>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</si>
  <si>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</si>
  <si>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</si>
  <si>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</si>
  <si>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</si>
  <si>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</si>
  <si>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</si>
  <si>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</si>
  <si>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</si>
  <si>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</si>
  <si>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</si>
  <si>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</si>
  <si>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</si>
  <si>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</si>
  <si>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</si>
  <si>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</si>
  <si>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</si>
  <si>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</si>
  <si>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</si>
  <si>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</si>
  <si>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</si>
  <si>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</si>
  <si>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</si>
  <si>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</si>
  <si>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</si>
  <si>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</si>
  <si>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</si>
  <si>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</si>
  <si>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</si>
  <si>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</si>
  <si>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</si>
  <si>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</si>
  <si>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</si>
  <si>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</si>
  <si>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</si>
  <si>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</si>
  <si>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</si>
  <si>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</si>
  <si>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</si>
  <si>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</si>
  <si>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</si>
  <si>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</si>
  <si>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</si>
  <si>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</si>
  <si>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</si>
  <si>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</si>
  <si>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</si>
  <si>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</si>
  <si>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</si>
  <si>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</si>
  <si>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</si>
  <si>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</si>
  <si>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</si>
  <si>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</si>
  <si>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</si>
  <si>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</si>
  <si>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</si>
  <si>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</si>
  <si>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</si>
  <si>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</si>
  <si>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</si>
  <si>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</si>
  <si>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</si>
  <si>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</si>
  <si>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</si>
  <si>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</si>
  <si>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</si>
  <si>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</si>
  <si>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</si>
  <si>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</si>
  <si>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</si>
  <si>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</si>
  <si>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</si>
  <si>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</si>
  <si>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</si>
  <si>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</si>
  <si>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</si>
  <si>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</si>
  <si>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</si>
  <si>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</si>
  <si>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</si>
  <si>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</si>
  <si>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</si>
  <si>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</si>
  <si>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</si>
  <si>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</si>
  <si>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</si>
  <si>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</si>
  <si>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</si>
  <si>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</si>
  <si>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</si>
  <si>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</si>
  <si>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</si>
  <si>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</si>
  <si>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</si>
  <si>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</si>
  <si>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</si>
  <si>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</si>
  <si>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</si>
  <si>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</si>
  <si>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</si>
  <si>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</si>
  <si>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</si>
  <si>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</si>
  <si>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</si>
  <si>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</si>
  <si>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</si>
  <si>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</si>
  <si>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</si>
  <si>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</si>
  <si>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</si>
  <si>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</si>
  <si>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</si>
  <si>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</si>
  <si>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</si>
  <si>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</si>
  <si>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</si>
  <si>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</si>
  <si>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</si>
  <si>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</si>
  <si>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</si>
  <si>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</si>
  <si>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</si>
  <si>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</si>
  <si>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</si>
  <si>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</si>
  <si>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</si>
  <si>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</si>
  <si>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</si>
  <si>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</si>
  <si>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</si>
  <si>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</si>
  <si>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</si>
  <si>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</si>
  <si>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</si>
  <si>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</si>
  <si>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</si>
  <si>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</si>
  <si>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</si>
  <si>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</si>
  <si>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</si>
  <si>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</si>
  <si>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</si>
  <si>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</si>
  <si>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</si>
  <si>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</si>
  <si>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</si>
  <si>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</si>
  <si>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</si>
  <si>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</si>
  <si>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</si>
  <si>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</si>
  <si>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</si>
  <si>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</si>
  <si>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</si>
  <si>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</si>
  <si>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</si>
  <si>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</si>
  <si>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</si>
  <si>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</si>
  <si>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</si>
  <si>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</si>
  <si>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</si>
  <si>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</si>
  <si>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</si>
  <si>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</si>
  <si>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</si>
  <si>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</si>
  <si>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</si>
  <si>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</si>
  <si>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</si>
  <si>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</si>
  <si>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</si>
  <si>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</si>
  <si>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</si>
  <si>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</si>
  <si>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</si>
  <si>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</si>
  <si>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</si>
  <si>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</si>
  <si>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</si>
  <si>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</si>
  <si>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</si>
  <si>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</si>
  <si>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</si>
  <si>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</si>
  <si>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</si>
  <si>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</si>
  <si>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</si>
  <si>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</si>
  <si>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</si>
  <si>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</si>
  <si>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</si>
  <si>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</si>
  <si>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</si>
  <si>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</si>
  <si>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</si>
  <si>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</si>
  <si>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</si>
  <si>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</si>
  <si>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</si>
  <si>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</si>
  <si>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</si>
  <si>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</si>
  <si>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</si>
  <si>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</si>
  <si>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</si>
  <si>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</si>
  <si>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</si>
  <si>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</si>
  <si>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</si>
  <si>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</si>
  <si>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</si>
  <si>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</si>
  <si>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</si>
  <si>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</si>
  <si>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</si>
  <si>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</si>
  <si>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</si>
  <si>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</si>
  <si>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</si>
  <si>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</si>
  <si>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</si>
  <si>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</si>
  <si>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</si>
  <si>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</si>
  <si>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</si>
  <si>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</si>
  <si>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</si>
  <si>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</si>
  <si>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</si>
  <si>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</si>
  <si>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</si>
  <si>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</si>
  <si>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</si>
  <si>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</si>
  <si>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</si>
  <si>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</si>
  <si>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</si>
  <si>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</si>
  <si>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</si>
  <si>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</si>
  <si>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</si>
  <si>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</si>
  <si>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</si>
  <si>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</si>
  <si>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</si>
  <si>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</si>
  <si>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</si>
  <si>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</si>
  <si>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</si>
  <si>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</si>
  <si>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</si>
  <si>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</si>
  <si>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</si>
  <si>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</si>
  <si>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</si>
  <si>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</si>
  <si>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</si>
  <si>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</si>
  <si>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</si>
  <si>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</si>
  <si>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</si>
  <si>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</si>
  <si>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</si>
  <si>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</si>
  <si>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</si>
  <si>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</si>
  <si>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</si>
  <si>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</si>
  <si>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</si>
  <si>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</si>
  <si>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</si>
  <si>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</si>
  <si>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</si>
  <si>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</si>
  <si>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</si>
  <si>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</si>
  <si>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</si>
  <si>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</si>
  <si>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</si>
  <si>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</si>
  <si>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</si>
  <si>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</si>
  <si>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</si>
  <si>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</si>
  <si>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</si>
  <si>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</si>
  <si>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</si>
  <si>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</si>
  <si>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</si>
  <si>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</si>
  <si>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</si>
  <si>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</si>
  <si>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</si>
  <si>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</si>
  <si>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</si>
  <si>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</si>
  <si>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</si>
  <si>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</si>
  <si>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</si>
  <si>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</si>
  <si>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</si>
  <si>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</si>
  <si>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</si>
  <si>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</si>
  <si>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</si>
  <si>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</si>
  <si>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</si>
  <si>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</si>
  <si>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</si>
  <si>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</si>
  <si>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</si>
  <si>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</si>
  <si>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</si>
  <si>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</si>
  <si>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</si>
  <si>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</si>
  <si>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</si>
  <si>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</si>
  <si>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</si>
  <si>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</si>
  <si>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</si>
  <si>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</si>
  <si>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</si>
  <si>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</si>
  <si>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</si>
  <si>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</si>
  <si>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</si>
  <si>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</si>
  <si>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</si>
  <si>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</si>
  <si>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</si>
  <si>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</si>
  <si>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</si>
  <si>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</si>
  <si>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</si>
  <si>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</si>
  <si>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</si>
  <si>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</si>
  <si>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</si>
  <si>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</si>
  <si>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</si>
  <si>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</si>
  <si>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</si>
  <si>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</si>
  <si>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</si>
  <si>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</si>
  <si>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</si>
  <si>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</si>
  <si>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</si>
  <si>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</si>
  <si>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</si>
  <si>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</si>
  <si>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</si>
  <si>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</si>
  <si>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</si>
  <si>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</si>
  <si>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</si>
  <si>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</si>
  <si>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</si>
  <si>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</si>
  <si>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</si>
  <si>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</si>
  <si>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</si>
  <si>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</si>
  <si>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</si>
  <si>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</si>
  <si>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</si>
  <si>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</si>
  <si>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</si>
  <si>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</si>
  <si>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</si>
  <si>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</si>
  <si>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</si>
  <si>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</si>
  <si>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</si>
  <si>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</si>
  <si>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</si>
  <si>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</si>
  <si>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</si>
  <si>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</si>
  <si>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</si>
  <si>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</si>
  <si>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</si>
  <si>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</si>
  <si>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</si>
  <si>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</si>
  <si>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</si>
  <si>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</si>
  <si>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</si>
  <si>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</si>
  <si>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</si>
  <si>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</si>
  <si>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</si>
  <si>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</si>
  <si>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</si>
  <si>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</si>
  <si>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</si>
  <si>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</si>
  <si>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</si>
  <si>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</si>
  <si>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</si>
  <si>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</si>
  <si>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</si>
  <si>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</si>
  <si>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</si>
  <si>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</si>
  <si>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</si>
  <si>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</si>
  <si>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</si>
  <si>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</si>
  <si>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</si>
  <si>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</si>
  <si>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</si>
  <si>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</si>
  <si>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</si>
  <si>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</si>
  <si>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</si>
  <si>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</si>
  <si>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</si>
  <si>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</si>
  <si>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</si>
  <si>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</si>
  <si>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</si>
  <si>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</si>
  <si>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</si>
  <si>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</si>
  <si>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</si>
  <si>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</si>
  <si>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</si>
  <si>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</si>
  <si>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</si>
  <si>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</si>
  <si>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</si>
  <si>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</si>
  <si>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</si>
  <si>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</si>
  <si>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</si>
  <si>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</si>
  <si>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</si>
  <si>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</si>
  <si>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</si>
  <si>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</si>
  <si>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</si>
  <si>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</si>
  <si>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</si>
  <si>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</si>
  <si>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</si>
  <si>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</si>
  <si>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</si>
  <si>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</si>
  <si>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</si>
  <si>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</si>
  <si>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</si>
  <si>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</si>
  <si>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</si>
  <si>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</si>
  <si>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</si>
  <si>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</si>
  <si>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</si>
  <si>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</si>
  <si>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</si>
  <si>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</si>
  <si>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</si>
  <si>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</si>
  <si>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</si>
  <si>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</si>
  <si>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</si>
  <si>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</si>
  <si>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</si>
  <si>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</si>
  <si>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</si>
  <si>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</si>
  <si>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</si>
  <si>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</si>
  <si>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</si>
  <si>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</si>
  <si>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</si>
  <si>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</si>
  <si>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</si>
  <si>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</si>
  <si>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</si>
  <si>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</si>
  <si>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</si>
  <si>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</si>
  <si>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</si>
  <si>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</si>
  <si>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</si>
  <si>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</si>
  <si>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</si>
  <si>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</si>
  <si>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</si>
  <si>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</si>
  <si>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</si>
  <si>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</si>
  <si>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</si>
  <si>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</si>
  <si>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</si>
  <si>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</si>
  <si>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</si>
  <si>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</si>
  <si>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</si>
  <si>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</si>
  <si>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</si>
  <si>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</si>
  <si>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</si>
  <si>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</si>
  <si>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</si>
  <si>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</si>
  <si>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</si>
  <si>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</si>
  <si>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</si>
  <si>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</si>
  <si>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</si>
  <si>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</si>
  <si>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</si>
  <si>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</si>
  <si>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</si>
  <si>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</si>
  <si>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</si>
  <si>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</si>
  <si>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</si>
  <si>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</si>
  <si>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</si>
  <si>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</si>
  <si>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</si>
  <si>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</si>
  <si>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</si>
  <si>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</si>
  <si>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</si>
  <si>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</si>
  <si>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</si>
  <si>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</si>
  <si>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</si>
  <si>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</si>
  <si>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</si>
  <si>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</si>
  <si>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</si>
  <si>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</si>
  <si>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</si>
  <si>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</si>
  <si>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</si>
  <si>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</si>
  <si>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</si>
  <si>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</si>
  <si>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</si>
  <si>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</si>
  <si>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</si>
  <si>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</si>
  <si>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</si>
  <si>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</si>
  <si>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</si>
  <si>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</si>
  <si>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</si>
  <si>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</si>
  <si>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</si>
  <si>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</si>
  <si>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</si>
  <si>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</si>
  <si>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</si>
  <si>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</si>
  <si>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</si>
  <si>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</si>
  <si>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</si>
  <si>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</si>
  <si>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</si>
  <si>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</si>
  <si>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</si>
  <si>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</si>
  <si>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</si>
  <si>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</si>
  <si>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</si>
  <si>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</si>
  <si>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</si>
  <si>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</si>
  <si>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</si>
  <si>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</si>
  <si>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</si>
  <si>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</si>
  <si>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</si>
  <si>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</si>
  <si>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</si>
  <si>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</si>
  <si>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</si>
  <si>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</si>
  <si>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</si>
  <si>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</si>
  <si>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</si>
  <si>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</si>
  <si>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</si>
  <si>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</si>
  <si>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</si>
  <si>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</si>
  <si>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</si>
  <si>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</si>
  <si>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</si>
  <si>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</si>
  <si>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</si>
  <si>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</si>
  <si>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</si>
  <si>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</si>
  <si>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</si>
  <si>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</si>
  <si>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</si>
  <si>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</si>
  <si>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</si>
  <si>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</si>
  <si>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</si>
  <si>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</si>
  <si>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</si>
  <si>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</si>
  <si>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</si>
  <si>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</si>
  <si>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</si>
  <si>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</si>
  <si>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</si>
  <si>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</si>
  <si>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</si>
  <si>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</si>
  <si>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</si>
  <si>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</si>
  <si>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</si>
  <si>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</si>
  <si>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</si>
  <si>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</si>
  <si>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</si>
  <si>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</si>
  <si>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</si>
  <si>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</si>
  <si>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</si>
  <si>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</si>
  <si>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</si>
  <si>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</si>
  <si>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</si>
  <si>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</si>
  <si>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</si>
  <si>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</si>
  <si>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</si>
  <si>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</si>
  <si>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</si>
  <si>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</si>
  <si>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</si>
  <si>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</si>
  <si>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</si>
  <si>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</si>
  <si>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</si>
  <si>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</si>
  <si>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</si>
  <si>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</si>
  <si>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</si>
  <si>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</si>
  <si>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</si>
  <si>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</si>
  <si>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</si>
  <si>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</si>
  <si>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</si>
  <si>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</si>
  <si>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</si>
  <si>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</si>
  <si>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</si>
  <si>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</si>
  <si>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</si>
  <si>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</si>
  <si>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</si>
  <si>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</si>
  <si>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</si>
  <si>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</si>
  <si>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</si>
  <si>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</si>
  <si>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</si>
  <si>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</si>
  <si>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</si>
  <si>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</si>
  <si>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</si>
  <si>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</si>
  <si>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</si>
  <si>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</si>
  <si>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</si>
  <si>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</si>
  <si>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</si>
  <si>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</si>
  <si>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</si>
  <si>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</si>
  <si>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</si>
  <si>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</si>
  <si>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</si>
  <si>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</si>
  <si>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</si>
  <si>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</si>
  <si>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</si>
  <si>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</si>
  <si>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</si>
  <si>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</si>
  <si>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</si>
  <si>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</si>
  <si>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</si>
  <si>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</si>
  <si>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</si>
  <si>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</si>
  <si>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</si>
  <si>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</si>
  <si>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</si>
  <si>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</si>
  <si>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</si>
  <si>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</si>
  <si>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</si>
  <si>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</si>
  <si>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</si>
  <si>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</si>
  <si>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</si>
  <si>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</si>
  <si>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</si>
  <si>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</si>
  <si>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</si>
  <si>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</si>
  <si>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</si>
  <si>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</si>
  <si>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</si>
  <si>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</si>
  <si>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</si>
  <si>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</si>
  <si>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</si>
  <si>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</si>
  <si>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</si>
  <si>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</si>
  <si>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</si>
  <si>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</si>
  <si>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</si>
  <si>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</si>
  <si>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</si>
  <si>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</si>
  <si>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</si>
  <si>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</si>
  <si>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</si>
  <si>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</si>
  <si>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</si>
  <si>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</si>
  <si>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</si>
  <si>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</si>
  <si>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</si>
  <si>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</si>
  <si>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</si>
  <si>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</si>
  <si>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</si>
  <si>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</si>
  <si>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</si>
  <si>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</si>
  <si>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</si>
  <si>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</si>
  <si>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</si>
  <si>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</si>
  <si>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</si>
  <si>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</si>
  <si>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</si>
  <si>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</si>
  <si>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</si>
  <si>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</si>
  <si>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</si>
  <si>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</si>
  <si>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</si>
  <si>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</si>
  <si>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</si>
  <si>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</si>
  <si>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</si>
  <si>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</si>
  <si>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</si>
  <si>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</si>
  <si>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</si>
  <si>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</si>
  <si>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</si>
  <si>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</si>
  <si>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</si>
  <si>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</si>
  <si>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</si>
  <si>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</si>
  <si>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</si>
  <si>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</si>
  <si>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</si>
  <si>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</si>
  <si>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</si>
  <si>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</si>
  <si>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</si>
  <si>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</si>
  <si>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</si>
  <si>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</si>
  <si>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</si>
  <si>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</si>
  <si>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</si>
  <si>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</si>
  <si>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</si>
  <si>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</si>
  <si>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</si>
  <si>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</si>
  <si>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</si>
  <si>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</si>
  <si>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</si>
  <si>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</si>
  <si>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</si>
  <si>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</si>
  <si>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</si>
  <si>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</si>
  <si>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</si>
  <si>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</si>
  <si>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</si>
  <si>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</si>
  <si>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</si>
  <si>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</si>
  <si>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</si>
  <si>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</si>
  <si>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</si>
  <si>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</si>
  <si>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</si>
  <si>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</si>
  <si>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</si>
  <si>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</si>
  <si>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</si>
  <si>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</si>
  <si>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</si>
  <si>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</si>
  <si>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</si>
  <si>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</si>
  <si>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</si>
  <si>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</si>
  <si>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</si>
  <si>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</si>
  <si>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</si>
  <si>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</si>
  <si>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</si>
  <si>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</si>
  <si>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</si>
  <si>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</si>
  <si>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</si>
  <si>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</si>
  <si>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</si>
  <si>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</si>
  <si>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</si>
  <si>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</si>
  <si>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</si>
  <si>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</si>
  <si>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</si>
  <si>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</si>
  <si>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</si>
  <si>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</si>
  <si>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</si>
  <si>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</si>
  <si>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</si>
  <si>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</si>
  <si>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</si>
  <si>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</si>
  <si>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</si>
  <si>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</si>
  <si>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</si>
  <si>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</si>
  <si>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</si>
  <si>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</si>
  <si>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</si>
  <si>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</si>
  <si>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</si>
  <si>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</si>
  <si>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</si>
  <si>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</si>
  <si>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</si>
  <si>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</si>
  <si>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</si>
  <si>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</si>
  <si>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</si>
  <si>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</si>
  <si>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</si>
  <si>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</si>
  <si>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</si>
  <si>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</si>
  <si>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</si>
  <si>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</si>
  <si>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</si>
  <si>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</si>
  <si>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</si>
  <si>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</si>
  <si>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</si>
  <si>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</si>
  <si>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</si>
  <si>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</si>
  <si>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</si>
  <si>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</si>
  <si>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</si>
  <si>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</si>
  <si>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</si>
  <si>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</si>
  <si>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</si>
  <si>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</si>
  <si>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</si>
  <si>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</si>
  <si>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</si>
  <si>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</si>
  <si>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</si>
  <si>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</si>
  <si>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</si>
  <si>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</si>
  <si>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</si>
  <si>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</si>
  <si>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</si>
  <si>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</si>
  <si>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</si>
  <si>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</si>
  <si>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</si>
  <si>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</si>
  <si>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</si>
  <si>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</si>
  <si>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</si>
  <si>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</si>
  <si>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</si>
  <si>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</si>
  <si>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</si>
  <si>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</si>
  <si>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</si>
  <si>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</si>
  <si>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</si>
  <si>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</si>
  <si>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</si>
  <si>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</si>
  <si>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</si>
  <si>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</si>
  <si>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</si>
  <si>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</si>
  <si>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</si>
  <si>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</si>
  <si>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</si>
  <si>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</si>
  <si>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</si>
  <si>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</si>
  <si>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</si>
  <si>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</si>
  <si>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</si>
  <si>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</si>
  <si>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</si>
  <si>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</si>
  <si>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</si>
  <si>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</si>
  <si>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</si>
  <si>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</si>
  <si>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</si>
  <si>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</si>
  <si>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</si>
  <si>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</si>
  <si>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</si>
  <si>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</si>
  <si>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</si>
  <si>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</si>
  <si>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</si>
  <si>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</si>
  <si>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</si>
  <si>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</si>
  <si>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</si>
  <si>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</si>
  <si>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</si>
  <si>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</si>
  <si>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</si>
  <si>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</si>
  <si>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</si>
  <si>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</si>
  <si>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</si>
  <si>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</si>
  <si>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</si>
  <si>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</si>
  <si>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</si>
  <si>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</si>
  <si>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</si>
  <si>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</si>
  <si>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</si>
  <si>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</si>
  <si>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</si>
  <si>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</si>
  <si>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</si>
  <si>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</si>
  <si>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</si>
  <si>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</si>
  <si>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</si>
  <si>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</si>
  <si>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</si>
  <si>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</si>
  <si>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</si>
  <si>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</si>
  <si>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</si>
  <si>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</si>
  <si>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</si>
  <si>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</si>
  <si>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</si>
  <si>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</si>
  <si>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</si>
  <si>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</si>
  <si>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</si>
  <si>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</si>
  <si>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</si>
  <si>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</si>
  <si>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</si>
  <si>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</si>
  <si>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</si>
  <si>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</si>
  <si>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</si>
  <si>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</si>
  <si>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</si>
  <si>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</si>
  <si>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</si>
  <si>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</si>
  <si>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</si>
  <si>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</si>
  <si>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</si>
  <si>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</si>
  <si>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</si>
  <si>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</si>
  <si>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</si>
  <si>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</si>
  <si>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</si>
  <si>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</si>
  <si>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</si>
  <si>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</si>
  <si>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</si>
  <si>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</si>
  <si>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</si>
  <si>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</si>
  <si>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</si>
  <si>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</si>
  <si>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</si>
  <si>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</si>
  <si>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</si>
  <si>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</si>
  <si>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</si>
  <si>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</si>
  <si>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</si>
  <si>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</si>
  <si>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</si>
  <si>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</si>
  <si>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</si>
  <si>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</si>
  <si>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</si>
  <si>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</si>
  <si>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</si>
  <si>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</si>
  <si>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</si>
  <si>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</si>
  <si>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</si>
  <si>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</si>
  <si>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</si>
  <si>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</si>
  <si>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</si>
  <si>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</si>
  <si>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</si>
  <si>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</si>
  <si>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</si>
  <si>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</si>
  <si>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</si>
  <si>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</si>
  <si>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</si>
  <si>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</si>
  <si>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</si>
  <si>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</si>
  <si>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</si>
  <si>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</si>
  <si>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</si>
  <si>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</si>
  <si>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</si>
  <si>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</si>
  <si>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</si>
  <si>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</si>
  <si>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</si>
  <si>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</si>
  <si>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</si>
  <si>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</si>
  <si>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</si>
  <si>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</si>
  <si>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</si>
  <si>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</si>
  <si>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</si>
  <si>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</si>
  <si>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</si>
  <si>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</si>
  <si>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</si>
  <si>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</si>
  <si>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</si>
  <si>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</si>
  <si>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</si>
  <si>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</si>
  <si>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</si>
  <si>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</si>
  <si>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</si>
  <si>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</si>
  <si>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</si>
  <si>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</si>
  <si>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</si>
  <si>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</si>
  <si>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</si>
  <si>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</si>
  <si>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</si>
  <si>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</si>
  <si>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</si>
  <si>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</si>
  <si>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</si>
  <si>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</si>
  <si>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</si>
  <si>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</si>
  <si>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</si>
  <si>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</si>
  <si>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</si>
  <si>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</si>
  <si>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</si>
  <si>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</si>
  <si>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</si>
  <si>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</si>
  <si>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</si>
  <si>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</si>
  <si>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</si>
  <si>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</si>
  <si>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</si>
  <si>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</si>
  <si>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</si>
  <si>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</si>
  <si>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</si>
  <si>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</si>
  <si>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</si>
  <si>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</si>
  <si>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</si>
  <si>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</si>
  <si>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</si>
  <si>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</si>
  <si>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</si>
  <si>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</si>
  <si>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</si>
  <si>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</si>
  <si>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</si>
  <si>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</si>
  <si>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</si>
  <si>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</si>
  <si>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</si>
  <si>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</si>
  <si>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</si>
  <si>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</si>
  <si>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</si>
  <si>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</si>
  <si>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</si>
  <si>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</si>
  <si>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</si>
  <si>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</si>
  <si>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</si>
  <si>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</si>
  <si>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</si>
  <si>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</si>
  <si>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</si>
  <si>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</si>
  <si>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</si>
  <si>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</si>
  <si>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</si>
  <si>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</si>
  <si>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</si>
  <si>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</si>
  <si>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</si>
  <si>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</si>
  <si>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</si>
  <si>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</si>
  <si>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</si>
  <si>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</si>
  <si>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</si>
  <si>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</si>
  <si>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</si>
  <si>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</si>
  <si>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</si>
  <si>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</si>
  <si>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</si>
  <si>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</si>
  <si>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</si>
  <si>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</si>
  <si>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</si>
  <si>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</si>
  <si>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</si>
  <si>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</si>
  <si>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</si>
  <si>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</si>
  <si>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</si>
  <si>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</si>
  <si>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</si>
  <si>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</si>
  <si>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</si>
  <si>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</si>
  <si>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</si>
  <si>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</si>
  <si>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</si>
  <si>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</si>
  <si>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</si>
  <si>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</si>
  <si>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</si>
  <si>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</si>
  <si>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</si>
  <si>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</si>
  <si>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</si>
  <si>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</si>
  <si>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</si>
  <si>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</si>
  <si>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</si>
  <si>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</si>
  <si>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</si>
  <si>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</si>
  <si>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</si>
  <si>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</si>
  <si>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</si>
  <si>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</si>
  <si>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</si>
  <si>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</si>
  <si>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</si>
  <si>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</si>
  <si>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</si>
  <si>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</si>
  <si>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</si>
  <si>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</si>
  <si>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</si>
  <si>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</si>
  <si>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</si>
  <si>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</si>
  <si>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</si>
  <si>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</si>
  <si>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</si>
  <si>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</si>
  <si>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</si>
  <si>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</si>
  <si>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</si>
  <si>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</si>
  <si>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</si>
  <si>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</si>
  <si>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</si>
  <si>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</si>
  <si>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</si>
  <si>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</si>
  <si>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</si>
  <si>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</si>
  <si>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</si>
  <si>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</si>
  <si>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</si>
  <si>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</si>
  <si>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</si>
  <si>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</si>
  <si>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</si>
  <si>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</si>
  <si>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</si>
  <si>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</si>
  <si>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</si>
  <si>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</si>
  <si>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</si>
  <si>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</si>
  <si>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</si>
  <si>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</si>
  <si>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</si>
  <si>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</si>
  <si>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</si>
  <si>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</si>
  <si>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</si>
  <si>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</si>
  <si>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</si>
  <si>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</si>
  <si>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</si>
  <si>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</si>
  <si>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</si>
  <si>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</si>
  <si>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</si>
  <si>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</si>
  <si>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</si>
  <si>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</si>
  <si>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</si>
  <si>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</si>
  <si>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</si>
  <si>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</si>
  <si>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</si>
  <si>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</si>
  <si>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</si>
  <si>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</si>
  <si>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</si>
  <si>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</si>
  <si>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</si>
  <si>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</si>
  <si>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</si>
  <si>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</si>
  <si>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</si>
  <si>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</si>
  <si>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</si>
  <si>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</si>
  <si>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</si>
  <si>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</si>
  <si>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</si>
  <si>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</si>
  <si>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</si>
  <si>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</si>
  <si>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</si>
  <si>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</si>
  <si>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</si>
  <si>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</si>
  <si>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</si>
  <si>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</si>
  <si>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</si>
  <si>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</si>
  <si>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</si>
  <si>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</si>
  <si>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</si>
  <si>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</si>
  <si>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</si>
  <si>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</si>
  <si>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</si>
  <si>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</si>
  <si>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</si>
  <si>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</si>
  <si>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</si>
  <si>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</si>
  <si>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</si>
  <si>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</si>
  <si>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</si>
  <si>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</si>
  <si>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</si>
  <si>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</si>
  <si>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</si>
  <si>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</si>
  <si>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</si>
  <si>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</si>
  <si>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</si>
  <si>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</si>
  <si>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</si>
  <si>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</si>
  <si>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</si>
  <si>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</si>
  <si>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</si>
  <si>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</si>
  <si>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</si>
  <si>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</si>
  <si>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</si>
  <si>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</si>
  <si>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</si>
  <si>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</si>
  <si>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</si>
  <si>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</si>
  <si>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</si>
  <si>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</si>
  <si>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</si>
  <si>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</si>
  <si>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</si>
  <si>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</si>
  <si>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</si>
  <si>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</si>
  <si>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</si>
  <si>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</si>
  <si>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</si>
  <si>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</si>
  <si>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</si>
  <si>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</si>
  <si>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</si>
  <si>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</si>
  <si>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</si>
  <si>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</si>
  <si>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</si>
  <si>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</si>
  <si>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</si>
  <si>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</si>
  <si>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</si>
  <si>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</si>
  <si>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</si>
  <si>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</si>
  <si>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</si>
  <si>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</si>
  <si>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</si>
  <si>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</si>
  <si>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</si>
  <si>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</si>
  <si>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</si>
  <si>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</si>
  <si>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</si>
  <si>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</si>
  <si>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</si>
  <si>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</si>
  <si>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</si>
  <si>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</si>
  <si>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</si>
  <si>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</si>
  <si>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</si>
  <si>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</si>
  <si>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</si>
  <si>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</si>
  <si>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</si>
  <si>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</si>
  <si>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</si>
  <si>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</si>
  <si>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</si>
  <si>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</si>
  <si>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</si>
  <si>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</si>
  <si>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</si>
  <si>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</si>
  <si>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</si>
  <si>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</si>
  <si>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</si>
  <si>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</si>
  <si>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</si>
  <si>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</si>
  <si>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</si>
  <si>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</si>
  <si>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</si>
  <si>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</si>
  <si>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</si>
  <si>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</si>
  <si>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</si>
  <si>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</si>
  <si>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</si>
  <si>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</si>
  <si>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</si>
  <si>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</si>
  <si>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</si>
  <si>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</si>
  <si>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</si>
  <si>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</si>
  <si>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</si>
  <si>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</si>
  <si>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</si>
  <si>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</si>
  <si>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</si>
  <si>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</si>
  <si>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</si>
  <si>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</si>
  <si>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</si>
  <si>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</si>
  <si>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</si>
  <si>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</si>
  <si>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</si>
  <si>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</si>
  <si>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</si>
  <si>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</si>
  <si>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</si>
  <si>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</si>
  <si>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</si>
  <si>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</si>
  <si>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</si>
  <si>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</si>
  <si>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</si>
  <si>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</si>
  <si>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</si>
  <si>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</si>
  <si>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</si>
  <si>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</si>
  <si>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</si>
  <si>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</si>
  <si>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</si>
  <si>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</si>
  <si>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</si>
  <si>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</si>
  <si>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</si>
  <si>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</si>
  <si>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</si>
  <si>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</si>
  <si>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</si>
  <si>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</si>
  <si>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</si>
  <si>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</si>
  <si>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</si>
  <si>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</si>
  <si>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</si>
  <si>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</si>
  <si>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</si>
  <si>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</si>
  <si>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</si>
  <si>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</si>
  <si>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</si>
  <si>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</si>
  <si>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</si>
  <si>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</si>
  <si>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</si>
  <si>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</si>
  <si>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</si>
  <si>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</si>
  <si>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</si>
  <si>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</si>
  <si>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</si>
  <si>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</si>
  <si>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</si>
  <si>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</si>
  <si>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</si>
  <si>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</si>
  <si>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</si>
  <si>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</si>
  <si>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</si>
  <si>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</si>
  <si>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</si>
  <si>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</si>
  <si>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</si>
  <si>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</si>
  <si>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</si>
  <si>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</si>
  <si>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</si>
  <si>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</si>
  <si>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</si>
  <si>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</si>
  <si>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</si>
  <si>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</si>
  <si>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</si>
  <si>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</si>
  <si>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</si>
  <si>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</si>
  <si>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</si>
  <si>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</si>
  <si>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</si>
  <si>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</si>
  <si>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</si>
  <si>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</si>
  <si>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</si>
  <si>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</si>
  <si>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</si>
  <si>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</si>
  <si>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</si>
  <si>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</si>
  <si>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</si>
  <si>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</si>
  <si>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</si>
  <si>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</si>
  <si>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</si>
  <si>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</si>
  <si>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</si>
  <si>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</si>
  <si>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</si>
  <si>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</si>
  <si>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</si>
  <si>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</si>
  <si>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</si>
  <si>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</si>
  <si>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</si>
  <si>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</si>
  <si>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</si>
  <si>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</si>
  <si>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</si>
  <si>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</si>
  <si>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</si>
  <si>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</si>
  <si>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</si>
  <si>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</si>
  <si>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</si>
  <si>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</si>
  <si>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</si>
  <si>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</si>
  <si>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</si>
  <si>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</si>
  <si>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</si>
  <si>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</si>
  <si>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</si>
  <si>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</si>
  <si>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</si>
  <si>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</si>
  <si>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</si>
  <si>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</si>
  <si>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</si>
  <si>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</si>
  <si>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</si>
  <si>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</si>
  <si>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</si>
  <si>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</si>
  <si>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</si>
  <si>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</si>
  <si>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</si>
  <si>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</si>
  <si>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</si>
  <si>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</si>
  <si>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</si>
  <si>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</si>
  <si>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</si>
  <si>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</si>
  <si>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</si>
  <si>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</si>
  <si>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</si>
  <si>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</si>
  <si>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</si>
  <si>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</si>
  <si>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</si>
  <si>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</si>
  <si>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</si>
  <si>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</si>
  <si>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</si>
  <si>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</si>
  <si>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</si>
  <si>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</si>
  <si>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</si>
  <si>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</si>
  <si>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</si>
  <si>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</si>
  <si>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</si>
  <si>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</si>
  <si>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</si>
  <si>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</si>
  <si>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</si>
  <si>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</si>
  <si>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</si>
  <si>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</si>
  <si>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</si>
  <si>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</si>
  <si>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</si>
  <si>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</si>
  <si>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</si>
  <si>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</si>
  <si>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</si>
  <si>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</si>
  <si>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</si>
  <si>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</si>
  <si>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</si>
  <si>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</si>
  <si>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</si>
  <si>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</si>
  <si>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</si>
  <si>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</si>
  <si>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</si>
  <si>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</si>
  <si>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</si>
  <si>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</si>
  <si>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</si>
  <si>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</si>
  <si>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</si>
  <si>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</si>
  <si>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</si>
  <si>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</si>
  <si>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</si>
  <si>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</si>
  <si>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</si>
  <si>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</si>
  <si>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</si>
  <si>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</si>
  <si>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</si>
  <si>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</si>
  <si>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</si>
  <si>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</si>
  <si>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</si>
  <si>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</si>
  <si>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</si>
  <si>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</si>
  <si>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</si>
  <si>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</si>
  <si>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</si>
  <si>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</si>
  <si>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</si>
  <si>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</si>
  <si>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</si>
  <si>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</si>
  <si>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</si>
  <si>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</si>
  <si>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</si>
  <si>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</si>
  <si>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</si>
  <si>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</si>
  <si>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</si>
  <si>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</si>
  <si>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</si>
  <si>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</si>
  <si>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</si>
  <si>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</si>
  <si>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</si>
  <si>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</si>
  <si>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</si>
  <si>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</si>
  <si>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</si>
  <si>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</si>
  <si>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</si>
  <si>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</si>
  <si>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</si>
  <si>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</si>
  <si>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</si>
  <si>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</si>
  <si>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</si>
  <si>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</si>
  <si>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</si>
  <si>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</si>
  <si>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</si>
  <si>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</si>
  <si>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</si>
  <si>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</si>
  <si>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</si>
  <si>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</si>
  <si>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</si>
  <si>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</si>
  <si>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</si>
  <si>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</si>
  <si>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</si>
  <si>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</si>
  <si>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</si>
  <si>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</si>
  <si>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</si>
  <si>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</si>
  <si>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</si>
  <si>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</si>
  <si>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</si>
  <si>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</si>
  <si>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</si>
  <si>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</si>
  <si>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</si>
  <si>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</si>
  <si>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</si>
  <si>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</si>
  <si>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</si>
  <si>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</si>
  <si>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</si>
  <si>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</si>
  <si>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</si>
  <si>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</si>
  <si>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</si>
  <si>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</si>
  <si>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</si>
  <si>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</si>
  <si>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</si>
  <si>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</si>
  <si>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</si>
  <si>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</si>
  <si>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</si>
  <si>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</si>
  <si>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</si>
  <si>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</si>
  <si>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</si>
  <si>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</si>
  <si>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</si>
  <si>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</si>
  <si>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</si>
  <si>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</si>
  <si>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</si>
  <si>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</si>
  <si>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</si>
  <si>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</si>
  <si>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</si>
  <si>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</si>
  <si>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</si>
  <si>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</si>
  <si>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</si>
  <si>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</si>
  <si>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</si>
  <si>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</si>
  <si>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</si>
  <si>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</si>
  <si>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</si>
  <si>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</si>
  <si>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</si>
  <si>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</si>
  <si>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</si>
  <si>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</si>
  <si>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</si>
  <si>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</si>
  <si>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</si>
  <si>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</si>
  <si>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</si>
  <si>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</si>
  <si>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</si>
  <si>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</si>
  <si>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</si>
  <si>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</si>
  <si>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</si>
  <si>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</si>
  <si>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</si>
  <si>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</si>
  <si>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</si>
  <si>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</si>
  <si>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</si>
  <si>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</si>
  <si>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</si>
  <si>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</si>
  <si>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</si>
  <si>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</si>
  <si>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</si>
  <si>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</si>
  <si>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</si>
  <si>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</si>
  <si>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</si>
  <si>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</si>
  <si>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</si>
  <si>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</si>
  <si>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</si>
  <si>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</si>
  <si>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</si>
  <si>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</si>
  <si>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</si>
  <si>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</si>
  <si>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</si>
  <si>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</si>
  <si>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</si>
  <si>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</si>
  <si>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</si>
  <si>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</si>
  <si>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</si>
  <si>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</si>
  <si>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</si>
  <si>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</si>
  <si>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</si>
  <si>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</si>
  <si>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</si>
  <si>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</si>
  <si>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</si>
  <si>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</si>
  <si>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</si>
  <si>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</si>
  <si>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</si>
  <si>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</si>
  <si>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</si>
  <si>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</si>
  <si>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</si>
  <si>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</si>
  <si>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</si>
  <si>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</si>
  <si>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</si>
  <si>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</si>
  <si>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</si>
  <si>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</si>
  <si>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</si>
  <si>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</si>
  <si>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</si>
  <si>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</si>
  <si>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</si>
  <si>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</si>
  <si>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</si>
  <si>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</si>
  <si>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</si>
  <si>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</si>
  <si>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</si>
  <si>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</si>
  <si>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</si>
  <si>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</si>
  <si>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</si>
  <si>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</si>
  <si>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</si>
  <si>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</si>
  <si>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</si>
  <si>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</si>
  <si>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</si>
  <si>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</si>
  <si>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</si>
  <si>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</si>
  <si>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</si>
  <si>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</si>
  <si>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</si>
  <si>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</si>
  <si>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</si>
  <si>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</si>
  <si>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</si>
  <si>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</si>
  <si>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</si>
  <si>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</si>
  <si>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</si>
  <si>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</si>
  <si>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</si>
  <si>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</si>
  <si>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</si>
  <si>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</si>
  <si>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</si>
  <si>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</si>
  <si>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</si>
  <si>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</si>
  <si>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</si>
  <si>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</si>
  <si>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</si>
  <si>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</si>
  <si>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</si>
  <si>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</si>
  <si>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</si>
  <si>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</si>
  <si>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</si>
  <si>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</si>
  <si>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</si>
  <si>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</si>
  <si>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</si>
  <si>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</si>
  <si>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</si>
  <si>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</si>
  <si>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</si>
  <si>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</si>
  <si>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</si>
  <si>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</si>
  <si>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</si>
  <si>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</si>
  <si>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</si>
  <si>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</si>
  <si>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</si>
  <si>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</si>
  <si>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</si>
  <si>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</si>
  <si>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</si>
  <si>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</si>
  <si>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</si>
  <si>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</si>
  <si>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</si>
  <si>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</si>
  <si>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</si>
  <si>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</si>
  <si>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</si>
  <si>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</si>
  <si>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</si>
  <si>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</si>
  <si>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</si>
  <si>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</si>
  <si>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</si>
  <si>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</si>
  <si>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</si>
  <si>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</si>
  <si>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</si>
  <si>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</si>
  <si>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</si>
  <si>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</si>
  <si>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</si>
  <si>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</si>
  <si>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</si>
  <si>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</si>
  <si>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</si>
  <si>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</si>
  <si>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</si>
  <si>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</si>
  <si>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</si>
  <si>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</si>
  <si>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</si>
  <si>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</si>
  <si>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</si>
  <si>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</si>
  <si>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</si>
  <si>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</si>
  <si>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</si>
  <si>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</si>
  <si>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</si>
  <si>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</si>
  <si>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</si>
  <si>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</si>
  <si>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</si>
  <si>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</si>
  <si>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</si>
  <si>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</si>
  <si>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</si>
  <si>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</si>
  <si>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</si>
  <si>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</si>
  <si>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</si>
  <si>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</si>
  <si>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</si>
  <si>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</si>
  <si>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</si>
  <si>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</si>
  <si>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</si>
  <si>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</si>
  <si>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</si>
  <si>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</si>
  <si>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</si>
  <si>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</si>
  <si>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</si>
  <si>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</si>
  <si>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</si>
  <si>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</si>
  <si>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</si>
  <si>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</si>
  <si>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</si>
  <si>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</si>
  <si>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</si>
  <si>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</si>
  <si>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</si>
  <si>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</si>
  <si>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</si>
  <si>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</si>
  <si>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</si>
  <si>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</si>
  <si>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</si>
  <si>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</si>
  <si>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</si>
  <si>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</si>
  <si>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</si>
  <si>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</si>
  <si>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</si>
  <si>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</si>
  <si>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</si>
  <si>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</si>
  <si>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</si>
  <si>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</si>
  <si>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</si>
  <si>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</si>
  <si>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</si>
  <si>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</si>
  <si>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</si>
  <si>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</si>
  <si>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</si>
  <si>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</si>
  <si>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</si>
  <si>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</si>
  <si>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</si>
  <si>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</si>
  <si>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</si>
  <si>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</si>
  <si>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</si>
  <si>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</si>
  <si>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</si>
  <si>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</si>
  <si>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</si>
  <si>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</si>
  <si>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</si>
  <si>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</si>
  <si>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</si>
  <si>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</si>
  <si>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</si>
  <si>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</si>
  <si>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</si>
  <si>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</si>
  <si>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</si>
  <si>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</si>
  <si>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</si>
  <si>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</si>
  <si>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</si>
  <si>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</si>
  <si>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</si>
  <si>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</si>
  <si>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</si>
  <si>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</si>
  <si>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</si>
  <si>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</si>
  <si>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</si>
  <si>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</si>
  <si>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</si>
  <si>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</si>
  <si>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</si>
  <si>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</si>
  <si>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</si>
  <si>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</si>
  <si>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</si>
  <si>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</si>
  <si>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</si>
  <si>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</si>
  <si>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</si>
  <si>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</si>
  <si>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</si>
  <si>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</si>
  <si>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</si>
  <si>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</si>
  <si>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</si>
  <si>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</si>
  <si>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</si>
  <si>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</si>
  <si>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</si>
  <si>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</si>
  <si>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</si>
  <si>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</si>
  <si>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</si>
  <si>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</si>
  <si>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</si>
  <si>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</si>
  <si>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</si>
  <si>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</si>
  <si>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</si>
  <si>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</si>
  <si>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</si>
  <si>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</si>
  <si>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</si>
  <si>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</si>
  <si>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</si>
  <si>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</si>
  <si>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</si>
  <si>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</si>
  <si>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</si>
  <si>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</si>
  <si>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</si>
  <si>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</si>
  <si>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</si>
  <si>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</si>
  <si>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</si>
  <si>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</si>
  <si>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</si>
  <si>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</si>
  <si>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</si>
  <si>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</si>
  <si>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</si>
  <si>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</si>
  <si>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</si>
  <si>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</si>
  <si>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</si>
  <si>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</si>
  <si>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</si>
  <si>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</si>
  <si>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</si>
  <si>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</si>
  <si>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</si>
  <si>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</si>
  <si>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</si>
  <si>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</si>
  <si>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</si>
  <si>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</si>
  <si>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</si>
  <si>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</si>
  <si>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</si>
  <si>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</si>
  <si>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</si>
  <si>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</si>
  <si>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</si>
  <si>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</si>
  <si>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</si>
  <si>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</si>
  <si>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</si>
  <si>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</si>
  <si>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</si>
  <si>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</si>
  <si>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</si>
  <si>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</si>
  <si>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</si>
  <si>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</si>
  <si>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</si>
  <si>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</si>
  <si>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</si>
  <si>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</si>
  <si>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</si>
  <si>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</si>
  <si>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</si>
  <si>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</si>
  <si>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</si>
  <si>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</si>
  <si>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</si>
  <si>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</si>
  <si>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</si>
  <si>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</si>
  <si>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</si>
  <si>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</si>
  <si>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</si>
  <si>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</si>
  <si>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</si>
  <si>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</si>
  <si>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</si>
  <si>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</si>
  <si>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</si>
  <si>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</si>
  <si>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</si>
  <si>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</si>
  <si>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</si>
  <si>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</si>
  <si>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</si>
  <si>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</si>
  <si>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</si>
  <si>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</si>
  <si>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</si>
  <si>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</si>
  <si>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</si>
  <si>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</si>
  <si>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</si>
  <si>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</si>
  <si>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</si>
  <si>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</si>
  <si>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</si>
  <si>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</si>
  <si>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</si>
  <si>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</si>
  <si>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</si>
  <si>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</si>
  <si>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</si>
  <si>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</si>
  <si>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</si>
  <si>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</si>
  <si>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</si>
  <si>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</si>
  <si>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</si>
  <si>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</si>
  <si>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</si>
  <si>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</si>
  <si>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</si>
  <si>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</si>
  <si>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</si>
  <si>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</si>
  <si>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</si>
  <si>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</si>
  <si>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</si>
  <si>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</si>
  <si>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</si>
  <si>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</si>
  <si>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</si>
  <si>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</si>
  <si>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</si>
  <si>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</si>
  <si>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</si>
  <si>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</si>
  <si>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</si>
  <si>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</si>
  <si>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</si>
  <si>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</si>
  <si>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</si>
  <si>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</si>
  <si>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</si>
  <si>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</si>
  <si>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</si>
  <si>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</si>
  <si>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</si>
  <si>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</si>
  <si>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</si>
  <si>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</si>
  <si>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</si>
  <si>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</si>
  <si>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</si>
  <si>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</si>
  <si>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</si>
  <si>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</si>
  <si>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</si>
  <si>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</si>
  <si>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</si>
  <si>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</si>
  <si>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</si>
  <si>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</si>
  <si>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</si>
  <si>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</si>
  <si>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</si>
  <si>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</si>
  <si>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</si>
  <si>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</si>
  <si>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</si>
  <si>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</si>
  <si>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</si>
  <si>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</si>
  <si>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</si>
  <si>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</si>
  <si>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</si>
  <si>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</si>
  <si>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</si>
  <si>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</si>
  <si>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</si>
  <si>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</si>
  <si>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</si>
  <si>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</si>
  <si>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</si>
  <si>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</si>
  <si>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</si>
  <si>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</si>
  <si>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</si>
  <si>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</si>
  <si>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</si>
  <si>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</si>
  <si>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</si>
  <si>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</si>
  <si>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</si>
  <si>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</si>
  <si>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</si>
  <si>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</si>
  <si>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</si>
  <si>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</si>
  <si>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</si>
  <si>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</si>
  <si>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</si>
  <si>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</si>
  <si>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</si>
  <si>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</si>
  <si>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</si>
  <si>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</si>
  <si>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</si>
  <si>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</si>
  <si>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</si>
  <si>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</si>
  <si>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</si>
  <si>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</si>
  <si>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</si>
  <si>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</si>
  <si>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</si>
  <si>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</si>
  <si>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</si>
  <si>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</si>
  <si>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</si>
  <si>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</si>
  <si>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</si>
  <si>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</si>
  <si>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</si>
  <si>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</si>
  <si>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</si>
  <si>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</si>
  <si>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</si>
  <si>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</si>
  <si>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</si>
  <si>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</si>
  <si>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</si>
  <si>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</si>
  <si>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</si>
  <si>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</si>
  <si>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</si>
  <si>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</si>
  <si>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</si>
  <si>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</si>
  <si>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</si>
  <si>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</si>
  <si>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</si>
  <si>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</si>
  <si>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</si>
  <si>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</si>
  <si>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</si>
  <si>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</si>
  <si>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</si>
  <si>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</si>
  <si>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</si>
  <si>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</si>
  <si>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</si>
  <si>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</si>
  <si>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</si>
  <si>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</si>
  <si>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</si>
  <si>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</si>
  <si>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</si>
  <si>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</si>
  <si>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</si>
  <si>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</si>
  <si>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</si>
  <si>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</si>
  <si>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</si>
  <si>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</si>
  <si>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</si>
  <si>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</si>
  <si>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</si>
  <si>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</si>
  <si>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</si>
  <si>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</si>
  <si>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</si>
  <si>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</si>
  <si>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</si>
  <si>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</si>
  <si>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</si>
  <si>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</si>
  <si>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</si>
  <si>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</si>
  <si>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</si>
  <si>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</si>
  <si>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</si>
  <si>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</si>
  <si>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</si>
  <si>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</si>
  <si>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</si>
  <si>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</si>
  <si>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</si>
  <si>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</si>
  <si>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</si>
  <si>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</si>
  <si>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</si>
  <si>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</si>
  <si>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</si>
  <si>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</si>
  <si>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</si>
  <si>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</si>
  <si>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</si>
  <si>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</si>
  <si>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</si>
  <si>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</si>
  <si>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</si>
  <si>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</si>
  <si>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</si>
  <si>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</si>
  <si>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</si>
  <si>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</si>
  <si>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</si>
  <si>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</si>
  <si>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</si>
  <si>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</si>
  <si>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</si>
  <si>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</si>
  <si>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</si>
  <si>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</si>
  <si>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</si>
  <si>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</si>
  <si>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</si>
  <si>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</si>
  <si>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</si>
  <si>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</si>
  <si>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</si>
  <si>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</si>
  <si>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</si>
  <si>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</si>
  <si>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</si>
  <si>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</si>
  <si>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</si>
  <si>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</si>
  <si>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</si>
  <si>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</si>
  <si>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</si>
  <si>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</si>
  <si>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</si>
  <si>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</si>
  <si>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</si>
  <si>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</si>
  <si>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</si>
  <si>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</si>
  <si>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</si>
  <si>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</si>
  <si>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</si>
  <si>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</si>
  <si>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</si>
  <si>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</si>
  <si>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</si>
  <si>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</si>
  <si>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</si>
  <si>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</si>
  <si>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</si>
  <si>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</si>
  <si>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</si>
  <si>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</si>
  <si>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</si>
  <si>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</si>
  <si>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</si>
  <si>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</si>
  <si>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</si>
  <si>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</si>
  <si>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</si>
  <si>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</si>
  <si>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</si>
  <si>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</si>
  <si>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</si>
  <si>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</si>
  <si>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</si>
  <si>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</si>
  <si>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</si>
  <si>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</si>
  <si>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</si>
  <si>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</si>
  <si>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</si>
  <si>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</si>
  <si>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</si>
  <si>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</si>
  <si>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</si>
  <si>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</si>
  <si>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</si>
  <si>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</si>
  <si>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</si>
  <si>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</si>
  <si>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</si>
  <si>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</si>
  <si>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</si>
  <si>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</si>
  <si>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</si>
  <si>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</si>
  <si>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</si>
  <si>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</si>
  <si>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</si>
  <si>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</si>
  <si>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</si>
  <si>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</si>
  <si>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</si>
  <si>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</si>
  <si>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</si>
  <si>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</si>
  <si>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</si>
  <si>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</si>
  <si>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</si>
  <si>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</si>
  <si>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</si>
  <si>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</si>
  <si>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</si>
  <si>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</si>
  <si>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</si>
  <si>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</si>
  <si>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</si>
  <si>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</si>
  <si>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</si>
  <si>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</si>
  <si>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</si>
  <si>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</si>
  <si>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</si>
  <si>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</si>
  <si>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</si>
  <si>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</si>
  <si>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</si>
  <si>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</si>
  <si>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</si>
  <si>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</si>
  <si>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</si>
  <si>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</si>
  <si>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</si>
  <si>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</si>
  <si>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</si>
  <si>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</si>
  <si>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</si>
  <si>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</si>
  <si>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</si>
  <si>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</si>
  <si>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</si>
  <si>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</si>
  <si>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</si>
  <si>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</si>
  <si>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</si>
  <si>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</si>
  <si>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</si>
  <si>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</si>
  <si>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</si>
  <si>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</si>
  <si>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</si>
  <si>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</si>
  <si>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</si>
  <si>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</si>
  <si>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</si>
  <si>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</si>
  <si>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</si>
  <si>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</si>
  <si>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</si>
  <si>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</si>
  <si>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</si>
  <si>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</si>
  <si>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</si>
  <si>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</si>
  <si>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</si>
  <si>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</si>
  <si>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</si>
  <si>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</si>
  <si>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</si>
  <si>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</si>
  <si>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</si>
  <si>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</si>
  <si>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</si>
  <si>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</si>
  <si>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</si>
  <si>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</si>
  <si>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</si>
  <si>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</si>
  <si>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</si>
  <si>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</si>
  <si>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</si>
  <si>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</si>
  <si>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</si>
  <si>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</si>
  <si>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</si>
  <si>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</si>
  <si>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</si>
  <si>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</si>
  <si>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</si>
  <si>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</si>
  <si>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</si>
  <si>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</si>
  <si>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</si>
  <si>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</si>
  <si>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</si>
  <si>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</si>
  <si>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</si>
  <si>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</si>
  <si>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</si>
  <si>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</si>
  <si>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</si>
  <si>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</si>
  <si>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</si>
  <si>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</si>
  <si>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</si>
  <si>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</si>
  <si>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</si>
  <si>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</si>
  <si>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</si>
  <si>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</si>
  <si>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</si>
  <si>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</si>
  <si>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</si>
  <si>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</si>
  <si>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</si>
  <si>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</si>
  <si>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</si>
  <si>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</si>
  <si>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</si>
  <si>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</si>
  <si>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</si>
  <si>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</si>
  <si>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</si>
  <si>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</si>
  <si>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</si>
  <si>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</si>
  <si>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</si>
  <si>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</si>
  <si>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</si>
  <si>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</si>
  <si>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</si>
  <si>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</si>
  <si>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</si>
  <si>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</si>
  <si>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</si>
  <si>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</si>
  <si>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</si>
  <si>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</si>
  <si>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</si>
  <si>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</si>
  <si>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</si>
  <si>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</si>
  <si>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</si>
  <si>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</si>
  <si>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</si>
  <si>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</si>
  <si>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</si>
  <si>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</si>
  <si>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</si>
  <si>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</si>
  <si>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</si>
  <si>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</si>
  <si>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</si>
  <si>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</si>
  <si>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</si>
  <si>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</si>
  <si>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</si>
  <si>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</si>
  <si>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</si>
  <si>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</si>
  <si>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</si>
  <si>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</si>
  <si>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</si>
  <si>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</si>
  <si>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</si>
  <si>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</si>
  <si>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</si>
  <si>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</si>
  <si>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</si>
  <si>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</si>
  <si>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</si>
  <si>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</si>
  <si>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</si>
  <si>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</si>
  <si>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</si>
  <si>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</si>
  <si>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</si>
  <si>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</si>
  <si>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</si>
  <si>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</si>
  <si>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</si>
  <si>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</si>
  <si>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</si>
  <si>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</si>
  <si>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</si>
  <si>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</si>
  <si>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</si>
  <si>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</si>
  <si>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</si>
  <si>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</si>
  <si>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</si>
  <si>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</si>
  <si>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</si>
  <si>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</si>
  <si>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</si>
  <si>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</si>
  <si>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</si>
  <si>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</si>
  <si>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</si>
  <si>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</si>
  <si>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</si>
  <si>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</si>
  <si>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</si>
  <si>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</si>
  <si>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</si>
  <si>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</si>
  <si>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</si>
  <si>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</si>
  <si>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</si>
  <si>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</si>
  <si>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</si>
  <si>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</si>
  <si>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</si>
  <si>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</si>
  <si>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</si>
  <si>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</si>
  <si>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</si>
  <si>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</si>
  <si>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</si>
  <si>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</si>
  <si>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</si>
  <si>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</si>
  <si>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</si>
  <si>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</si>
  <si>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</si>
  <si>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</si>
  <si>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</si>
  <si>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</si>
  <si>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</si>
  <si>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</si>
  <si>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</si>
  <si>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</si>
  <si>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</si>
  <si>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</si>
  <si>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</si>
  <si>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</si>
  <si>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</si>
  <si>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</si>
  <si>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</si>
  <si>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</si>
  <si>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</si>
  <si>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</si>
  <si>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</si>
  <si>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</si>
  <si>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</si>
  <si>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</si>
  <si>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</si>
  <si>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</si>
  <si>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</si>
  <si>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</si>
  <si>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</si>
  <si>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</si>
  <si>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</si>
  <si>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</si>
  <si>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</si>
  <si>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</si>
  <si>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</si>
  <si>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</si>
  <si>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</si>
  <si>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</si>
  <si>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</si>
  <si>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</si>
  <si>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</si>
  <si>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</si>
  <si>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</si>
  <si>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</si>
  <si>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</si>
  <si>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</si>
  <si>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</si>
  <si>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</si>
  <si>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</si>
  <si>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</si>
  <si>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</si>
  <si>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</si>
  <si>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</si>
  <si>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</si>
  <si>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</si>
  <si>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</si>
  <si>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</si>
  <si>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</si>
  <si>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</si>
  <si>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</si>
  <si>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</si>
  <si>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</si>
  <si>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</si>
  <si>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</si>
  <si>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</si>
  <si>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</si>
  <si>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</si>
  <si>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</si>
  <si>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</si>
  <si>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</si>
  <si>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</si>
  <si>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</si>
  <si>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</si>
  <si>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</si>
  <si>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</si>
  <si>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</si>
  <si>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</si>
  <si>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</si>
  <si>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</si>
  <si>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</si>
  <si>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</si>
  <si>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</si>
  <si>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</si>
  <si>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</si>
  <si>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</si>
  <si>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</si>
  <si>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</si>
  <si>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</si>
  <si>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</si>
  <si>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</si>
  <si>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</si>
  <si>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</si>
  <si>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</si>
  <si>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</si>
  <si>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</si>
  <si>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</si>
  <si>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</si>
  <si>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</si>
  <si>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</si>
  <si>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</si>
  <si>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</si>
  <si>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</si>
  <si>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</si>
  <si>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</si>
  <si>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</si>
  <si>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</si>
  <si>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</si>
  <si>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</si>
  <si>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</si>
  <si>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</si>
  <si>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</si>
  <si>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</si>
  <si>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</si>
  <si>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</si>
  <si>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</si>
  <si>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</si>
  <si>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</si>
  <si>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</si>
  <si>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</si>
  <si>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</si>
  <si>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</si>
  <si>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</si>
  <si>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</si>
  <si>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</si>
  <si>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</si>
  <si>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</si>
  <si>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</si>
  <si>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</si>
  <si>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</si>
  <si>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</si>
  <si>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</si>
  <si>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</si>
  <si>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</si>
  <si>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</si>
  <si>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</si>
  <si>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</si>
  <si>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</si>
  <si>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</si>
  <si>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</si>
  <si>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</si>
  <si>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</si>
  <si>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</si>
  <si>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</si>
  <si>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</si>
  <si>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</si>
  <si>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</si>
  <si>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</si>
  <si>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</si>
  <si>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</si>
  <si>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</si>
  <si>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</si>
  <si>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</si>
  <si>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</si>
  <si>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</si>
  <si>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</si>
  <si>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</si>
  <si>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</si>
  <si>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</si>
  <si>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</si>
  <si>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</si>
  <si>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</si>
  <si>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</si>
  <si>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</si>
  <si>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</si>
  <si>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</si>
  <si>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</si>
  <si>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</si>
  <si>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</si>
  <si>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</si>
  <si>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</si>
  <si>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</si>
  <si>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</si>
  <si>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</si>
  <si>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</si>
  <si>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</si>
  <si>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</si>
  <si>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</si>
  <si>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</si>
  <si>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</si>
  <si>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</si>
  <si>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</si>
  <si>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</si>
  <si>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</si>
  <si>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</si>
  <si>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</si>
  <si>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</si>
  <si>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</si>
  <si>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</si>
  <si>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</si>
  <si>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</si>
  <si>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</si>
  <si>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</si>
  <si>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</si>
  <si>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</si>
  <si>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</si>
  <si>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</si>
  <si>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</si>
  <si>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</si>
  <si>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</si>
  <si>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</si>
  <si>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</si>
  <si>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</si>
  <si>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</si>
  <si>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</si>
  <si>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</si>
  <si>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</si>
  <si>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</si>
  <si>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</si>
  <si>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</si>
  <si>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</si>
  <si>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</si>
  <si>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</si>
  <si>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</si>
  <si>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</si>
  <si>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</si>
  <si>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</si>
  <si>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</si>
  <si>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</si>
  <si>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</si>
  <si>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</si>
  <si>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</si>
  <si>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</si>
  <si>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</si>
  <si>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</si>
  <si>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</si>
  <si>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</si>
  <si>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</si>
  <si>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</si>
  <si>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</si>
  <si>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</si>
  <si>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</si>
  <si>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</si>
  <si>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</si>
  <si>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</si>
  <si>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</si>
  <si>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</si>
  <si>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</si>
  <si>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</si>
  <si>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</si>
  <si>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</si>
  <si>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</si>
  <si>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</si>
  <si>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</si>
  <si>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</si>
  <si>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</si>
  <si>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</si>
  <si>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</si>
  <si>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</si>
  <si>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</si>
  <si>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</si>
  <si>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</si>
  <si>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</si>
  <si>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</si>
  <si>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</si>
  <si>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</si>
  <si>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</si>
  <si>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</si>
  <si>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</si>
  <si>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</si>
  <si>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</si>
  <si>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</si>
  <si>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</si>
  <si>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</si>
  <si>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</si>
  <si>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</si>
  <si>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</si>
  <si>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</si>
  <si>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</si>
  <si>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</si>
  <si>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</si>
  <si>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</si>
  <si>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</si>
  <si>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</si>
  <si>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</si>
  <si>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</si>
  <si>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</si>
  <si>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</si>
  <si>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</si>
  <si>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</si>
  <si>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</si>
  <si>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</si>
  <si>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</si>
  <si>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</si>
  <si>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</si>
  <si>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</si>
  <si>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</si>
  <si>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</si>
  <si>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</si>
  <si>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</si>
  <si>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</si>
  <si>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</si>
  <si>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</si>
  <si>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</si>
  <si>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</si>
  <si>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</si>
  <si>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</si>
  <si>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</si>
  <si>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</si>
  <si>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</si>
  <si>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</si>
  <si>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</si>
  <si>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</si>
  <si>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</si>
  <si>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</si>
  <si>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</si>
  <si>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</si>
  <si>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</si>
  <si>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</si>
  <si>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</si>
  <si>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</si>
  <si>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</si>
  <si>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</si>
  <si>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</si>
  <si>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</si>
  <si>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</si>
  <si>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</si>
  <si>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</si>
  <si>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</si>
  <si>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</si>
  <si>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</si>
  <si>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</si>
  <si>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</si>
  <si>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</si>
  <si>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</si>
  <si>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</si>
  <si>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</si>
  <si>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</si>
  <si>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</si>
  <si>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</si>
  <si>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</si>
  <si>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</si>
  <si>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</si>
  <si>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</si>
  <si>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</si>
  <si>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</si>
  <si>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</si>
  <si>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</si>
  <si>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</si>
  <si>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</si>
  <si>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</si>
  <si>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</si>
  <si>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</si>
  <si>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</si>
  <si>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</si>
  <si>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</si>
  <si>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</si>
  <si>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</si>
  <si>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</si>
  <si>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</si>
  <si>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</si>
  <si>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</si>
  <si>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</si>
  <si>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</si>
  <si>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</si>
  <si>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</si>
  <si>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</si>
  <si>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</si>
  <si>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</si>
  <si>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</si>
  <si>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</si>
  <si>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</si>
  <si>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</si>
  <si>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</si>
  <si>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</si>
  <si>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</si>
  <si>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</si>
  <si>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</si>
  <si>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</si>
  <si>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</si>
  <si>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</si>
  <si>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</si>
  <si>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</si>
  <si>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</si>
  <si>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</si>
  <si>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</si>
  <si>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</si>
  <si>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</si>
  <si>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</si>
  <si>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</si>
  <si>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</si>
  <si>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</si>
  <si>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</si>
  <si>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</si>
  <si>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</si>
  <si>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</si>
  <si>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</si>
  <si>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</si>
  <si>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</si>
  <si>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</si>
  <si>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</si>
  <si>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</si>
  <si>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</si>
  <si>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</si>
  <si>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</si>
  <si>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</si>
  <si>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</si>
  <si>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</si>
  <si>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</si>
  <si>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</si>
  <si>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</si>
  <si>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</si>
  <si>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</si>
  <si>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</si>
  <si>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</si>
  <si>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</si>
  <si>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</si>
  <si>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</si>
  <si>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</si>
  <si>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</si>
  <si>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</si>
  <si>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</si>
  <si>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</si>
  <si>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</si>
  <si>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</si>
  <si>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</si>
  <si>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</si>
  <si>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</si>
  <si>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</si>
  <si>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</si>
  <si>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</si>
  <si>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</si>
  <si>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</si>
  <si>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</si>
  <si>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</si>
  <si>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</si>
  <si>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</si>
  <si>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</si>
  <si>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</si>
  <si>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</si>
  <si>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</si>
  <si>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</si>
  <si>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</si>
  <si>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</si>
  <si>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</si>
  <si>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</si>
  <si>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</si>
  <si>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</si>
  <si>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</si>
  <si>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</si>
  <si>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</si>
  <si>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</si>
  <si>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</si>
  <si>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</si>
  <si>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</si>
  <si>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</si>
  <si>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</si>
  <si>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</si>
  <si>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</si>
  <si>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</si>
  <si>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</si>
  <si>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</si>
  <si>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</si>
  <si>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</si>
  <si>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</si>
  <si>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</si>
  <si>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</si>
  <si>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</si>
  <si>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</si>
  <si>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</si>
  <si>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</si>
  <si>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</si>
  <si>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</si>
  <si>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</si>
  <si>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</si>
  <si>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</si>
  <si>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</si>
  <si>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</si>
  <si>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</si>
  <si>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</si>
  <si>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</si>
  <si>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</si>
  <si>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</si>
  <si>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</si>
  <si>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</si>
  <si>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</si>
  <si>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</si>
  <si>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</si>
  <si>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</si>
  <si>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</si>
  <si>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</si>
  <si>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</si>
  <si>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</si>
  <si>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</si>
  <si>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</si>
  <si>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</si>
  <si>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</si>
  <si>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</si>
  <si>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</si>
  <si>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</si>
  <si>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</si>
  <si>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</si>
  <si>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</si>
  <si>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</si>
  <si>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</si>
  <si>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</si>
  <si>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</si>
  <si>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</si>
  <si>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</si>
  <si>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</si>
  <si>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</si>
  <si>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</si>
  <si>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</si>
  <si>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</si>
  <si>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</si>
  <si>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</si>
  <si>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</si>
  <si>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</si>
  <si>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</si>
  <si>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</si>
  <si>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</si>
  <si>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</si>
  <si>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</si>
  <si>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</si>
  <si>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</si>
  <si>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</si>
  <si>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</si>
  <si>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</si>
  <si>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</si>
  <si>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</si>
  <si>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</si>
  <si>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</si>
  <si>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</si>
  <si>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</si>
  <si>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</si>
  <si>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</si>
  <si>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</si>
  <si>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</si>
  <si>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</si>
  <si>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</si>
  <si>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</si>
  <si>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</si>
  <si>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</si>
  <si>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</si>
  <si>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</si>
  <si>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</si>
  <si>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</si>
  <si>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</si>
  <si>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</si>
  <si>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</si>
  <si>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</si>
  <si>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</si>
  <si>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</si>
  <si>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</si>
  <si>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</si>
  <si>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</si>
  <si>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</si>
  <si>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</si>
  <si>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</si>
  <si>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</si>
  <si>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</si>
  <si>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</si>
  <si>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</si>
  <si>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</si>
  <si>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</si>
  <si>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</si>
  <si>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</si>
  <si>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</si>
  <si>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</si>
  <si>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</si>
  <si>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</si>
  <si>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</si>
  <si>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</si>
  <si>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</si>
  <si>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</si>
  <si>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</si>
  <si>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</si>
  <si>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</si>
  <si>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</si>
  <si>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</si>
  <si>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</si>
  <si>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</si>
  <si>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</si>
  <si>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</si>
  <si>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</si>
  <si>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</si>
  <si>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</si>
  <si>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</si>
  <si>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</si>
  <si>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</si>
  <si>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</si>
  <si>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</si>
  <si>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</si>
  <si>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</si>
  <si>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</si>
  <si>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</si>
  <si>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</si>
  <si>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</si>
  <si>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</si>
  <si>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</si>
  <si>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</si>
  <si>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</si>
  <si>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</si>
  <si>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</si>
  <si>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</si>
  <si>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</si>
  <si>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</si>
  <si>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</si>
  <si>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</si>
  <si>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</si>
  <si>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</si>
  <si>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</si>
  <si>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</si>
  <si>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</si>
  <si>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</si>
  <si>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</si>
  <si>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</si>
  <si>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</si>
  <si>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</si>
  <si>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</si>
  <si>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</si>
  <si>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</si>
  <si>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</si>
  <si>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</si>
  <si>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</si>
  <si>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</si>
  <si>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</si>
  <si>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</si>
  <si>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</si>
  <si>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</si>
  <si>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</si>
  <si>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</si>
  <si>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</si>
  <si>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</si>
  <si>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</si>
  <si>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</si>
  <si>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</si>
  <si>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</si>
  <si>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</si>
  <si>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</si>
  <si>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</si>
  <si>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</si>
  <si>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</si>
  <si>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</si>
  <si>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</si>
  <si>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</si>
  <si>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</si>
  <si>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</si>
  <si>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</si>
  <si>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</si>
  <si>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</si>
  <si>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</si>
  <si>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</si>
  <si>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</si>
  <si>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</si>
  <si>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</si>
  <si>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</si>
  <si>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</si>
  <si>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</si>
  <si>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</si>
  <si>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</si>
  <si>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</si>
  <si>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</si>
  <si>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</si>
  <si>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</si>
  <si>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</si>
  <si>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</si>
  <si>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</si>
  <si>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</si>
  <si>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</si>
  <si>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</si>
  <si>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</si>
  <si>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</si>
  <si>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</si>
  <si>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</si>
  <si>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</si>
  <si>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</si>
  <si>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</si>
  <si>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</si>
  <si>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</si>
  <si>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</si>
  <si>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</si>
  <si>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</si>
  <si>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</si>
  <si>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</si>
  <si>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</si>
  <si>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</si>
  <si>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</si>
  <si>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</si>
  <si>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</si>
  <si>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</si>
  <si>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</si>
  <si>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</si>
  <si>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</si>
  <si>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</si>
  <si>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</si>
  <si>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</si>
  <si>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</si>
  <si>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</si>
  <si>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</si>
  <si>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</si>
  <si>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</si>
  <si>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</si>
  <si>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</si>
  <si>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</si>
  <si>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</si>
  <si>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</si>
  <si>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</si>
  <si>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</si>
  <si>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</si>
  <si>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</si>
  <si>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</si>
  <si>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</si>
  <si>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</si>
  <si>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</si>
  <si>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</si>
  <si>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</si>
  <si>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</si>
  <si>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</si>
  <si>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</si>
  <si>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</si>
  <si>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</si>
  <si>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</si>
  <si>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</si>
  <si>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</si>
  <si>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</si>
  <si>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</si>
  <si>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</si>
  <si>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</si>
  <si>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</si>
  <si>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</si>
  <si>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</si>
  <si>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</si>
  <si>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</si>
  <si>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</si>
  <si>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</si>
  <si>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</si>
  <si>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</si>
  <si>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</si>
  <si>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</si>
  <si>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</si>
  <si>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</si>
  <si>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</si>
  <si>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</si>
  <si>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</si>
  <si>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</si>
  <si>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</si>
  <si>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</si>
  <si>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</si>
  <si>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</si>
  <si>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</si>
  <si>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</si>
  <si>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</si>
  <si>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</si>
  <si>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</si>
  <si>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</si>
  <si>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</si>
  <si>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</si>
  <si>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</si>
  <si>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</si>
  <si>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</si>
  <si>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</si>
  <si>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</si>
  <si>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</si>
  <si>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</si>
  <si>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</si>
  <si>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</si>
  <si>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</si>
  <si>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</si>
  <si>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</si>
  <si>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</si>
  <si>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</si>
  <si>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</si>
  <si>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</si>
  <si>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</si>
  <si>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</si>
  <si>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</si>
  <si>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</si>
  <si>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</si>
  <si>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</si>
  <si>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</si>
  <si>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</si>
  <si>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</si>
  <si>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</si>
  <si>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</si>
  <si>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</si>
  <si>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</si>
  <si>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</si>
  <si>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</si>
  <si>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</si>
  <si>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</si>
  <si>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</si>
  <si>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</si>
  <si>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</si>
  <si>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</si>
  <si>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</si>
  <si>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</si>
  <si>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</si>
  <si>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</si>
  <si>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</si>
  <si>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</si>
  <si>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</si>
  <si>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</si>
  <si>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</si>
  <si>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</si>
  <si>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</si>
  <si>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</si>
  <si>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</si>
  <si>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</si>
  <si>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</si>
  <si>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</si>
  <si>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</si>
  <si>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</si>
  <si>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</si>
  <si>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</si>
  <si>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</si>
  <si>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</si>
  <si>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</si>
  <si>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</si>
  <si>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</si>
  <si>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</si>
  <si>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</si>
  <si>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</si>
  <si>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</si>
  <si>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</si>
  <si>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</si>
  <si>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</si>
  <si>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</si>
  <si>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</si>
  <si>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</si>
  <si>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</si>
  <si>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</si>
  <si>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</si>
  <si>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</si>
  <si>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</si>
  <si>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</si>
  <si>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</si>
  <si>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</si>
  <si>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</si>
  <si>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</si>
  <si>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</si>
  <si>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</si>
  <si>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</si>
  <si>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</si>
  <si>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</si>
  <si>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</si>
  <si>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</si>
  <si>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</si>
  <si>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</si>
  <si>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</si>
  <si>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</si>
  <si>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</si>
  <si>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</si>
  <si>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</si>
  <si>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</si>
  <si>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</si>
  <si>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</si>
  <si>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</si>
  <si>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</si>
  <si>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</si>
  <si>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</si>
  <si>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</si>
  <si>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</si>
  <si>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</si>
  <si>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</si>
  <si>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</si>
  <si>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</si>
  <si>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</si>
  <si>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</si>
  <si>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</si>
  <si>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</si>
  <si>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</si>
  <si>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</si>
  <si>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</si>
  <si>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</si>
  <si>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</si>
  <si>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</si>
  <si>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</si>
  <si>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</si>
  <si>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</si>
  <si>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</si>
  <si>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</si>
  <si>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</si>
  <si>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</si>
  <si>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</si>
  <si>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</si>
  <si>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</si>
  <si>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</si>
  <si>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</si>
  <si>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</si>
  <si>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</si>
  <si>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</si>
  <si>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</si>
  <si>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</si>
  <si>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</si>
  <si>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</si>
  <si>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</si>
  <si>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</si>
  <si>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</si>
  <si>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</si>
  <si>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</si>
  <si>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</si>
  <si>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</si>
  <si>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</si>
  <si>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</si>
  <si>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</si>
  <si>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</si>
  <si>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</si>
  <si>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</si>
  <si>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</si>
  <si>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</si>
  <si>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</si>
  <si>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</si>
  <si>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</si>
  <si>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</si>
  <si>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</si>
  <si>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</si>
  <si>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</si>
  <si>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</si>
  <si>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</si>
  <si>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</si>
  <si>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</si>
  <si>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</si>
  <si>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</si>
  <si>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</si>
  <si>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</si>
  <si>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</si>
  <si>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</si>
  <si>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</si>
  <si>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</si>
  <si>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</si>
  <si>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</si>
  <si>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</si>
  <si>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</si>
  <si>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</si>
  <si>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</si>
  <si>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</si>
  <si>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</si>
  <si>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</si>
  <si>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</si>
  <si>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</si>
  <si>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</si>
  <si>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</si>
  <si>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</si>
  <si>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</si>
  <si>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</si>
  <si>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</si>
  <si>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</si>
  <si>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</si>
  <si>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</si>
  <si>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</si>
  <si>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</si>
  <si>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</si>
  <si>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</si>
  <si>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</si>
  <si>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</si>
  <si>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</si>
  <si>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</si>
  <si>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</si>
  <si>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</si>
  <si>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</si>
  <si>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</si>
  <si>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</si>
  <si>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</si>
  <si>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</si>
  <si>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</si>
  <si>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</si>
  <si>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</si>
  <si>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</si>
  <si>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</si>
  <si>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</si>
  <si>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</si>
  <si>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</si>
  <si>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</si>
  <si>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</si>
  <si>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</si>
  <si>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</si>
  <si>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</si>
  <si>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</si>
  <si>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</si>
  <si>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</si>
  <si>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</si>
  <si>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</si>
  <si>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</si>
  <si>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</si>
  <si>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</si>
  <si>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</si>
  <si>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</si>
  <si>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</si>
  <si>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</si>
  <si>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</si>
  <si>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</si>
  <si>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</si>
  <si>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</si>
  <si>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</si>
  <si>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</si>
  <si>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</si>
  <si>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</si>
  <si>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</si>
  <si>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</si>
  <si>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</si>
  <si>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</si>
  <si>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</si>
  <si>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</si>
  <si>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</si>
  <si>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</si>
  <si>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</si>
  <si>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</si>
  <si>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</si>
  <si>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</si>
  <si>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</si>
  <si>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</si>
  <si>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</si>
  <si>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</si>
  <si>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</si>
  <si>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</si>
  <si>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</si>
  <si>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</si>
  <si>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</si>
  <si>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</si>
  <si>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</si>
  <si>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</si>
  <si>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</si>
  <si>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</si>
  <si>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</si>
  <si>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</si>
  <si>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</si>
  <si>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</si>
  <si>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</si>
  <si>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</si>
  <si>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</si>
  <si>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</si>
  <si>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</si>
  <si>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</si>
  <si>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</si>
  <si>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</si>
  <si>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</si>
  <si>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</si>
  <si>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</si>
  <si>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</si>
  <si>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</si>
  <si>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</si>
  <si>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</si>
  <si>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</si>
  <si>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</si>
  <si>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</si>
  <si>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</si>
  <si>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</si>
  <si>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</si>
  <si>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</si>
  <si>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</si>
  <si>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</si>
  <si>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</si>
  <si>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</si>
  <si>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</si>
  <si>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</si>
  <si>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</si>
  <si>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</si>
  <si>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</si>
  <si>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</si>
  <si>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</si>
  <si>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</si>
  <si>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</si>
  <si>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</si>
  <si>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</si>
  <si>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</si>
  <si>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</si>
  <si>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</si>
  <si>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</si>
  <si>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</si>
  <si>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</si>
  <si>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</si>
  <si>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</si>
  <si>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</si>
  <si>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</si>
  <si>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</si>
  <si>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</si>
  <si>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</si>
  <si>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</si>
  <si>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</si>
  <si>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</si>
  <si>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</si>
  <si>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</si>
  <si>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</si>
  <si>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</si>
  <si>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</si>
  <si>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</si>
  <si>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</si>
  <si>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</si>
  <si>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</si>
  <si>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</si>
  <si>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</si>
  <si>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</si>
  <si>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</si>
  <si>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</si>
  <si>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</si>
  <si>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</si>
  <si>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</si>
  <si>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</si>
  <si>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</si>
  <si>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</si>
  <si>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</si>
  <si>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</si>
  <si>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</si>
  <si>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</si>
  <si>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</si>
  <si>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</si>
  <si>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</si>
  <si>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</si>
  <si>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</si>
  <si>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</si>
  <si>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</si>
  <si>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</si>
  <si>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</si>
  <si>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</si>
  <si>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</si>
  <si>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</si>
  <si>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</si>
  <si>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</si>
  <si>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</si>
  <si>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</si>
  <si>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</si>
  <si>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</si>
  <si>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</si>
  <si>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</si>
  <si>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</si>
  <si>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</si>
  <si>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</si>
  <si>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</si>
  <si>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</si>
  <si>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</si>
  <si>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</si>
  <si>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</si>
  <si>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</si>
  <si>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</si>
  <si>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</si>
  <si>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</si>
  <si>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</si>
  <si>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</si>
  <si>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</si>
  <si>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</si>
  <si>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</si>
  <si>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</si>
  <si>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</si>
  <si>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</si>
  <si>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</si>
  <si>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</si>
  <si>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</si>
  <si>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</si>
  <si>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</si>
  <si>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</si>
  <si>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</si>
  <si>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</si>
  <si>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</si>
  <si>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</si>
  <si>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</si>
  <si>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</si>
  <si>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</si>
  <si>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</si>
  <si>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</si>
  <si>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</si>
  <si>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</si>
  <si>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</si>
  <si>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</si>
  <si>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</si>
  <si>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</si>
  <si>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</si>
  <si>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</si>
  <si>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</si>
  <si>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</si>
  <si>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</si>
  <si>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</si>
  <si>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</si>
  <si>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</si>
  <si>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</si>
  <si>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</si>
  <si>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</si>
  <si>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</si>
  <si>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</si>
  <si>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</si>
  <si>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</si>
  <si>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</si>
  <si>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</si>
  <si>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</si>
  <si>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</si>
  <si>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</si>
  <si>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</si>
  <si>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</si>
  <si>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</si>
  <si>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</si>
  <si>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</si>
  <si>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</si>
  <si>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</si>
  <si>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</si>
  <si>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</si>
  <si>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</si>
  <si>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</si>
  <si>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</si>
  <si>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</si>
  <si>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</si>
  <si>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</si>
  <si>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</si>
  <si>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</si>
  <si>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</si>
  <si>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</si>
  <si>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</si>
  <si>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</si>
  <si>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</si>
  <si>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</si>
  <si>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</si>
  <si>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</si>
  <si>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</si>
  <si>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</si>
  <si>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</si>
  <si>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</si>
  <si>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</si>
  <si>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</si>
  <si>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</si>
  <si>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</si>
  <si>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</si>
  <si>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</si>
  <si>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</si>
  <si>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</si>
  <si>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</si>
  <si>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</si>
  <si>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</si>
  <si>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</si>
  <si>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</si>
  <si>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</si>
  <si>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</si>
  <si>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</si>
  <si>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</si>
  <si>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</si>
  <si>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</si>
  <si>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</si>
  <si>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</si>
  <si>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</si>
  <si>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</si>
  <si>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</si>
  <si>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</si>
  <si>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</si>
  <si>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</si>
  <si>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</si>
  <si>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</si>
  <si>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</si>
  <si>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</si>
  <si>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</si>
  <si>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</si>
  <si>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</si>
  <si>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</si>
  <si>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</si>
  <si>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</si>
  <si>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</si>
  <si>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</si>
  <si>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</si>
  <si>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</si>
  <si>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</si>
  <si>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</si>
  <si>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</si>
  <si>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</si>
  <si>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</si>
  <si>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</si>
  <si>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</si>
  <si>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</si>
  <si>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</si>
  <si>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</si>
  <si>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</si>
  <si>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</si>
  <si>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</si>
  <si>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</si>
  <si>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</si>
  <si>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</si>
  <si>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</si>
  <si>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</si>
  <si>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</si>
  <si>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</si>
  <si>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</si>
  <si>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</si>
  <si>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</si>
  <si>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</si>
  <si>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</si>
  <si>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</si>
  <si>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</si>
  <si>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</si>
  <si>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</si>
  <si>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</si>
  <si>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</si>
  <si>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</si>
  <si>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</si>
  <si>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</si>
  <si>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</si>
  <si>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</si>
  <si>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</si>
  <si>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</si>
  <si>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</si>
  <si>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</si>
  <si>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</si>
  <si>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</si>
  <si>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</si>
  <si>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</si>
  <si>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</si>
  <si>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</si>
  <si>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</si>
  <si>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</si>
  <si>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</si>
  <si>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</si>
  <si>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</si>
  <si>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</si>
  <si>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</si>
  <si>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</si>
  <si>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</si>
  <si>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</si>
  <si>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</si>
  <si>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</si>
  <si>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</si>
  <si>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</si>
  <si>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</si>
  <si>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</si>
  <si>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</si>
  <si>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</si>
  <si>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</si>
  <si>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</si>
  <si>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</si>
  <si>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</si>
  <si>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</si>
  <si>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</si>
  <si>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</si>
  <si>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</si>
  <si>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</si>
  <si>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</si>
  <si>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</si>
  <si>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</si>
  <si>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</si>
  <si>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</si>
  <si>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</si>
  <si>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</si>
  <si>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</si>
  <si>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</si>
  <si>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</si>
  <si>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</si>
  <si>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</si>
  <si>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</si>
  <si>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</si>
  <si>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</si>
  <si>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</si>
  <si>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</si>
  <si>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</si>
  <si>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</si>
  <si>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</si>
  <si>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</si>
  <si>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</si>
  <si>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</si>
  <si>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</si>
  <si>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</si>
  <si>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</si>
  <si>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</si>
  <si>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</si>
  <si>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</si>
  <si>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</si>
  <si>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</si>
  <si>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</si>
  <si>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</si>
  <si>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</si>
  <si>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</si>
  <si>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</si>
  <si>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</si>
  <si>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</si>
  <si>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</si>
  <si>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</si>
  <si>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</si>
  <si>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</si>
  <si>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</si>
  <si>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</si>
  <si>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</si>
  <si>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</si>
  <si>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</si>
  <si>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</si>
  <si>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</si>
  <si>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</si>
  <si>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</si>
  <si>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</si>
  <si>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</si>
  <si>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</si>
  <si>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</si>
  <si>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</si>
  <si>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</si>
  <si>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</si>
  <si>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</si>
  <si>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</si>
  <si>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</si>
  <si>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</si>
  <si>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</si>
  <si>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</si>
  <si>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</si>
  <si>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</si>
  <si>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</si>
  <si>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</si>
  <si>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</si>
  <si>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</si>
  <si>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</si>
  <si>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</si>
  <si>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</si>
  <si>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</si>
  <si>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</si>
  <si>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</si>
  <si>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</si>
  <si>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</si>
  <si>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</si>
  <si>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</si>
  <si>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</si>
  <si>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</si>
  <si>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</si>
  <si>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</si>
  <si>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</si>
  <si>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</si>
  <si>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</si>
  <si>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</si>
  <si>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</si>
  <si>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</si>
  <si>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</si>
  <si>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</si>
  <si>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</si>
  <si>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</si>
  <si>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</si>
  <si>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</si>
  <si>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</si>
  <si>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</si>
  <si>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</si>
  <si>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</si>
  <si>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</si>
  <si>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</si>
  <si>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</si>
  <si>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</si>
  <si>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</si>
  <si>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</si>
  <si>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</si>
  <si>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</si>
  <si>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</si>
  <si>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</si>
  <si>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</si>
  <si>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</si>
  <si>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</si>
  <si>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</si>
  <si>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</si>
  <si>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</si>
  <si>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</si>
  <si>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</si>
  <si>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</si>
  <si>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</si>
  <si>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</si>
  <si>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</si>
  <si>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</si>
  <si>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</si>
  <si>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</si>
  <si>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</si>
  <si>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</si>
  <si>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</si>
  <si>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</si>
  <si>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</si>
  <si>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</si>
  <si>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</si>
  <si>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</si>
  <si>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</si>
  <si>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</si>
  <si>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</si>
  <si>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</si>
  <si>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</si>
  <si>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</si>
  <si>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</si>
  <si>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</si>
  <si>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</si>
  <si>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</si>
  <si>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</si>
  <si>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</si>
  <si>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</si>
  <si>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</si>
  <si>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</si>
  <si>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</si>
  <si>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</si>
  <si>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</si>
  <si>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</si>
  <si>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</si>
  <si>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</si>
  <si>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</si>
  <si>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</si>
  <si>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</si>
  <si>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</si>
  <si>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</si>
  <si>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</si>
  <si>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</si>
  <si>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</si>
  <si>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</si>
  <si>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</si>
  <si>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</si>
  <si>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</si>
  <si>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</si>
  <si>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</si>
  <si>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</si>
  <si>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</si>
  <si>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</si>
  <si>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</si>
  <si>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</si>
  <si>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</si>
  <si>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</si>
  <si>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</si>
  <si>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</si>
  <si>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</si>
  <si>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</si>
  <si>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</si>
  <si>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</si>
  <si>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</si>
  <si>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</si>
  <si>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</si>
  <si>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</si>
  <si>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</si>
  <si>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</si>
  <si>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</si>
  <si>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</si>
  <si>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</si>
  <si>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</si>
  <si>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</si>
  <si>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</si>
  <si>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</si>
  <si>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</si>
  <si>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</si>
  <si>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</si>
  <si>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</si>
  <si>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</si>
  <si>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</si>
  <si>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</si>
  <si>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</si>
  <si>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</si>
  <si>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</si>
  <si>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</si>
  <si>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</si>
  <si>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</si>
  <si>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</si>
  <si>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</si>
  <si>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</si>
  <si>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</si>
  <si>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</si>
  <si>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</si>
  <si>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</si>
  <si>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</si>
  <si>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</si>
  <si>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</si>
  <si>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</si>
  <si>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</si>
  <si>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</si>
  <si>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</si>
  <si>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</si>
  <si>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</si>
  <si>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</si>
  <si>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</si>
  <si>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</si>
  <si>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</si>
  <si>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</si>
  <si>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</si>
  <si>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</si>
  <si>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</si>
  <si>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</si>
  <si>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</si>
  <si>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</si>
  <si>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</si>
  <si>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</si>
  <si>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</si>
  <si>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</si>
  <si>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</si>
  <si>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</si>
  <si>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</si>
  <si>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</si>
  <si>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</si>
  <si>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</si>
  <si>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</si>
  <si>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</si>
  <si>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</si>
  <si>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</si>
  <si>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</si>
  <si>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</si>
  <si>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</si>
  <si>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</si>
  <si>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</si>
  <si>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</si>
  <si>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</si>
  <si>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</si>
  <si>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</si>
  <si>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</si>
  <si>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</si>
  <si>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</si>
  <si>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</si>
  <si>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</si>
  <si>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</si>
  <si>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</si>
  <si>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</si>
  <si>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</si>
  <si>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</si>
  <si>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</si>
  <si>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</si>
  <si>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</si>
  <si>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</si>
  <si>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</si>
  <si>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</si>
  <si>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</si>
  <si>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</si>
  <si>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</si>
  <si>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</si>
  <si>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</si>
  <si>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</si>
  <si>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</si>
  <si>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</si>
  <si>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</si>
  <si>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</si>
  <si>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</si>
  <si>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</si>
  <si>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</si>
  <si>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</si>
  <si>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</si>
  <si>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</si>
  <si>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</si>
  <si>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</si>
  <si>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</si>
  <si>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</si>
  <si>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</si>
  <si>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</si>
  <si>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</si>
  <si>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</si>
  <si>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</si>
  <si>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</si>
  <si>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</si>
  <si>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</si>
  <si>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</si>
  <si>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</si>
  <si>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</si>
  <si>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</si>
  <si>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</si>
  <si>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</si>
  <si>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</si>
  <si>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</si>
  <si>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</si>
  <si>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</si>
  <si>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</si>
  <si>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</si>
  <si>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</si>
  <si>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</si>
  <si>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</si>
  <si>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</si>
  <si>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</si>
  <si>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</si>
  <si>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</si>
  <si>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</si>
  <si>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</si>
  <si>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</si>
  <si>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</si>
  <si>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</si>
  <si>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</si>
  <si>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</si>
  <si>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</si>
  <si>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</si>
  <si>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</si>
  <si>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</si>
  <si>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</si>
  <si>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</si>
  <si>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</si>
  <si>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</si>
  <si>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</si>
  <si>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</si>
  <si>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</si>
  <si>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</si>
  <si>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</si>
  <si>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</si>
  <si>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</si>
  <si>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</si>
  <si>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</si>
  <si>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</si>
  <si>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</si>
  <si>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</si>
  <si>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</si>
  <si>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</si>
  <si>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</si>
  <si>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</si>
  <si>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</si>
  <si>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</si>
  <si>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</si>
  <si>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</si>
  <si>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</si>
  <si>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</si>
  <si>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</si>
  <si>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</si>
  <si>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</si>
  <si>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</si>
  <si>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</si>
  <si>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</si>
  <si>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</si>
  <si>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</si>
  <si>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</si>
  <si>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</si>
  <si>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</si>
  <si>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</si>
  <si>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</si>
  <si>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</si>
  <si>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</si>
  <si>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</si>
  <si>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</si>
  <si>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</si>
  <si>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</si>
  <si>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</si>
  <si>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</si>
  <si>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</si>
  <si>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</si>
  <si>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</si>
  <si>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</si>
  <si>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</si>
  <si>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</si>
  <si>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</si>
  <si>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</si>
  <si>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</si>
  <si>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</si>
  <si>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</si>
  <si>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</si>
  <si>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</si>
  <si>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</si>
  <si>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</si>
  <si>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</si>
  <si>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</si>
  <si>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</si>
  <si>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</si>
  <si>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</si>
  <si>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</si>
  <si>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</si>
  <si>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</si>
  <si>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</si>
  <si>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</si>
  <si>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</si>
  <si>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</si>
  <si>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</si>
  <si>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</si>
  <si>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</si>
  <si>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</si>
  <si>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</si>
  <si>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</si>
  <si>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</si>
  <si>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</si>
  <si>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</si>
  <si>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</si>
  <si>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</si>
  <si>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</si>
  <si>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</si>
  <si>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</si>
  <si>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</si>
  <si>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</si>
  <si>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</si>
  <si>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</si>
  <si>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</si>
  <si>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</si>
  <si>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</si>
  <si>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</si>
  <si>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</si>
  <si>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</si>
  <si>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</si>
  <si>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</si>
  <si>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</si>
  <si>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</si>
  <si>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</si>
  <si>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</si>
  <si>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</si>
  <si>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</si>
  <si>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</si>
  <si>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</si>
  <si>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</si>
  <si>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</si>
  <si>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</si>
  <si>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</si>
  <si>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</si>
  <si>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</si>
  <si>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</si>
  <si>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</si>
  <si>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</si>
  <si>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</si>
  <si>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</si>
  <si>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</si>
  <si>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</si>
  <si>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</si>
  <si>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</si>
  <si>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</si>
  <si>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</si>
  <si>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</si>
  <si>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</si>
  <si>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</si>
  <si>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</si>
  <si>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</si>
  <si>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</si>
  <si>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</si>
  <si>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</si>
  <si>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</si>
  <si>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</si>
  <si>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</si>
  <si>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</si>
  <si>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</si>
  <si>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</si>
  <si>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</si>
  <si>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</si>
  <si>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</si>
  <si>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</si>
  <si>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</si>
  <si>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</si>
  <si>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</si>
  <si>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</si>
  <si>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</si>
  <si>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</si>
  <si>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</si>
  <si>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</si>
  <si>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</si>
  <si>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</si>
  <si>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</si>
  <si>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</si>
  <si>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</si>
  <si>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</si>
  <si>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</si>
  <si>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</si>
  <si>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</si>
  <si>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</si>
  <si>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</si>
  <si>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</si>
  <si>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</si>
  <si>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</si>
  <si>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</si>
  <si>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</si>
  <si>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</si>
  <si>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</si>
  <si>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</si>
  <si>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</si>
  <si>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</si>
  <si>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</si>
  <si>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</si>
  <si>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</si>
  <si>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</si>
  <si>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</si>
  <si>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</si>
  <si>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</si>
  <si>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</si>
  <si>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</si>
  <si>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</si>
  <si>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</si>
  <si>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</si>
  <si>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</si>
  <si>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</si>
  <si>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</si>
  <si>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</si>
  <si>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</si>
  <si>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</si>
  <si>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</si>
  <si>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</si>
  <si>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</si>
  <si>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</si>
  <si>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</si>
  <si>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</si>
  <si>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</si>
  <si>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</si>
  <si>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</si>
  <si>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</si>
  <si>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</si>
  <si>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</si>
  <si>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</si>
  <si>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</si>
  <si>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</si>
  <si>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</si>
  <si>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</si>
  <si>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</si>
  <si>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</si>
  <si>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</si>
  <si>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</si>
  <si>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</si>
  <si>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</si>
  <si>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</si>
  <si>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</si>
  <si>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</si>
  <si>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</si>
  <si>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</si>
  <si>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</si>
  <si>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</si>
  <si>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</si>
  <si>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</si>
  <si>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</si>
  <si>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</si>
  <si>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</si>
  <si>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</si>
  <si>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</si>
  <si>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</si>
  <si>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</si>
  <si>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</si>
  <si>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</si>
  <si>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</si>
  <si>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</si>
  <si>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</si>
  <si>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</si>
  <si>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</si>
  <si>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</si>
  <si>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</si>
  <si>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</si>
  <si>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</si>
  <si>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</si>
  <si>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</si>
  <si>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</si>
  <si>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</si>
  <si>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</si>
  <si>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</si>
  <si>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</si>
  <si>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</si>
  <si>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</si>
  <si>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</si>
  <si>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</si>
  <si>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</si>
  <si>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</si>
  <si>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</si>
  <si>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</si>
  <si>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</si>
  <si>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</si>
  <si>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</si>
  <si>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</si>
  <si>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</si>
  <si>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</si>
  <si>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</si>
  <si>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</si>
  <si>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</si>
  <si>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</si>
  <si>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</si>
  <si>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</si>
  <si>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</si>
  <si>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</si>
  <si>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</si>
  <si>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</si>
  <si>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</si>
  <si>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</si>
  <si>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</si>
  <si>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</si>
  <si>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</si>
  <si>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</si>
  <si>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</si>
  <si>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</si>
  <si>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</si>
  <si>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</si>
  <si>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</si>
  <si>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</si>
  <si>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</si>
  <si>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</si>
  <si>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</si>
  <si>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</si>
  <si>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</si>
  <si>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</si>
  <si>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</si>
  <si>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</si>
  <si>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</si>
  <si>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</si>
  <si>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</si>
  <si>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</si>
  <si>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</si>
  <si>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</si>
  <si>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</si>
  <si>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</si>
  <si>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</si>
  <si>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</si>
  <si>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</si>
  <si>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</si>
  <si>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</si>
  <si>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</si>
  <si>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</si>
  <si>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</si>
  <si>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</si>
  <si>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</si>
  <si>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</si>
  <si>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</si>
  <si>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</si>
  <si>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</si>
  <si>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</si>
  <si>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</si>
  <si>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</si>
  <si>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</si>
  <si>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</si>
  <si>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</si>
  <si>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</si>
  <si>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</si>
  <si>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</si>
  <si>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</si>
  <si>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</si>
  <si>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</si>
  <si>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</si>
  <si>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</si>
  <si>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</si>
  <si>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</si>
  <si>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</si>
  <si>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</si>
  <si>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</si>
  <si>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</si>
  <si>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</si>
  <si>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</si>
  <si>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</si>
  <si>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</si>
  <si>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</si>
  <si>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</si>
  <si>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</si>
  <si>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</si>
  <si>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</si>
  <si>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</si>
  <si>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</si>
  <si>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</si>
  <si>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</si>
  <si>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</si>
  <si>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</si>
  <si>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</si>
  <si>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</si>
  <si>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</si>
  <si>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</si>
  <si>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</si>
  <si>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</si>
  <si>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</si>
  <si>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</si>
  <si>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</si>
  <si>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</si>
  <si>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</si>
  <si>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</si>
  <si>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</si>
  <si>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</si>
  <si>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</si>
  <si>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</si>
  <si>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</si>
  <si>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</si>
  <si>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</si>
  <si>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</si>
  <si>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</si>
  <si>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</si>
  <si>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</si>
  <si>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</si>
  <si>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</si>
  <si>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</si>
  <si>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</si>
  <si>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</si>
  <si>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</si>
  <si>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</si>
  <si>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</si>
  <si>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</si>
  <si>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</si>
  <si>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</si>
  <si>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</si>
  <si>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</si>
  <si>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</si>
  <si>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</si>
  <si>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</si>
  <si>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</si>
  <si>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</si>
  <si>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</si>
  <si>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</si>
  <si>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</si>
  <si>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</si>
  <si>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</si>
  <si>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</si>
  <si>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</si>
  <si>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</si>
  <si>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</si>
  <si>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</si>
  <si>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</si>
  <si>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</si>
  <si>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</si>
  <si>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</si>
  <si>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</si>
  <si>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</si>
  <si>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</si>
  <si>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</si>
  <si>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</si>
  <si>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</si>
  <si>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</si>
  <si>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</si>
  <si>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</si>
  <si>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</si>
  <si>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</si>
  <si>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</si>
  <si>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</si>
  <si>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</si>
  <si>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</si>
  <si>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</si>
  <si>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</si>
  <si>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</si>
  <si>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</si>
  <si>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</si>
  <si>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</si>
  <si>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</si>
  <si>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</si>
  <si>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</si>
  <si>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</si>
  <si>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</si>
  <si>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</si>
  <si>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</si>
  <si>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</si>
  <si>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</si>
  <si>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</si>
  <si>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</si>
  <si>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</si>
  <si>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</si>
  <si>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</si>
  <si>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</si>
  <si>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</si>
  <si>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</si>
  <si>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</si>
  <si>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</si>
  <si>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</si>
  <si>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</si>
  <si>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</si>
  <si>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</si>
  <si>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</si>
  <si>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</si>
  <si>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</si>
  <si>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</si>
  <si>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</si>
  <si>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</si>
  <si>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</si>
  <si>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</si>
  <si>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</si>
  <si>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</si>
  <si>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</si>
  <si>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</si>
  <si>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</si>
  <si>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</si>
  <si>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</si>
  <si>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</si>
  <si>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</si>
  <si>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</si>
  <si>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</si>
  <si>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</si>
  <si>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</si>
  <si>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</si>
  <si>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</si>
  <si>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</si>
  <si>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</si>
  <si>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</si>
  <si>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</si>
  <si>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</si>
  <si>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</si>
  <si>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</si>
  <si>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</si>
  <si>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</si>
  <si>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</si>
  <si>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</si>
  <si>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</si>
  <si>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</si>
  <si>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</si>
  <si>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</si>
  <si>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</si>
  <si>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</si>
  <si>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</si>
  <si>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</si>
  <si>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</si>
  <si>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</si>
  <si>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</si>
  <si>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</si>
  <si>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</si>
  <si>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</si>
  <si>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</si>
  <si>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</si>
  <si>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</si>
  <si>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</si>
  <si>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</si>
  <si>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</si>
  <si>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</si>
  <si>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</si>
  <si>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</si>
  <si>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</si>
  <si>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</si>
  <si>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</si>
  <si>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</si>
  <si>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</si>
  <si>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</si>
  <si>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</si>
  <si>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</si>
  <si>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</si>
  <si>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</si>
  <si>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</si>
  <si>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</si>
  <si>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</si>
  <si>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</si>
  <si>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</si>
  <si>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</si>
  <si>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</si>
  <si>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</si>
  <si>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</si>
  <si>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</si>
  <si>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</si>
  <si>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</si>
  <si>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</si>
  <si>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</si>
  <si>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</si>
  <si>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</si>
  <si>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</si>
  <si>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</si>
  <si>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</si>
  <si>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</si>
  <si>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</si>
  <si>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</si>
  <si>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</si>
  <si>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</si>
  <si>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</si>
  <si>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</si>
  <si>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</si>
  <si>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</si>
  <si>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</si>
  <si>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</si>
  <si>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</si>
  <si>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</si>
  <si>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</si>
  <si>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</si>
  <si>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</si>
  <si>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</si>
  <si>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</si>
  <si>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</si>
  <si>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</si>
  <si>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</si>
  <si>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</si>
  <si>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</si>
  <si>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</si>
  <si>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</si>
  <si>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</si>
  <si>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</si>
  <si>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</si>
  <si>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</si>
  <si>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</si>
  <si>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</si>
  <si>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</si>
  <si>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</si>
  <si>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</si>
  <si>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</si>
  <si>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</si>
  <si>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</si>
  <si>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</si>
  <si>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</si>
  <si>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</si>
  <si>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</si>
  <si>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</si>
  <si>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</si>
  <si>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</si>
  <si>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</si>
  <si>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</si>
  <si>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</si>
  <si>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</si>
  <si>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</si>
  <si>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</si>
  <si>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</si>
  <si>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</si>
  <si>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</si>
  <si>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</si>
  <si>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</si>
  <si>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</si>
  <si>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</si>
  <si>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</si>
  <si>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</si>
  <si>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</si>
  <si>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</si>
  <si>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</si>
  <si>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</si>
  <si>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</si>
  <si>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</si>
  <si>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</si>
  <si>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</si>
  <si>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</si>
  <si>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</si>
  <si>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</si>
  <si>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</si>
  <si>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</si>
  <si>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</si>
  <si>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</si>
  <si>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</si>
  <si>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</si>
  <si>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</si>
  <si>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</si>
  <si>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</si>
  <si>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</si>
  <si>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</si>
  <si>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</si>
  <si>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</si>
  <si>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</si>
  <si>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</si>
  <si>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</si>
  <si>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</si>
  <si>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</si>
  <si>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</si>
  <si>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</si>
  <si>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</si>
  <si>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</si>
  <si>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</si>
  <si>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</si>
  <si>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</si>
  <si>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</si>
  <si>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</si>
  <si>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</si>
  <si>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</si>
  <si>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</si>
  <si>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</si>
  <si>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</si>
  <si>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</si>
  <si>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</si>
  <si>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</si>
  <si>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</si>
  <si>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</si>
  <si>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</si>
  <si>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</si>
  <si>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</si>
  <si>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</si>
  <si>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</si>
  <si>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</si>
  <si>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</si>
  <si>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</si>
  <si>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</si>
  <si>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</si>
  <si>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</si>
  <si>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</si>
  <si>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</si>
  <si>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</si>
  <si>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</si>
  <si>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</si>
  <si>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</si>
  <si>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</si>
  <si>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</si>
  <si>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</si>
  <si>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</si>
  <si>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</si>
  <si>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</si>
  <si>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</si>
  <si>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</si>
  <si>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</si>
  <si>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</si>
  <si>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</si>
  <si>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</si>
  <si>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</si>
  <si>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</si>
  <si>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</si>
  <si>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</si>
  <si>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</si>
  <si>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</si>
  <si>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</si>
  <si>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</si>
  <si>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</si>
  <si>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</si>
  <si>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</si>
  <si>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</si>
  <si>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</si>
  <si>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</si>
  <si>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</si>
  <si>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</si>
  <si>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</si>
  <si>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</si>
  <si>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</si>
  <si>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</si>
  <si>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</si>
  <si>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</si>
  <si>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</si>
  <si>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</si>
  <si>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</si>
  <si>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</si>
  <si>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</si>
  <si>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</si>
  <si>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</si>
  <si>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</si>
  <si>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</si>
  <si>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</si>
  <si>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</si>
  <si>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</si>
  <si>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</si>
  <si>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</si>
  <si>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</si>
  <si>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</si>
  <si>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</si>
  <si>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</si>
  <si>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</si>
  <si>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</si>
  <si>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</si>
  <si>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</si>
  <si>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</si>
  <si>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</si>
  <si>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</si>
  <si>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</si>
  <si>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</si>
  <si>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</si>
  <si>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</si>
  <si>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</si>
  <si>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</si>
  <si>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</si>
  <si>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</si>
  <si>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</si>
  <si>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</si>
  <si>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</si>
  <si>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</si>
  <si>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</si>
  <si>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</si>
  <si>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</si>
  <si>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</si>
  <si>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</si>
  <si>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</si>
  <si>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</si>
  <si>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</si>
  <si>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</si>
  <si>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</si>
  <si>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</si>
  <si>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</si>
  <si>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</si>
  <si>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</si>
  <si>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</si>
  <si>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</si>
  <si>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</si>
  <si>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</si>
  <si>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</si>
  <si>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</si>
  <si>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</si>
  <si>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</si>
  <si>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</si>
  <si>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</si>
  <si>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</si>
  <si>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</si>
  <si>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</si>
  <si>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</si>
  <si>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</si>
  <si>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</si>
  <si>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</si>
  <si>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</si>
  <si>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</si>
  <si>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</si>
  <si>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</si>
  <si>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</si>
  <si>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</si>
  <si>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</si>
  <si>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</si>
  <si>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</si>
  <si>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</si>
  <si>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</si>
  <si>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</si>
  <si>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</si>
  <si>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</si>
  <si>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</si>
  <si>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</si>
  <si>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</si>
  <si>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</si>
  <si>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</si>
  <si>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</si>
  <si>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</si>
  <si>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</si>
  <si>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</si>
  <si>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</si>
  <si>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</si>
  <si>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</si>
  <si>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</si>
  <si>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</si>
  <si>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</si>
  <si>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</si>
  <si>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</si>
  <si>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</si>
  <si>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</si>
  <si>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</si>
  <si>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</si>
  <si>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</si>
  <si>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</si>
  <si>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</si>
  <si>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</si>
  <si>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</si>
  <si>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</si>
  <si>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</si>
  <si>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</si>
  <si>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</si>
  <si>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</si>
  <si>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</si>
  <si>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</si>
  <si>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</si>
  <si>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</si>
  <si>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</si>
  <si>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</si>
  <si>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</si>
  <si>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</si>
  <si>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</si>
  <si>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</si>
  <si>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</si>
  <si>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</si>
  <si>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</si>
  <si>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</si>
  <si>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</si>
  <si>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</si>
  <si>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</si>
  <si>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</si>
  <si>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</si>
  <si>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</si>
  <si>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</si>
  <si>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</si>
  <si>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</si>
  <si>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</si>
  <si>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</si>
  <si>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</si>
  <si>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</si>
  <si>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</si>
  <si>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</si>
  <si>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</si>
  <si>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</si>
  <si>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</si>
  <si>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</si>
  <si>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</si>
  <si>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</si>
  <si>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</si>
  <si>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</si>
  <si>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</si>
  <si>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</si>
  <si>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</si>
  <si>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</si>
  <si>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</si>
  <si>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</si>
  <si>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</si>
  <si>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</si>
  <si>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</si>
  <si>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</si>
  <si>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</si>
  <si>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</si>
  <si>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</si>
  <si>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</si>
  <si>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</si>
  <si>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</si>
  <si>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</si>
  <si>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</si>
  <si>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</si>
  <si>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</si>
  <si>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</si>
  <si>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</si>
  <si>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</si>
  <si>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</si>
  <si>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</si>
  <si>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</si>
  <si>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</si>
  <si>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</si>
  <si>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</si>
  <si>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</si>
  <si>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</si>
  <si>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</si>
  <si>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</si>
  <si>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</si>
  <si>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</si>
  <si>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</si>
  <si>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</si>
  <si>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</si>
  <si>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</si>
  <si>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</si>
  <si>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</si>
  <si>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</si>
  <si>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</si>
  <si>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</si>
  <si>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</si>
  <si>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</si>
  <si>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</si>
  <si>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</si>
  <si>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</si>
  <si>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</si>
  <si>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</si>
  <si>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</si>
  <si>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</si>
  <si>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</si>
  <si>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</si>
  <si>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</si>
  <si>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</si>
  <si>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</si>
  <si>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</si>
  <si>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</si>
  <si>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</si>
  <si>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</si>
  <si>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</si>
  <si>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</si>
  <si>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</si>
  <si>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</si>
  <si>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</si>
  <si>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</si>
  <si>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</si>
  <si>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</si>
  <si>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</si>
  <si>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</si>
  <si>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</si>
  <si>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</si>
  <si>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</si>
  <si>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</si>
  <si>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</si>
  <si>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</si>
  <si>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</si>
  <si>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</si>
  <si>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</si>
  <si>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</si>
  <si>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</si>
  <si>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</si>
  <si>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</si>
  <si>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</si>
  <si>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</si>
  <si>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</si>
  <si>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</si>
  <si>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</si>
  <si>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</si>
  <si>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</si>
  <si>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</si>
  <si>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</si>
  <si>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</si>
  <si>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</si>
  <si>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</si>
  <si>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</si>
  <si>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</si>
  <si>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</si>
  <si>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</si>
  <si>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</si>
  <si>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</si>
  <si>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</si>
  <si>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</si>
  <si>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</si>
  <si>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</si>
  <si>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</si>
  <si>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</si>
  <si>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</si>
  <si>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</si>
  <si>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</si>
  <si>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</si>
  <si>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</si>
  <si>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</si>
  <si>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</si>
  <si>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</si>
  <si>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</si>
  <si>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</si>
  <si>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</si>
  <si>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</si>
  <si>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</si>
  <si>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</si>
  <si>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</si>
  <si>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</si>
  <si>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</si>
  <si>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</si>
  <si>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</si>
  <si>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</si>
  <si>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</si>
  <si>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</si>
  <si>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</si>
  <si>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</si>
  <si>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</si>
  <si>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</si>
  <si>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</si>
  <si>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</si>
  <si>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</si>
  <si>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</si>
  <si>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</si>
  <si>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</si>
  <si>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</si>
  <si>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</si>
  <si>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</si>
  <si>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</si>
  <si>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</si>
  <si>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</si>
  <si>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</si>
  <si>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</si>
  <si>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</si>
  <si>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</si>
  <si>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</si>
  <si>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</si>
  <si>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</si>
  <si>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</si>
  <si>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</si>
  <si>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</si>
  <si>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</si>
  <si>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</si>
  <si>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</si>
  <si>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</si>
  <si>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</si>
  <si>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</si>
  <si>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</si>
  <si>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</si>
  <si>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</si>
  <si>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</si>
  <si>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</si>
  <si>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</si>
  <si>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</si>
  <si>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</si>
  <si>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</si>
  <si>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</si>
  <si>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</si>
  <si>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</si>
  <si>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</si>
  <si>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</si>
  <si>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</si>
  <si>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</si>
  <si>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</si>
  <si>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</si>
  <si>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</si>
  <si>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</si>
  <si>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</si>
  <si>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</si>
  <si>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</si>
  <si>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</si>
  <si>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</si>
  <si>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</si>
  <si>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</si>
  <si>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</si>
  <si>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</si>
  <si>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</si>
  <si>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</si>
  <si>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</si>
  <si>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</si>
  <si>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</si>
  <si>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</si>
  <si>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</si>
  <si>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</si>
  <si>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</si>
  <si>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</si>
  <si>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</si>
  <si>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</si>
  <si>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</si>
  <si>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</si>
  <si>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</si>
  <si>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</si>
  <si>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</si>
  <si>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</si>
  <si>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</si>
  <si>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</si>
  <si>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</si>
  <si>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</si>
  <si>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</si>
  <si>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</si>
  <si>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</si>
  <si>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</si>
  <si>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</si>
  <si>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</si>
  <si>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</si>
  <si>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</si>
  <si>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</si>
  <si>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</si>
  <si>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</si>
  <si>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</si>
  <si>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</si>
  <si>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</si>
  <si>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</si>
  <si>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</si>
  <si>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</si>
  <si>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</si>
  <si>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</si>
  <si>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</si>
  <si>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</si>
  <si>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</si>
  <si>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</si>
  <si>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</si>
  <si>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</si>
  <si>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</si>
  <si>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</si>
  <si>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</si>
  <si>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</si>
  <si>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</si>
  <si>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</si>
  <si>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</si>
  <si>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</si>
  <si>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</si>
  <si>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</si>
  <si>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</si>
  <si>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</si>
  <si>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</si>
  <si>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</si>
  <si>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</si>
  <si>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</si>
  <si>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</si>
  <si>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</si>
  <si>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</si>
  <si>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</si>
  <si>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</si>
  <si>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</si>
  <si>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</si>
  <si>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</si>
  <si>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</si>
  <si>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</si>
  <si>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</si>
  <si>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</si>
  <si>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</si>
  <si>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</si>
  <si>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</si>
  <si>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</si>
  <si>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</si>
  <si>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</si>
  <si>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</si>
  <si>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</si>
  <si>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</si>
  <si>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</si>
  <si>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</si>
  <si>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</si>
  <si>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</si>
  <si>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</si>
  <si>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</si>
  <si>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</si>
  <si>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</si>
  <si>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</si>
  <si>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</si>
  <si>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</si>
  <si>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</si>
  <si>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</si>
  <si>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</si>
  <si>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</si>
  <si>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</si>
  <si>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</si>
  <si>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</si>
  <si>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</si>
  <si>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</si>
  <si>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</si>
  <si>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</si>
  <si>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</si>
  <si>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</si>
  <si>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</si>
  <si>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</si>
  <si>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</si>
  <si>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</si>
  <si>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</si>
  <si>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</si>
  <si>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</si>
  <si>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</si>
  <si>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</si>
  <si>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</si>
  <si>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</si>
  <si>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</si>
  <si>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</si>
  <si>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</si>
  <si>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</si>
  <si>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</si>
  <si>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</si>
  <si>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</si>
  <si>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</si>
  <si>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</si>
  <si>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</si>
  <si>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</si>
  <si>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</si>
  <si>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</si>
  <si>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</si>
  <si>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</si>
  <si>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</si>
  <si>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</si>
  <si>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</si>
  <si>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</si>
  <si>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</si>
  <si>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</si>
  <si>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</si>
  <si>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</si>
  <si>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</si>
  <si>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</si>
  <si>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</si>
  <si>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</si>
  <si>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</si>
  <si>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</si>
  <si>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</si>
  <si>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</si>
  <si>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</si>
  <si>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</si>
  <si>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</si>
  <si>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</si>
  <si>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</si>
  <si>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</si>
  <si>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</si>
  <si>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</si>
  <si>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</si>
  <si>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</si>
  <si>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</si>
  <si>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</si>
  <si>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</si>
  <si>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</si>
  <si>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</si>
  <si>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</si>
  <si>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</si>
  <si>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</si>
  <si>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</si>
  <si>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</si>
  <si>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</si>
  <si>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</si>
  <si>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</si>
  <si>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</si>
  <si>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</si>
  <si>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</si>
  <si>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</si>
  <si>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</si>
  <si>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</si>
  <si>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</si>
  <si>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</si>
  <si>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</si>
  <si>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</si>
  <si>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</si>
  <si>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</si>
  <si>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</si>
  <si>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</si>
  <si>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</si>
  <si>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</si>
  <si>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</si>
  <si>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</si>
  <si>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</si>
  <si>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</si>
  <si>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</si>
  <si>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</si>
  <si>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</si>
  <si>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</si>
  <si>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</si>
  <si>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</si>
  <si>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</si>
  <si>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</si>
  <si>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</si>
  <si>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</si>
  <si>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</si>
  <si>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</si>
  <si>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</si>
  <si>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</si>
  <si>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</si>
  <si>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</si>
  <si>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</si>
  <si>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</si>
  <si>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</si>
  <si>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</si>
  <si>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</si>
  <si>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</si>
  <si>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</si>
  <si>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</si>
  <si>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</si>
  <si>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</si>
  <si>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</si>
  <si>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</si>
  <si>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</si>
  <si>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</si>
  <si>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</si>
  <si>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</si>
  <si>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</si>
  <si>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</si>
  <si>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</si>
  <si>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</si>
  <si>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</si>
  <si>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</si>
  <si>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</si>
  <si>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</si>
  <si>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</si>
  <si>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</si>
  <si>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</si>
  <si>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</si>
  <si>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</si>
  <si>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</si>
  <si>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</si>
  <si>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</si>
  <si>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</si>
  <si>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</si>
  <si>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</si>
  <si>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</si>
  <si>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</si>
  <si>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</si>
  <si>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</si>
  <si>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</si>
  <si>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</si>
  <si>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</si>
  <si>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</si>
  <si>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</si>
  <si>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</si>
  <si>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</si>
  <si>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</si>
  <si>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</si>
  <si>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</si>
  <si>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</si>
  <si>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</si>
  <si>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</si>
  <si>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</si>
  <si>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</si>
  <si>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</si>
  <si>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</si>
  <si>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</si>
  <si>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</si>
  <si>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</si>
  <si>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</si>
  <si>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</si>
  <si>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</si>
  <si>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</si>
  <si>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</si>
  <si>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</si>
  <si>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</si>
  <si>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</si>
  <si>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</si>
  <si>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</si>
  <si>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</si>
  <si>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</si>
  <si>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</si>
  <si>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</si>
  <si>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</si>
  <si>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</si>
  <si>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</si>
  <si>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</si>
  <si>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</si>
  <si>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</si>
  <si>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</si>
  <si>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</si>
  <si>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</si>
  <si>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</si>
  <si>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</si>
  <si>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</si>
  <si>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</si>
  <si>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</si>
  <si>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</si>
  <si>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</si>
  <si>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</si>
  <si>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</si>
  <si>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</si>
  <si>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</si>
  <si>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</si>
  <si>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</si>
  <si>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</si>
  <si>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</si>
  <si>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</si>
  <si>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</si>
  <si>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</si>
  <si>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</si>
  <si>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</si>
  <si>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</si>
  <si>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</si>
  <si>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</si>
  <si>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</si>
  <si>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</si>
  <si>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</si>
  <si>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</si>
  <si>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</si>
  <si>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</si>
  <si>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</si>
  <si>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</si>
  <si>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</si>
  <si>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</si>
  <si>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</si>
  <si>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</si>
  <si>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</si>
  <si>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</si>
  <si>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</si>
  <si>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</si>
  <si>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</si>
  <si>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</si>
  <si>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</si>
  <si>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</si>
  <si>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</si>
  <si>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</si>
  <si>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</si>
  <si>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</si>
  <si>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</si>
  <si>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</si>
  <si>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</si>
  <si>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</si>
  <si>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</si>
  <si>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</si>
  <si>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</si>
  <si>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</si>
  <si>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</si>
  <si>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</si>
  <si>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</si>
  <si>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</si>
  <si>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</si>
  <si>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</si>
  <si>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</si>
  <si>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</si>
  <si>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</si>
  <si>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</si>
  <si>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</si>
  <si>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</si>
  <si>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</si>
  <si>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</si>
  <si>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</si>
  <si>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</si>
  <si>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</si>
  <si>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</si>
  <si>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</si>
  <si>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</si>
  <si>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</si>
  <si>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</si>
  <si>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</si>
  <si>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</si>
  <si>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</si>
  <si>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</si>
  <si>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</si>
  <si>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</si>
  <si>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</si>
  <si>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</si>
  <si>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</si>
  <si>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</si>
  <si>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</si>
  <si>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</si>
  <si>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</si>
  <si>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</si>
  <si>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</si>
  <si>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</si>
  <si>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</si>
  <si>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</si>
  <si>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</si>
  <si>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</si>
  <si>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</si>
  <si>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</si>
  <si>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</si>
  <si>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</si>
  <si>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</si>
  <si>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</si>
  <si>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</si>
  <si>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</si>
  <si>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</si>
  <si>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</si>
  <si>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</si>
  <si>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</si>
  <si>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</si>
  <si>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</si>
  <si>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</si>
  <si>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</si>
  <si>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</si>
  <si>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</si>
  <si>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</si>
  <si>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</si>
  <si>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</si>
  <si>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</si>
  <si>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</si>
  <si>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</si>
  <si>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</si>
  <si>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</si>
  <si>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</si>
  <si>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</si>
  <si>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</si>
  <si>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</si>
  <si>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</si>
  <si>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</si>
  <si>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</si>
  <si>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</si>
  <si>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</si>
  <si>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</si>
  <si>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</si>
  <si>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</si>
  <si>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</si>
  <si>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</si>
  <si>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</si>
  <si>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</si>
  <si>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</si>
  <si>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</si>
  <si>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</si>
  <si>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</si>
  <si>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</si>
  <si>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</si>
  <si>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</si>
  <si>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</si>
  <si>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</si>
  <si>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</si>
  <si>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</si>
  <si>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</si>
  <si>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</si>
  <si>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</si>
  <si>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</si>
  <si>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</si>
  <si>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</si>
  <si>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</si>
  <si>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</si>
  <si>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</si>
  <si>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</si>
  <si>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</si>
  <si>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</si>
  <si>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</si>
  <si>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</si>
  <si>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</si>
  <si>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</si>
  <si>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</si>
  <si>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</si>
  <si>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</si>
  <si>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</si>
  <si>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</si>
  <si>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</si>
  <si>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</si>
  <si>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</si>
  <si>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</si>
  <si>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</si>
  <si>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</si>
  <si>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</si>
  <si>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</si>
  <si>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</si>
  <si>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</si>
  <si>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</si>
  <si>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</si>
  <si>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</si>
  <si>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</si>
  <si>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</si>
  <si>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</si>
  <si>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</si>
  <si>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</si>
  <si>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</si>
  <si>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</si>
  <si>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</si>
  <si>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</si>
  <si>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</si>
  <si>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</si>
  <si>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</si>
  <si>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</si>
  <si>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</si>
  <si>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</si>
  <si>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</si>
  <si>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</si>
  <si>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</si>
  <si>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</si>
  <si>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</si>
  <si>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</si>
  <si>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</si>
  <si>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</si>
  <si>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</si>
  <si>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</si>
  <si>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</si>
  <si>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</si>
  <si>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</si>
  <si>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</si>
  <si>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</si>
  <si>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</si>
  <si>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</si>
  <si>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</si>
  <si>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</si>
  <si>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</si>
  <si>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</si>
  <si>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</si>
  <si>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</si>
  <si>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</si>
  <si>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</si>
  <si>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</si>
  <si>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</si>
  <si>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</si>
  <si>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</si>
  <si>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</si>
  <si>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</si>
  <si>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</si>
  <si>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</si>
  <si>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</si>
  <si>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</si>
  <si>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</si>
  <si>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</si>
  <si>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</si>
  <si>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</si>
  <si>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</si>
  <si>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</si>
  <si>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</si>
  <si>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</si>
  <si>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</si>
  <si>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</si>
  <si>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</si>
  <si>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</si>
  <si>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</si>
  <si>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</si>
  <si>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</si>
  <si>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</si>
  <si>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</si>
  <si>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</si>
  <si>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</si>
  <si>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</si>
  <si>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</si>
  <si>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</si>
  <si>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</si>
  <si>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</si>
  <si>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</si>
  <si>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</si>
  <si>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</si>
  <si>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</si>
  <si>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</si>
  <si>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</si>
  <si>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</si>
  <si>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</si>
  <si>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</si>
  <si>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</si>
  <si>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</si>
  <si>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</si>
  <si>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</si>
  <si>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</si>
  <si>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</si>
  <si>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</si>
  <si>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</si>
  <si>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</si>
  <si>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</si>
  <si>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</si>
  <si>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</si>
  <si>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</si>
  <si>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</si>
  <si>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</si>
  <si>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</si>
  <si>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</si>
  <si>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</si>
  <si>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</si>
  <si>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</si>
  <si>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</si>
  <si>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</si>
  <si>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</si>
  <si>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</si>
  <si>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</si>
  <si>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</si>
  <si>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</si>
  <si>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</si>
  <si>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</si>
  <si>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</si>
  <si>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</si>
  <si>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</si>
  <si>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</si>
  <si>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</si>
  <si>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</si>
  <si>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</si>
  <si>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</si>
  <si>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</si>
  <si>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</si>
  <si>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</si>
  <si>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</si>
  <si>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</si>
  <si>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</si>
  <si>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</si>
  <si>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</si>
  <si>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</si>
  <si>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</si>
  <si>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</si>
  <si>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</si>
  <si>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</si>
  <si>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</si>
  <si>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</si>
  <si>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</si>
  <si>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</si>
  <si>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</si>
  <si>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</si>
  <si>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</si>
  <si>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</si>
  <si>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</si>
  <si>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</si>
  <si>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</si>
  <si>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</si>
  <si>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</si>
  <si>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</si>
  <si>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</si>
  <si>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</si>
  <si>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</si>
  <si>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</si>
  <si>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</si>
  <si>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</si>
  <si>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</si>
  <si>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</si>
  <si>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</si>
  <si>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</si>
  <si>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</si>
  <si>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</si>
  <si>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</si>
  <si>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</si>
  <si>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</si>
  <si>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</si>
  <si>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</si>
  <si>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</si>
  <si>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</si>
  <si>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</si>
  <si>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</si>
  <si>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</si>
  <si>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</si>
  <si>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</si>
  <si>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</si>
  <si>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</si>
  <si>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</si>
  <si>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</si>
  <si>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</si>
  <si>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</si>
  <si>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</si>
  <si>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</si>
  <si>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</si>
  <si>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</si>
  <si>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</si>
  <si>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</si>
  <si>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</si>
  <si>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</si>
  <si>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</si>
  <si>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</si>
  <si>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</si>
  <si>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</si>
  <si>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</si>
  <si>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</si>
  <si>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</si>
  <si>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</si>
  <si>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</si>
  <si>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</si>
  <si>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</si>
  <si>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</si>
  <si>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</si>
  <si>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</si>
  <si>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</si>
  <si>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</si>
  <si>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</si>
  <si>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</si>
  <si>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</si>
  <si>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</si>
  <si>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</si>
  <si>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</si>
  <si>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</si>
  <si>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</si>
  <si>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</si>
  <si>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</si>
  <si>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</si>
  <si>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</si>
  <si>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</si>
  <si>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</si>
  <si>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</si>
  <si>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</si>
  <si>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</si>
  <si>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</si>
  <si>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</si>
  <si>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</si>
  <si>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</si>
  <si>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</si>
  <si>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</si>
  <si>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</si>
  <si>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</si>
  <si>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</si>
  <si>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</si>
  <si>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</si>
  <si>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</si>
  <si>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</si>
  <si>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</si>
  <si>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</si>
  <si>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</si>
  <si>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</si>
  <si>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</si>
  <si>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</si>
  <si>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</si>
  <si>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</si>
  <si>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</si>
  <si>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</si>
  <si>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</si>
  <si>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</si>
  <si>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</si>
  <si>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</si>
  <si>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</si>
  <si>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</si>
  <si>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</si>
  <si>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</si>
  <si>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</si>
  <si>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</si>
  <si>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</si>
  <si>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</si>
  <si>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</si>
  <si>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</si>
  <si>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</si>
  <si>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</si>
  <si>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</si>
  <si>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</si>
  <si>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</si>
  <si>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</si>
  <si>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</si>
  <si>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</si>
  <si>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</si>
  <si>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</si>
  <si>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</si>
  <si>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</si>
  <si>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</si>
  <si>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</si>
  <si>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</si>
  <si>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</si>
  <si>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</si>
  <si>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</si>
  <si>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</si>
  <si>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</si>
  <si>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</si>
  <si>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</si>
  <si>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</si>
  <si>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</si>
  <si>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</si>
  <si>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</si>
  <si>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</si>
  <si>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</si>
  <si>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</si>
  <si>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</si>
  <si>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</si>
  <si>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</si>
  <si>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</si>
  <si>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</si>
  <si>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</si>
  <si>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</si>
  <si>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</si>
  <si>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</si>
  <si>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</si>
  <si>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</si>
  <si>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</si>
  <si>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</si>
  <si>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</si>
  <si>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</si>
  <si>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</si>
  <si>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</si>
  <si>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</si>
  <si>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</si>
  <si>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</si>
  <si>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</si>
  <si>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</si>
  <si>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</si>
  <si>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</si>
  <si>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</si>
  <si>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</si>
  <si>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</si>
  <si>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</si>
  <si>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</si>
  <si>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</si>
  <si>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</si>
  <si>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</si>
  <si>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</si>
  <si>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</si>
  <si>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</si>
  <si>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</si>
  <si>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</si>
  <si>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</si>
  <si>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</si>
  <si>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</si>
  <si>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</si>
  <si>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</si>
  <si>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</si>
  <si>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</si>
  <si>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</si>
  <si>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</si>
  <si>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</si>
  <si>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</si>
  <si>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</si>
  <si>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</si>
  <si>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</si>
  <si>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</si>
  <si>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</si>
  <si>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</si>
  <si>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</si>
  <si>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</si>
  <si>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</si>
  <si>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</si>
  <si>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</si>
  <si>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</si>
  <si>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</si>
  <si>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</si>
  <si>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</si>
  <si>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</si>
  <si>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</si>
  <si>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</si>
  <si>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</si>
  <si>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</si>
  <si>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</si>
  <si>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</si>
  <si>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</si>
  <si>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</si>
  <si>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</si>
  <si>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</si>
  <si>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</si>
  <si>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</si>
  <si>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</si>
  <si>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</si>
  <si>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</si>
  <si>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</si>
  <si>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</si>
  <si>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</si>
  <si>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</si>
  <si>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</si>
  <si>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</si>
  <si>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</si>
  <si>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</si>
  <si>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</si>
  <si>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</si>
  <si>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</si>
  <si>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</si>
  <si>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</si>
  <si>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</si>
  <si>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</si>
  <si>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</si>
  <si>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</si>
  <si>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</si>
  <si>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</si>
  <si>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</si>
  <si>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</si>
  <si>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</si>
  <si>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</si>
  <si>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</si>
  <si>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</si>
  <si>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</si>
  <si>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</si>
  <si>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</si>
  <si>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</si>
  <si>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</si>
  <si>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</si>
  <si>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</si>
  <si>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</si>
  <si>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</si>
  <si>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</si>
  <si>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</si>
  <si>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</si>
  <si>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</si>
  <si>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</si>
  <si>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</si>
  <si>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</si>
  <si>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</si>
  <si>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</si>
  <si>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</si>
  <si>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</si>
  <si>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</si>
  <si>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</si>
  <si>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</si>
  <si>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</si>
  <si>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</si>
  <si>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</si>
  <si>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</si>
  <si>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</si>
  <si>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</si>
  <si>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</si>
  <si>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</si>
  <si>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</si>
  <si>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</si>
  <si>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</si>
  <si>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</si>
  <si>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</si>
  <si>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</si>
  <si>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</si>
  <si>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</si>
  <si>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</si>
  <si>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</si>
  <si>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</si>
  <si>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</si>
  <si>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</si>
  <si>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</si>
  <si>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</si>
  <si>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</si>
  <si>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</si>
  <si>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</si>
  <si>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</si>
  <si>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</si>
  <si>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</si>
  <si>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</si>
  <si>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</si>
  <si>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</si>
  <si>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</si>
  <si>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</si>
  <si>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</si>
  <si>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</si>
  <si>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</si>
  <si>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</si>
  <si>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</si>
  <si>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</si>
  <si>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</si>
  <si>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</si>
  <si>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</si>
  <si>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</si>
  <si>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</si>
  <si>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</si>
  <si>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</si>
  <si>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</si>
  <si>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</si>
  <si>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</si>
  <si>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</si>
  <si>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</si>
  <si>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</si>
  <si>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</si>
  <si>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</si>
  <si>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</si>
  <si>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</si>
  <si>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</si>
  <si>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</si>
  <si>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</si>
  <si>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</si>
  <si>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</si>
  <si>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</si>
  <si>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</si>
  <si>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</si>
  <si>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</si>
  <si>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</si>
  <si>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</si>
  <si>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</si>
  <si>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</si>
  <si>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</si>
  <si>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</si>
  <si>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</si>
  <si>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</si>
  <si>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</si>
  <si>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</si>
  <si>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</si>
  <si>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</si>
  <si>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</si>
  <si>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</si>
  <si>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</si>
  <si>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</si>
  <si>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</si>
  <si>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</si>
  <si>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</si>
  <si>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</si>
  <si>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</si>
  <si>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</si>
  <si>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</si>
  <si>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</si>
  <si>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</si>
  <si>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</si>
  <si>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</si>
  <si>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</si>
  <si>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</si>
  <si>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</si>
  <si>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</si>
  <si>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</si>
  <si>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</si>
  <si>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</si>
  <si>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</si>
  <si>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</si>
  <si>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</si>
  <si>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</si>
  <si>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</si>
  <si>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</si>
  <si>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</si>
  <si>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</si>
  <si>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</si>
  <si>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</si>
  <si>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</si>
  <si>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</si>
  <si>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</si>
  <si>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</si>
  <si>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</si>
  <si>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</si>
  <si>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</si>
  <si>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</si>
  <si>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</si>
  <si>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</si>
  <si>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</si>
  <si>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</si>
  <si>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</si>
  <si>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</si>
  <si>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</si>
  <si>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</si>
  <si>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</si>
  <si>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</si>
  <si>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</si>
  <si>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</si>
  <si>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</si>
  <si>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</si>
  <si>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</si>
  <si>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</si>
  <si>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</si>
  <si>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</si>
  <si>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</si>
  <si>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</si>
  <si>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</si>
  <si>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</si>
  <si>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</si>
  <si>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</si>
  <si>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</si>
  <si>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</si>
  <si>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</si>
  <si>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</si>
  <si>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</si>
  <si>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</si>
  <si>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</si>
  <si>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</si>
  <si>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</si>
  <si>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</si>
  <si>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</si>
  <si>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</si>
  <si>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</si>
  <si>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</si>
  <si>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</si>
  <si>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</si>
  <si>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</si>
  <si>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</si>
  <si>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</si>
  <si>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</si>
  <si>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</si>
  <si>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</si>
  <si>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</si>
  <si>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</si>
  <si>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</si>
  <si>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</si>
  <si>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</si>
  <si>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</si>
  <si>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</si>
  <si>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</si>
  <si>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</si>
  <si>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</si>
  <si>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</si>
  <si>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</si>
  <si>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</si>
  <si>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</si>
  <si>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</si>
  <si>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</si>
  <si>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</si>
  <si>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</si>
  <si>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</si>
  <si>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</si>
  <si>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</si>
  <si>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</si>
  <si>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</si>
  <si>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</si>
  <si>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</si>
  <si>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</si>
  <si>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</si>
  <si>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</si>
  <si>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</si>
  <si>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</si>
  <si>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</si>
  <si>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</si>
  <si>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</si>
  <si>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</si>
  <si>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</si>
  <si>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</si>
  <si>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</si>
  <si>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</si>
  <si>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</si>
  <si>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</si>
  <si>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</si>
  <si>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</si>
  <si>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</si>
  <si>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</si>
  <si>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</si>
  <si>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</si>
  <si>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</si>
  <si>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</si>
  <si>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</si>
  <si>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</si>
  <si>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</si>
  <si>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</si>
  <si>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</si>
  <si>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</si>
  <si>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</si>
  <si>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</si>
  <si>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</si>
  <si>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</si>
  <si>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</si>
  <si>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</si>
  <si>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</si>
  <si>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</si>
  <si>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</si>
  <si>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</si>
  <si>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</si>
  <si>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</si>
  <si>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</si>
  <si>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</si>
  <si>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</si>
  <si>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</si>
  <si>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</si>
  <si>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</si>
  <si>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</si>
  <si>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</si>
  <si>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</si>
  <si>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</si>
  <si>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</si>
  <si>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</si>
  <si>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</si>
  <si>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</si>
  <si>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</si>
  <si>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</si>
  <si>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</si>
  <si>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</si>
  <si>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</si>
  <si>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</si>
  <si>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</si>
  <si>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</si>
  <si>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</si>
  <si>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</si>
  <si>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</si>
  <si>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</si>
  <si>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</si>
  <si>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</si>
  <si>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</si>
  <si>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</si>
  <si>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</si>
  <si>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</si>
  <si>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</si>
  <si>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</si>
  <si>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</si>
  <si>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</si>
  <si>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</si>
  <si>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</si>
  <si>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</si>
  <si>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</si>
  <si>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</si>
  <si>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</si>
  <si>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</si>
  <si>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</si>
  <si>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</si>
  <si>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</si>
  <si>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</si>
  <si>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</si>
  <si>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</si>
  <si>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</si>
  <si>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</si>
  <si>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</si>
  <si>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</si>
  <si>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</si>
  <si>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</si>
  <si>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</si>
  <si>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</si>
  <si>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</si>
  <si>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</si>
  <si>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</si>
  <si>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</si>
  <si>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</si>
  <si>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</si>
  <si>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</si>
  <si>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</si>
  <si>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</si>
  <si>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</si>
  <si>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</si>
  <si>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</si>
  <si>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</si>
  <si>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</si>
  <si>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</si>
  <si>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</si>
  <si>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</si>
  <si>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</si>
  <si>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</si>
  <si>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</si>
  <si>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</si>
  <si>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</si>
  <si>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</si>
  <si>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</si>
  <si>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</si>
  <si>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</si>
  <si>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</si>
  <si>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</si>
  <si>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</si>
  <si>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</si>
  <si>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</si>
  <si>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</si>
  <si>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</si>
  <si>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</si>
  <si>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</si>
  <si>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</si>
  <si>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</si>
  <si>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</si>
  <si>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</si>
  <si>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</si>
  <si>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</si>
  <si>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</si>
  <si>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</si>
  <si>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</si>
  <si>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</si>
  <si>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</si>
  <si>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</si>
  <si>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</si>
  <si>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</si>
  <si>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</si>
  <si>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</si>
  <si>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</si>
  <si>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</si>
  <si>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</si>
  <si>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</si>
  <si>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</si>
  <si>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</si>
  <si>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</si>
  <si>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</si>
  <si>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</si>
  <si>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</si>
  <si>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</si>
  <si>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</si>
  <si>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</si>
  <si>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</si>
  <si>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</si>
  <si>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</si>
  <si>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</si>
  <si>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</si>
  <si>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</si>
  <si>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</si>
  <si>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</si>
  <si>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</si>
  <si>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</si>
  <si>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</si>
  <si>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</si>
  <si>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</si>
  <si>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</si>
  <si>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</si>
  <si>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</si>
  <si>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</si>
  <si>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</si>
  <si>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</si>
  <si>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</si>
  <si>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</si>
  <si>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</si>
  <si>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</si>
  <si>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</si>
  <si>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</si>
  <si>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</si>
  <si>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</si>
  <si>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</si>
  <si>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</si>
  <si>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</si>
  <si>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</si>
  <si>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</si>
  <si>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</si>
  <si>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</si>
  <si>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</si>
  <si>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</si>
  <si>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</si>
  <si>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</si>
  <si>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</si>
  <si>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</si>
  <si>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</si>
  <si>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</si>
  <si>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</si>
  <si>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</si>
  <si>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</si>
  <si>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</si>
  <si>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</si>
  <si>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</si>
  <si>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</si>
  <si>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</si>
  <si>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</si>
  <si>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</si>
  <si>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</si>
  <si>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</si>
  <si>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</si>
  <si>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</si>
  <si>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</si>
  <si>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</si>
  <si>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</si>
  <si>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</si>
  <si>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</si>
  <si>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</si>
  <si>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</si>
  <si>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</si>
  <si>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</si>
  <si>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</si>
  <si>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</si>
  <si>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</si>
  <si>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</si>
  <si>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</si>
  <si>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</si>
  <si>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</si>
  <si>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</si>
  <si>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</si>
  <si>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</si>
  <si>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</si>
  <si>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</si>
  <si>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</si>
  <si>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</si>
  <si>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</si>
  <si>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</si>
  <si>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</si>
  <si>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</si>
  <si>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</si>
  <si>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</si>
  <si>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</si>
  <si>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</si>
  <si>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</si>
  <si>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</si>
  <si>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</si>
  <si>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</si>
  <si>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</si>
  <si>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</si>
  <si>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</si>
  <si>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</si>
  <si>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</si>
  <si>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</si>
  <si>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</si>
  <si>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</si>
  <si>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</si>
  <si>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</si>
  <si>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</si>
  <si>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</si>
  <si>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</si>
  <si>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</si>
  <si>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</si>
  <si>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</si>
  <si>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</si>
  <si>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</si>
  <si>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</si>
  <si>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</si>
  <si>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</si>
  <si>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</si>
  <si>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</si>
  <si>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</si>
  <si>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</si>
  <si>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</si>
  <si>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</si>
  <si>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</si>
  <si>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</si>
  <si>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</si>
  <si>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</si>
  <si>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</si>
  <si>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</si>
  <si>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</si>
  <si>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</si>
  <si>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</si>
  <si>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</si>
  <si>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</si>
  <si>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</si>
  <si>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</si>
  <si>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</si>
  <si>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</si>
  <si>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</si>
  <si>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</si>
  <si>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</si>
  <si>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</si>
  <si>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</si>
  <si>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</si>
  <si>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</si>
  <si>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</si>
  <si>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</si>
  <si>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</si>
  <si>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</si>
  <si>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</si>
  <si>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</si>
  <si>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</si>
  <si>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</si>
  <si>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</si>
  <si>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</si>
  <si>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</si>
  <si>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</si>
  <si>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</si>
  <si>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</si>
  <si>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</si>
  <si>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</si>
  <si>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</si>
  <si>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</si>
  <si>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</si>
  <si>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</si>
  <si>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</si>
  <si>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</si>
  <si>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</si>
  <si>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</si>
  <si>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</si>
  <si>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</si>
  <si>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</si>
  <si>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</si>
  <si>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</si>
  <si>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</si>
  <si>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</si>
  <si>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</si>
  <si>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</si>
  <si>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</si>
  <si>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</si>
  <si>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</si>
  <si>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</si>
  <si>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</si>
  <si>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</si>
  <si>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</si>
  <si>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</si>
  <si>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</si>
  <si>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</si>
  <si>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</si>
  <si>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</si>
  <si>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</si>
  <si>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</si>
  <si>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</si>
  <si>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</si>
  <si>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</si>
  <si>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</si>
  <si>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</si>
  <si>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</si>
  <si>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</si>
  <si>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</si>
  <si>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</si>
  <si>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</si>
  <si>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</si>
  <si>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</si>
  <si>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</si>
  <si>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</si>
  <si>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</si>
  <si>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</si>
  <si>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</si>
  <si>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</si>
  <si>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</si>
  <si>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</si>
  <si>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</si>
  <si>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</si>
  <si>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</si>
  <si>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</si>
  <si>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</si>
  <si>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</si>
  <si>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</si>
  <si>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</si>
  <si>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</si>
  <si>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</si>
  <si>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</si>
  <si>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</si>
  <si>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</si>
  <si>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</si>
  <si>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</si>
  <si>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</si>
  <si>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</si>
  <si>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</si>
  <si>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</si>
  <si>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</si>
  <si>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</si>
  <si>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</si>
  <si>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</si>
  <si>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</si>
  <si>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</si>
  <si>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</si>
  <si>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</si>
  <si>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</si>
  <si>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</si>
  <si>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</si>
  <si>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</si>
  <si>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</si>
  <si>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</si>
  <si>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</si>
  <si>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</si>
  <si>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</si>
  <si>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</si>
  <si>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</si>
  <si>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</si>
  <si>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</si>
  <si>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</si>
  <si>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</si>
  <si>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</si>
  <si>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</si>
  <si>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</si>
  <si>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</si>
  <si>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</si>
  <si>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</si>
  <si>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</si>
  <si>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</si>
  <si>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</si>
  <si>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</si>
  <si>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</si>
  <si>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</si>
  <si>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</si>
  <si>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</si>
  <si>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</si>
  <si>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</si>
  <si>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</si>
  <si>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</si>
  <si>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</si>
  <si>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</si>
  <si>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</si>
  <si>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</si>
  <si>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</si>
  <si>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</si>
  <si>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</si>
  <si>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</si>
  <si>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</si>
  <si>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</si>
  <si>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</si>
  <si>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</si>
  <si>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</si>
  <si>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</si>
  <si>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</si>
  <si>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</si>
  <si>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</si>
  <si>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</si>
  <si>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</si>
  <si>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</si>
  <si>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</si>
  <si>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</si>
  <si>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</si>
  <si>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</si>
  <si>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</si>
  <si>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</si>
  <si>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</si>
  <si>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</si>
  <si>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</si>
  <si>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</si>
  <si>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</si>
  <si>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</si>
  <si>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</si>
  <si>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</si>
  <si>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</si>
  <si>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</si>
  <si>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</si>
  <si>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</si>
  <si>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</si>
  <si>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</si>
  <si>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</si>
  <si>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</si>
  <si>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</si>
  <si>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</si>
  <si>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</si>
  <si>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</si>
  <si>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</si>
  <si>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</si>
  <si>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</si>
  <si>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</si>
  <si>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</si>
  <si>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</si>
  <si>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</si>
  <si>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</si>
  <si>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</si>
  <si>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</si>
  <si>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</si>
  <si>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</si>
  <si>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</si>
  <si>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</si>
  <si>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</si>
  <si>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</si>
  <si>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</si>
  <si>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</si>
  <si>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</si>
  <si>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</si>
  <si>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</si>
  <si>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</si>
  <si>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</si>
  <si>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</si>
  <si>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</si>
  <si>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</si>
  <si>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</si>
  <si>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</si>
  <si>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</si>
  <si>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</si>
  <si>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</si>
  <si>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</si>
  <si>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</si>
  <si>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</si>
  <si>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</si>
  <si>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</si>
  <si>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</si>
  <si>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</si>
  <si>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</si>
  <si>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</si>
  <si>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</si>
  <si>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</si>
  <si>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</si>
  <si>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</si>
  <si>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</si>
  <si>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</si>
  <si>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</si>
  <si>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</si>
  <si>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</si>
  <si>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</si>
  <si>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</si>
  <si>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</si>
  <si>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</si>
  <si>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</si>
  <si>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</si>
  <si>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</si>
  <si>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</si>
  <si>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</si>
  <si>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</si>
  <si>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</si>
  <si>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</si>
  <si>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</si>
  <si>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</si>
  <si>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</si>
  <si>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</si>
  <si>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</si>
  <si>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</si>
  <si>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</si>
  <si>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</si>
  <si>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</si>
  <si>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</si>
  <si>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</si>
  <si>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</si>
  <si>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</si>
  <si>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</si>
  <si>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</si>
  <si>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</si>
  <si>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</si>
  <si>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</si>
  <si>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</si>
  <si>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</si>
  <si>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</si>
  <si>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</si>
  <si>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</si>
  <si>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</si>
  <si>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</si>
  <si>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</si>
  <si>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</si>
  <si>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</si>
  <si>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</si>
  <si>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</si>
  <si>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</si>
  <si>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</si>
  <si>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</si>
  <si>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</si>
  <si>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</si>
  <si>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</si>
  <si>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</si>
  <si>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</si>
  <si>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</si>
  <si>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</si>
  <si>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</si>
  <si>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</si>
  <si>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</si>
  <si>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</si>
  <si>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</si>
  <si>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</si>
  <si>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</si>
  <si>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</si>
  <si>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</si>
  <si>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</si>
  <si>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</si>
  <si>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</si>
  <si>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</si>
  <si>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</si>
  <si>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</si>
  <si>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</si>
  <si>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</si>
  <si>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</si>
  <si>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</si>
  <si>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</si>
  <si>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</si>
  <si>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</si>
  <si>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</si>
  <si>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</si>
  <si>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</si>
  <si>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</si>
  <si>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</si>
  <si>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</si>
  <si>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</si>
  <si>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</si>
  <si>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</si>
  <si>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</si>
  <si>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</si>
  <si>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</si>
  <si>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</si>
  <si>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</si>
  <si>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</si>
  <si>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</si>
  <si>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</si>
  <si>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</si>
  <si>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</si>
  <si>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</si>
  <si>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</si>
  <si>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</si>
  <si>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</si>
  <si>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</si>
  <si>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</si>
  <si>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</si>
  <si>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</si>
  <si>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</si>
  <si>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</si>
  <si>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</si>
  <si>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</si>
  <si>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</si>
  <si>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</si>
  <si>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</si>
  <si>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</si>
  <si>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</si>
  <si>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</si>
  <si>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</si>
  <si>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</si>
  <si>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</si>
  <si>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</si>
  <si>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</si>
  <si>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</si>
  <si>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</si>
  <si>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</si>
  <si>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</si>
  <si>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</si>
  <si>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</si>
  <si>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</si>
  <si>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</si>
  <si>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</si>
  <si>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</si>
  <si>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</si>
  <si>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</si>
  <si>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</si>
  <si>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</si>
  <si>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</si>
  <si>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</si>
  <si>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</si>
  <si>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</si>
  <si>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</si>
  <si>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</si>
  <si>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</si>
  <si>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</si>
  <si>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</si>
  <si>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</si>
  <si>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</si>
  <si>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</si>
  <si>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</si>
  <si>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</si>
  <si>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</si>
  <si>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</si>
  <si>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</si>
  <si>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</si>
  <si>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</si>
  <si>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</si>
  <si>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</si>
  <si>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</si>
  <si>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</si>
  <si>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</si>
  <si>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</si>
  <si>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</si>
  <si>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</si>
  <si>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</si>
  <si>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</si>
  <si>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</si>
  <si>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</si>
  <si>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</si>
  <si>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</si>
  <si>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</si>
  <si>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</si>
  <si>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</si>
  <si>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</si>
  <si>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</si>
  <si>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</si>
  <si>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</si>
  <si>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</si>
  <si>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</si>
  <si>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</si>
  <si>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</si>
  <si>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</si>
  <si>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</si>
  <si>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</si>
  <si>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</si>
  <si>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</si>
  <si>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</si>
  <si>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</si>
  <si>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</si>
  <si>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</si>
  <si>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</si>
  <si>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</si>
  <si>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</si>
  <si>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</si>
  <si>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</si>
  <si>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</si>
  <si>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</si>
  <si>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</si>
  <si>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</si>
  <si>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</si>
  <si>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</si>
  <si>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</si>
  <si>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</si>
  <si>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</si>
  <si>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</si>
  <si>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</si>
  <si>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</si>
  <si>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</si>
  <si>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</si>
  <si>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</si>
  <si>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</si>
  <si>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</si>
  <si>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</si>
  <si>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</si>
  <si>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</si>
  <si>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</si>
  <si>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</si>
  <si>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</si>
  <si>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</si>
  <si>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</si>
  <si>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</si>
  <si>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</si>
  <si>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</si>
  <si>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</si>
  <si>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</si>
  <si>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</si>
  <si>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</si>
  <si>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</si>
  <si>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</si>
  <si>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</si>
  <si>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</si>
  <si>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</si>
  <si>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</si>
  <si>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</si>
  <si>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</si>
  <si>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</si>
  <si>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</si>
  <si>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</si>
  <si>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</si>
  <si>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</si>
  <si>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</si>
  <si>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</si>
  <si>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</si>
  <si>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</si>
  <si>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</si>
  <si>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</si>
  <si>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</si>
  <si>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</si>
  <si>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</si>
  <si>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</si>
  <si>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</si>
  <si>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</si>
  <si>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</si>
  <si>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</si>
  <si>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</si>
  <si>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</si>
  <si>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</si>
  <si>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</si>
  <si>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</si>
  <si>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</si>
  <si>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</si>
  <si>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</si>
  <si>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</si>
  <si>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</si>
  <si>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</si>
  <si>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</si>
  <si>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</si>
  <si>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</si>
  <si>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</si>
  <si>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</si>
  <si>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</si>
  <si>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</si>
  <si>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</si>
  <si>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</si>
  <si>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</si>
  <si>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</si>
  <si>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</si>
  <si>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</si>
  <si>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</si>
  <si>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</si>
  <si>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</si>
  <si>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</si>
  <si>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</si>
  <si>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</si>
  <si>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</si>
  <si>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</si>
  <si>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</si>
  <si>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</si>
  <si>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</si>
  <si>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</si>
  <si>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</si>
  <si>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</si>
  <si>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</si>
  <si>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</si>
  <si>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</si>
  <si>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</si>
  <si>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</si>
  <si>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</si>
  <si>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</si>
  <si>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</si>
  <si>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</si>
  <si>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</si>
  <si>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</si>
  <si>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</si>
  <si>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</si>
  <si>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</si>
  <si>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</si>
  <si>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</si>
  <si>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</si>
  <si>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</si>
  <si>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</si>
  <si>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</si>
  <si>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</si>
  <si>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</si>
  <si>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</si>
  <si>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</si>
  <si>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</si>
  <si>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</si>
  <si>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</si>
  <si>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</si>
  <si>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</si>
  <si>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</si>
  <si>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</si>
  <si>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</si>
  <si>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</si>
  <si>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</si>
  <si>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</si>
  <si>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</si>
  <si>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</si>
  <si>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</si>
  <si>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</si>
  <si>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</si>
  <si>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</si>
  <si>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</si>
  <si>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</si>
  <si>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</si>
  <si>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</si>
  <si>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</si>
  <si>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</si>
  <si>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</si>
  <si>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</si>
  <si>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</si>
  <si>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</si>
  <si>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</si>
  <si>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</si>
  <si>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</si>
  <si>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</si>
  <si>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</si>
  <si>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</si>
  <si>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</si>
  <si>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</si>
  <si>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</si>
  <si>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</si>
  <si>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</si>
  <si>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</si>
  <si>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</si>
  <si>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</si>
  <si>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</si>
  <si>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</si>
  <si>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</si>
  <si>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</si>
  <si>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</si>
  <si>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</si>
  <si>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</si>
  <si>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</si>
  <si>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</si>
  <si>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</si>
  <si>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</si>
  <si>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</si>
  <si>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</si>
  <si>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</si>
  <si>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</si>
  <si>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</si>
  <si>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</si>
  <si>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</si>
  <si>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</si>
  <si>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</si>
  <si>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</si>
  <si>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</si>
  <si>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</si>
  <si>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</si>
  <si>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</si>
  <si>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</si>
  <si>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</si>
  <si>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</si>
  <si>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</si>
  <si>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</si>
  <si>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</si>
  <si>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</si>
  <si>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</si>
  <si>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</si>
  <si>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</si>
  <si>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</si>
  <si>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</si>
  <si>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</si>
  <si>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</si>
  <si>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</si>
  <si>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</si>
  <si>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</si>
  <si>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</si>
  <si>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</si>
  <si>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</si>
  <si>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</si>
  <si>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</si>
  <si>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</si>
  <si>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</si>
  <si>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</si>
  <si>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</si>
  <si>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</si>
  <si>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</si>
  <si>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</si>
  <si>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</si>
  <si>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</si>
  <si>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</si>
  <si>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</si>
  <si>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</si>
  <si>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</si>
  <si>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</si>
  <si>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</si>
  <si>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</si>
  <si>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</si>
  <si>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</si>
  <si>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</si>
  <si>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</si>
  <si>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</si>
  <si>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</si>
  <si>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</si>
  <si>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</si>
  <si>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</si>
  <si>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</si>
  <si>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</si>
  <si>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</si>
  <si>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</si>
  <si>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</si>
  <si>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</si>
  <si>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</si>
  <si>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</si>
  <si>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</si>
  <si>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</si>
  <si>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</si>
  <si>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</si>
  <si>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</si>
  <si>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</si>
  <si>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</si>
  <si>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</si>
  <si>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</si>
  <si>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</si>
  <si>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</si>
  <si>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</si>
  <si>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</si>
  <si>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</si>
  <si>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</si>
  <si>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</si>
  <si>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</si>
  <si>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</si>
  <si>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</si>
  <si>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</si>
  <si>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</si>
  <si>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</si>
  <si>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</si>
  <si>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</si>
  <si>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</si>
  <si>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</si>
  <si>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</si>
  <si>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</si>
  <si>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</si>
  <si>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</si>
  <si>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</si>
  <si>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</si>
  <si>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</si>
  <si>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</si>
  <si>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</si>
  <si>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</si>
  <si>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</si>
  <si>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</si>
  <si>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</si>
  <si>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</si>
  <si>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</si>
  <si>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</si>
  <si>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</si>
  <si>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</si>
  <si>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</si>
  <si>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</si>
  <si>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</si>
  <si>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</si>
  <si>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</si>
  <si>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</si>
  <si>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</si>
  <si>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</si>
  <si>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</si>
  <si>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</si>
  <si>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</si>
  <si>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</si>
  <si>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</si>
  <si>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</si>
  <si>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</si>
  <si>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</si>
  <si>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</si>
  <si>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</si>
  <si>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</si>
  <si>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</si>
  <si>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</si>
  <si>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</si>
  <si>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</si>
  <si>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</si>
  <si>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</si>
  <si>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</si>
  <si>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</si>
  <si>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</si>
  <si>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</si>
  <si>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</si>
  <si>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</si>
  <si>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</si>
  <si>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</si>
  <si>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</si>
  <si>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</si>
  <si>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</si>
  <si>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</si>
  <si>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</si>
  <si>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</si>
  <si>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</si>
  <si>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</si>
  <si>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</si>
  <si>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</si>
  <si>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</si>
  <si>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</si>
  <si>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</si>
  <si>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</si>
  <si>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</si>
  <si>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</si>
  <si>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</si>
  <si>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</si>
  <si>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</si>
  <si>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</si>
  <si>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</si>
  <si>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</si>
  <si>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</si>
  <si>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</si>
  <si>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</si>
  <si>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</si>
  <si>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</si>
  <si>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</si>
  <si>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</si>
  <si>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</si>
  <si>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</si>
  <si>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</si>
  <si>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</si>
  <si>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</si>
  <si>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</si>
  <si>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</si>
  <si>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</si>
  <si>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</si>
  <si>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</si>
  <si>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</si>
  <si>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</si>
  <si>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</si>
  <si>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</si>
  <si>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</si>
  <si>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</si>
  <si>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</si>
  <si>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</si>
  <si>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</si>
  <si>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</si>
  <si>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</si>
  <si>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</si>
  <si>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</si>
  <si>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</si>
  <si>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</si>
  <si>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</si>
  <si>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</si>
  <si>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</si>
  <si>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</si>
  <si>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</si>
  <si>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</si>
  <si>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</si>
  <si>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</si>
  <si>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</si>
  <si>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</si>
  <si>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</si>
  <si>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</si>
  <si>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</si>
  <si>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</si>
  <si>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</si>
  <si>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</si>
  <si>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</si>
  <si>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</si>
  <si>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</si>
  <si>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</si>
  <si>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</si>
  <si>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</si>
  <si>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</si>
  <si>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</si>
  <si>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</si>
  <si>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</si>
  <si>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</si>
  <si>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</si>
  <si>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</si>
  <si>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</si>
  <si>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</si>
  <si>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</si>
  <si>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</si>
  <si>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</si>
  <si>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</si>
  <si>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</si>
  <si>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</si>
  <si>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</si>
  <si>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</si>
  <si>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</si>
  <si>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</si>
  <si>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</si>
  <si>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</si>
  <si>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</si>
  <si>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</si>
  <si>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</si>
  <si>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</si>
  <si>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</si>
  <si>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</si>
  <si>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</si>
  <si>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</si>
  <si>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</si>
  <si>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</si>
  <si>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</si>
  <si>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</si>
  <si>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</si>
  <si>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</si>
  <si>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</si>
  <si>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</si>
  <si>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</si>
  <si>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</si>
  <si>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</si>
  <si>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</si>
  <si>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</si>
  <si>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</si>
  <si>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</si>
  <si>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</si>
  <si>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</si>
  <si>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</si>
  <si>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</si>
  <si>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</si>
  <si>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</si>
  <si>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</si>
  <si>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</si>
  <si>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</si>
  <si>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</si>
  <si>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</si>
  <si>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</si>
  <si>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</si>
  <si>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</si>
  <si>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</si>
  <si>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</si>
  <si>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</si>
  <si>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</si>
  <si>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</si>
  <si>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</si>
  <si>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</si>
  <si>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</si>
  <si>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</si>
  <si>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</si>
  <si>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</si>
  <si>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</si>
  <si>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</si>
  <si>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</si>
  <si>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</si>
  <si>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</si>
  <si>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</si>
  <si>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</si>
  <si>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</si>
  <si>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</si>
  <si>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</si>
  <si>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</si>
  <si>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</si>
  <si>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</si>
  <si>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</si>
  <si>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</si>
  <si>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</si>
  <si>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</si>
  <si>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</si>
  <si>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</si>
  <si>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</si>
  <si>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</si>
  <si>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</si>
  <si>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</si>
  <si>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</si>
  <si>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</si>
  <si>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</si>
  <si>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</si>
  <si>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</si>
  <si>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</si>
  <si>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</si>
  <si>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</si>
  <si>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</si>
  <si>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</si>
  <si>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</si>
  <si>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</si>
  <si>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</si>
  <si>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</si>
  <si>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</si>
  <si>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</si>
  <si>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</si>
  <si>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</si>
  <si>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</si>
  <si>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</si>
  <si>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</si>
  <si>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</si>
  <si>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</si>
  <si>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</si>
  <si>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</si>
  <si>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</si>
  <si>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</si>
  <si>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</si>
  <si>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</si>
  <si>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</si>
  <si>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</si>
  <si>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</si>
  <si>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</si>
  <si>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</si>
  <si>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</si>
  <si>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</si>
  <si>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</si>
  <si>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</si>
  <si>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</si>
  <si>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</si>
  <si>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</si>
  <si>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</si>
  <si>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</si>
  <si>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</si>
  <si>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</si>
  <si>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</si>
  <si>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</si>
  <si>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</si>
  <si>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</si>
  <si>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</si>
  <si>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</si>
  <si>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</si>
  <si>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</si>
  <si>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</si>
  <si>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</si>
  <si>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</si>
  <si>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</si>
  <si>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</si>
  <si>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</si>
  <si>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</si>
  <si>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</si>
  <si>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</si>
  <si>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</si>
  <si>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</si>
  <si>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</si>
  <si>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</si>
  <si>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</si>
  <si>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</si>
  <si>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</si>
  <si>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</si>
  <si>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</si>
  <si>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</si>
  <si>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</si>
  <si>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</si>
  <si>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</si>
  <si>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</si>
  <si>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</si>
  <si>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</si>
  <si>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</si>
  <si>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</si>
  <si>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</si>
  <si>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</si>
  <si>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</si>
  <si>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</si>
  <si>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</si>
  <si>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</si>
  <si>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</si>
  <si>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</si>
  <si>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</si>
  <si>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</si>
  <si>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</si>
  <si>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</si>
  <si>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</si>
  <si>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</si>
  <si>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</si>
  <si>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</si>
  <si>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</si>
  <si>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</si>
  <si>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</si>
  <si>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</si>
  <si>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</si>
  <si>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</si>
  <si>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</si>
  <si>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</si>
  <si>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</si>
  <si>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</si>
  <si>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</si>
  <si>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</si>
  <si>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</si>
  <si>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</si>
  <si>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</si>
  <si>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</si>
  <si>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</si>
  <si>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</si>
  <si>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</si>
  <si>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</si>
  <si>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</si>
  <si>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</si>
  <si>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</si>
  <si>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</si>
  <si>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</si>
  <si>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</si>
  <si>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</si>
  <si>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</si>
  <si>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</si>
  <si>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</si>
  <si>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</si>
  <si>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</si>
  <si>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</si>
  <si>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</si>
  <si>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</si>
  <si>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</si>
  <si>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</si>
  <si>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</si>
  <si>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</si>
  <si>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</si>
  <si>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</si>
  <si>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</si>
  <si>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</si>
  <si>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</si>
  <si>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</si>
  <si>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</si>
  <si>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</si>
  <si>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</si>
  <si>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</si>
  <si>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</si>
  <si>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</si>
  <si>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</si>
  <si>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</si>
  <si>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</si>
  <si>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</si>
  <si>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</si>
  <si>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</si>
  <si>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</si>
  <si>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</si>
  <si>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</si>
  <si>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</si>
  <si>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</si>
  <si>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</si>
  <si>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</si>
  <si>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</si>
  <si>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</si>
  <si>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</si>
  <si>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</si>
  <si>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</si>
  <si>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</si>
  <si>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</si>
  <si>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</si>
  <si>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</si>
  <si>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</si>
  <si>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</si>
  <si>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</si>
  <si>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</si>
  <si>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</si>
  <si>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</si>
  <si>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</si>
  <si>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</si>
  <si>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</si>
  <si>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</si>
  <si>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</si>
  <si>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</si>
  <si>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</si>
  <si>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</si>
  <si>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</si>
  <si>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</si>
  <si>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</si>
  <si>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</si>
  <si>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</si>
  <si>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</si>
  <si>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</si>
  <si>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</si>
  <si>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</si>
  <si>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</si>
  <si>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</si>
  <si>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</si>
  <si>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</si>
  <si>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</si>
  <si>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</si>
  <si>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</si>
  <si>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</si>
  <si>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</si>
  <si>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</si>
  <si>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</si>
  <si>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</si>
  <si>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</si>
  <si>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</si>
  <si>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</si>
  <si>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</si>
  <si>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</si>
  <si>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</si>
  <si>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</si>
  <si>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</si>
  <si>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</si>
  <si>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</si>
  <si>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</si>
  <si>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</si>
  <si>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</si>
  <si>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</si>
  <si>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</si>
  <si>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</si>
  <si>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</si>
  <si>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</si>
  <si>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</si>
  <si>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</si>
  <si>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</si>
  <si>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</si>
  <si>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</si>
  <si>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</si>
  <si>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</si>
  <si>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</si>
  <si>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</si>
  <si>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</si>
  <si>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</si>
  <si>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</si>
  <si>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</si>
  <si>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</si>
  <si>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</si>
  <si>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</si>
  <si>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</si>
  <si>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</si>
  <si>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</si>
  <si>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</si>
  <si>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</si>
  <si>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</si>
  <si>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</si>
  <si>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</si>
  <si>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</si>
  <si>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</si>
  <si>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</si>
  <si>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</si>
  <si>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</si>
  <si>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</si>
  <si>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</si>
  <si>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</si>
  <si>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</si>
  <si>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</si>
  <si>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</si>
  <si>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</si>
  <si>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</si>
  <si>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</si>
  <si>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</si>
  <si>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</si>
  <si>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</si>
  <si>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</si>
  <si>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</si>
  <si>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</si>
  <si>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</si>
  <si>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</si>
  <si>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</si>
  <si>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</si>
  <si>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</si>
  <si>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</si>
  <si>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</si>
  <si>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</si>
  <si>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</si>
  <si>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</si>
  <si>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</si>
  <si>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</si>
  <si>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</si>
  <si>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</si>
  <si>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</si>
  <si>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</si>
  <si>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</si>
  <si>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</si>
  <si>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</si>
  <si>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</si>
  <si>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</si>
  <si>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</si>
  <si>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</si>
  <si>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</si>
  <si>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</si>
  <si>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</si>
  <si>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</si>
  <si>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</si>
  <si>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</si>
  <si>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</si>
  <si>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</si>
  <si>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</si>
  <si>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</si>
  <si>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</si>
  <si>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</si>
  <si>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</si>
  <si>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</si>
  <si>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</si>
  <si>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</si>
  <si>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</si>
  <si>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</si>
  <si>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</si>
  <si>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</si>
  <si>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</si>
  <si>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</si>
  <si>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</si>
  <si>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</si>
  <si>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</si>
  <si>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</si>
  <si>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</si>
  <si>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</si>
  <si>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</si>
  <si>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</si>
  <si>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</si>
  <si>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</si>
  <si>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</si>
  <si>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</si>
  <si>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</si>
  <si>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</si>
  <si>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</si>
  <si>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</si>
  <si>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</si>
  <si>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</si>
  <si>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</si>
  <si>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</si>
  <si>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</si>
  <si>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</si>
  <si>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</si>
  <si>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</si>
  <si>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</si>
  <si>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</si>
  <si>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</si>
  <si>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</si>
  <si>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</si>
  <si>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</si>
  <si>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</si>
  <si>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</si>
  <si>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</si>
  <si>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</si>
  <si>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</si>
  <si>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</si>
  <si>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</si>
  <si>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</si>
  <si>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</si>
  <si>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</si>
  <si>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</si>
  <si>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</si>
  <si>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</si>
  <si>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</si>
  <si>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</si>
  <si>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</si>
  <si>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</si>
  <si>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</si>
  <si>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</si>
  <si>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</si>
  <si>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</si>
  <si>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</si>
  <si>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</si>
  <si>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</si>
  <si>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</si>
  <si>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</si>
  <si>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</si>
  <si>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</si>
  <si>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</si>
  <si>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</si>
  <si>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</si>
  <si>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</si>
  <si>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</si>
  <si>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</si>
  <si>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</si>
  <si>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</si>
  <si>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</si>
  <si>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</si>
  <si>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</si>
  <si>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</si>
  <si>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</si>
  <si>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</si>
  <si>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</si>
  <si>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</si>
  <si>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</si>
  <si>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</si>
  <si>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</si>
  <si>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</si>
  <si>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</si>
  <si>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</si>
  <si>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</si>
  <si>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</si>
  <si>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</si>
  <si>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</si>
  <si>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</si>
  <si>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</si>
  <si>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</si>
  <si>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</si>
  <si>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</si>
  <si>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</si>
  <si>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</si>
  <si>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</si>
  <si>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</si>
  <si>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</si>
  <si>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</si>
  <si>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</si>
  <si>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</si>
  <si>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</si>
  <si>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</si>
  <si>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</si>
  <si>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</si>
  <si>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</si>
  <si>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</si>
  <si>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</si>
  <si>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</si>
  <si>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</si>
  <si>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</si>
  <si>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</si>
  <si>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</si>
  <si>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</si>
  <si>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</si>
  <si>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</si>
  <si>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</si>
  <si>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</si>
  <si>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</si>
  <si>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</si>
  <si>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</si>
  <si>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</si>
  <si>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</si>
  <si>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</si>
  <si>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</si>
  <si>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</si>
  <si>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</si>
  <si>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</si>
  <si>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</si>
  <si>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</si>
  <si>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</si>
  <si>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</si>
  <si>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</si>
  <si>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</si>
  <si>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</si>
  <si>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</si>
  <si>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</si>
  <si>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</si>
  <si>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</si>
  <si>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</si>
  <si>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</si>
  <si>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</si>
  <si>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</si>
  <si>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</si>
  <si>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</si>
  <si>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</si>
  <si>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</si>
  <si>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</si>
  <si>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</si>
  <si>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</si>
  <si>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</si>
  <si>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</si>
  <si>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</si>
  <si>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</si>
  <si>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</si>
  <si>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</si>
  <si>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</si>
  <si>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</si>
  <si>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</si>
  <si>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</si>
  <si>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</si>
  <si>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</si>
  <si>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</si>
  <si>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</si>
  <si>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</si>
  <si>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</si>
  <si>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</si>
  <si>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</si>
  <si>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</si>
  <si>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</si>
  <si>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</si>
  <si>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</si>
  <si>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</si>
  <si>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</si>
  <si>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</si>
  <si>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</si>
  <si>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</si>
  <si>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</si>
  <si>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</si>
  <si>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</si>
  <si>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</si>
  <si>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</si>
  <si>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</si>
  <si>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</si>
  <si>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</si>
  <si>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</si>
  <si>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</si>
  <si>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</si>
  <si>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</si>
  <si>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</si>
  <si>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</si>
  <si>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</si>
  <si>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</si>
  <si>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</si>
  <si>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</si>
  <si>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</si>
  <si>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</si>
  <si>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</si>
  <si>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</si>
  <si>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</si>
  <si>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</si>
  <si>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</si>
  <si>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</si>
  <si>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</si>
  <si>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</si>
  <si>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</si>
  <si>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</si>
  <si>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</si>
  <si>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</si>
  <si>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</si>
  <si>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</si>
  <si>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</si>
  <si>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</si>
  <si>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</si>
  <si>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</si>
  <si>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</si>
  <si>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</si>
  <si>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</si>
  <si>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</si>
  <si>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</si>
  <si>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</si>
  <si>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</si>
  <si>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</si>
  <si>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</si>
  <si>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</si>
  <si>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</si>
  <si>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</si>
  <si>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</si>
  <si>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</si>
  <si>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</si>
  <si>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</si>
  <si>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</si>
  <si>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</si>
  <si>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</si>
  <si>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</si>
  <si>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</si>
  <si>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</si>
  <si>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</si>
  <si>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</si>
  <si>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</si>
  <si>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</si>
  <si>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</si>
  <si>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</si>
  <si>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</si>
  <si>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</si>
  <si>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</si>
  <si>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</si>
  <si>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</si>
  <si>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</si>
  <si>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</si>
  <si>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</si>
  <si>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</si>
  <si>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</si>
  <si>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</si>
  <si>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</si>
  <si>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</si>
  <si>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</si>
  <si>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</si>
  <si>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</si>
  <si>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</si>
  <si>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</si>
  <si>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</si>
  <si>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</si>
  <si>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</si>
  <si>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</si>
  <si>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</si>
  <si>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</si>
  <si>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</si>
  <si>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</si>
  <si>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</si>
  <si>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</si>
  <si>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</si>
  <si>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</si>
  <si>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</si>
  <si>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</si>
  <si>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</si>
  <si>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</si>
  <si>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</si>
  <si>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</si>
  <si>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</si>
  <si>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</si>
  <si>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</si>
  <si>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</si>
  <si>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</si>
  <si>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</si>
  <si>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</si>
  <si>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</si>
  <si>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</si>
  <si>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</si>
  <si>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</si>
  <si>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</si>
  <si>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</si>
  <si>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</si>
  <si>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</si>
  <si>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</si>
  <si>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</si>
  <si>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</si>
  <si>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</si>
  <si>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</si>
  <si>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</si>
  <si>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</si>
  <si>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</si>
  <si>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</si>
  <si>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</si>
  <si>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</si>
  <si>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</si>
  <si>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</si>
  <si>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</si>
  <si>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</si>
  <si>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</si>
  <si>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</si>
  <si>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</si>
  <si>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</si>
  <si>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</si>
  <si>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</si>
  <si>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</si>
  <si>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</si>
  <si>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</si>
  <si>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</si>
  <si>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</si>
  <si>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</si>
  <si>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</si>
  <si>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</si>
  <si>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</si>
  <si>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</si>
  <si>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</si>
  <si>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</si>
  <si>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</si>
  <si>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</si>
  <si>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</si>
  <si>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</si>
  <si>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</si>
  <si>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</si>
  <si>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</si>
  <si>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</si>
  <si>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</si>
  <si>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</si>
  <si>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</si>
  <si>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</si>
  <si>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</si>
  <si>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</si>
  <si>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</si>
  <si>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</si>
  <si>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</si>
  <si>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</si>
  <si>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</si>
  <si>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</si>
  <si>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</si>
  <si>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</si>
  <si>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</si>
  <si>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</si>
  <si>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</si>
  <si>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</si>
  <si>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</si>
  <si>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</si>
  <si>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</si>
  <si>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</si>
  <si>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</si>
  <si>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</si>
  <si>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</si>
  <si>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</si>
  <si>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</si>
  <si>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</si>
  <si>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</si>
  <si>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</si>
  <si>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</si>
  <si>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</si>
  <si>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</si>
  <si>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</si>
  <si>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</si>
  <si>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</si>
  <si>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</si>
  <si>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</si>
  <si>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</si>
  <si>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</si>
  <si>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</si>
  <si>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</si>
  <si>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</si>
  <si>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</si>
  <si>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</si>
  <si>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</si>
  <si>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</si>
  <si>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</si>
  <si>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</si>
  <si>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</si>
  <si>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</si>
  <si>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</si>
  <si>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</si>
  <si>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</si>
  <si>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</si>
  <si>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</si>
  <si>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</si>
  <si>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</si>
  <si>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</si>
  <si>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</si>
  <si>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</si>
  <si>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</si>
  <si>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</si>
  <si>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</si>
  <si>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</si>
  <si>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</si>
  <si>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</si>
  <si>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</si>
  <si>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</si>
  <si>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</si>
  <si>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</si>
  <si>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</si>
  <si>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</si>
  <si>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</si>
  <si>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</si>
  <si>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</si>
  <si>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</si>
  <si>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</si>
  <si>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</si>
  <si>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</si>
  <si>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</si>
  <si>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</si>
  <si>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</si>
  <si>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</si>
  <si>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</si>
  <si>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</si>
  <si>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</si>
  <si>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</si>
  <si>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</si>
  <si>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</si>
  <si>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</si>
  <si>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</si>
  <si>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</si>
  <si>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</si>
  <si>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</si>
  <si>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</si>
  <si>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</si>
  <si>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</si>
  <si>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</si>
  <si>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</si>
  <si>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</si>
  <si>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</si>
  <si>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</si>
  <si>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</si>
  <si>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</si>
  <si>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</si>
  <si>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</si>
  <si>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</si>
  <si>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</si>
  <si>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</si>
  <si>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</si>
  <si>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</si>
  <si>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</si>
  <si>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</si>
  <si>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</si>
  <si>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</si>
  <si>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</si>
  <si>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</si>
  <si>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</si>
  <si>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</si>
  <si>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</si>
  <si>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</si>
  <si>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</si>
  <si>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</si>
  <si>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</si>
  <si>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</si>
  <si>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</si>
  <si>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</si>
  <si>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</si>
  <si>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</si>
  <si>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</si>
  <si>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</si>
  <si>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</si>
  <si>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</si>
  <si>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</si>
  <si>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</si>
  <si>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</si>
  <si>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</si>
  <si>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</si>
  <si>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</si>
  <si>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</si>
  <si>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</si>
  <si>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</si>
  <si>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</si>
  <si>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</si>
  <si>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</si>
  <si>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</si>
  <si>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</si>
  <si>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</si>
  <si>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</si>
  <si>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</si>
  <si>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</si>
  <si>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</si>
  <si>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</si>
  <si>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</si>
  <si>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</si>
  <si>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</si>
  <si>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</si>
  <si>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</si>
  <si>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</si>
  <si>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</si>
  <si>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</si>
  <si>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</si>
  <si>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</si>
  <si>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</si>
  <si>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</si>
  <si>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</si>
  <si>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</si>
  <si>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</si>
  <si>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</si>
  <si>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</si>
  <si>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</si>
  <si>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</si>
  <si>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</si>
  <si>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</si>
  <si>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</si>
  <si>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</si>
  <si>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</si>
  <si>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</si>
  <si>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</si>
  <si>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</si>
  <si>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</si>
  <si>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</si>
  <si>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</si>
  <si>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</si>
  <si>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</si>
  <si>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</si>
  <si>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</si>
  <si>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</si>
  <si>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</si>
  <si>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</si>
  <si>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</si>
  <si>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</si>
  <si>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</si>
  <si>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</si>
  <si>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</si>
  <si>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</si>
  <si>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</si>
  <si>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</si>
  <si>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</si>
  <si>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</si>
  <si>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</si>
  <si>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</si>
  <si>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</si>
  <si>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</si>
  <si>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</si>
  <si>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</si>
  <si>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</si>
  <si>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</si>
  <si>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</si>
  <si>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</si>
  <si>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</si>
  <si>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</si>
  <si>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</si>
  <si>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</si>
  <si>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</si>
  <si>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</si>
  <si>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</si>
  <si>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</si>
  <si>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</si>
  <si>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</si>
  <si>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</si>
  <si>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</si>
  <si>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</si>
  <si>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</si>
  <si>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</si>
  <si>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</si>
  <si>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</si>
  <si>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</si>
  <si>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</si>
  <si>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</si>
  <si>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</si>
  <si>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</si>
  <si>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</si>
  <si>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</si>
  <si>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</si>
  <si>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</si>
  <si>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</si>
  <si>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</si>
  <si>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</si>
  <si>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</si>
  <si>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</si>
  <si>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</si>
  <si>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</si>
  <si>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</si>
  <si>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</si>
  <si>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</si>
  <si>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</si>
  <si>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</si>
  <si>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</si>
  <si>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</si>
  <si>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</si>
  <si>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</si>
  <si>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</si>
  <si>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</si>
  <si>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</si>
  <si>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</si>
  <si>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</si>
  <si>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</si>
  <si>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</si>
  <si>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</si>
  <si>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</si>
  <si>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</si>
  <si>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</si>
  <si>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</si>
  <si>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</si>
  <si>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</si>
  <si>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</si>
  <si>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</si>
  <si>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</si>
  <si>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</si>
  <si>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</si>
  <si>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</si>
  <si>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</si>
  <si>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</si>
  <si>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</si>
  <si>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</si>
  <si>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</si>
  <si>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</si>
  <si>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</si>
  <si>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</si>
  <si>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</si>
  <si>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</si>
  <si>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</si>
  <si>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</si>
  <si>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</si>
  <si>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</si>
  <si>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</si>
  <si>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</si>
  <si>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</si>
  <si>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</si>
  <si>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</si>
  <si>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</si>
  <si>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</si>
  <si>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</si>
  <si>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</si>
  <si>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</si>
  <si>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</si>
  <si>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</si>
  <si>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</si>
  <si>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</si>
  <si>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</si>
  <si>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</si>
  <si>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</si>
  <si>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</si>
  <si>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</si>
  <si>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</si>
  <si>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</si>
  <si>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</si>
  <si>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</si>
  <si>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</si>
  <si>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</si>
  <si>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</si>
  <si>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</si>
  <si>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</si>
  <si>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</si>
  <si>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</si>
  <si>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</si>
  <si>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</si>
  <si>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</si>
  <si>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</si>
  <si>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</si>
  <si>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</si>
  <si>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</si>
  <si>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</si>
  <si>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</si>
  <si>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</si>
  <si>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</si>
  <si>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</si>
  <si>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</si>
  <si>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</si>
  <si>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</si>
  <si>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</si>
  <si>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</si>
  <si>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</si>
  <si>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</si>
  <si>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</si>
  <si>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</si>
  <si>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</si>
  <si>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</si>
  <si>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</si>
  <si>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</si>
  <si>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</si>
  <si>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</si>
  <si>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</si>
  <si>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</si>
  <si>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</si>
  <si>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</si>
  <si>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</si>
  <si>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</si>
  <si>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</si>
  <si>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</si>
  <si>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</si>
  <si>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</si>
  <si>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</si>
  <si>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</si>
  <si>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</si>
  <si>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</si>
  <si>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</si>
  <si>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</si>
  <si>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</si>
  <si>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</si>
  <si>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</si>
  <si>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</si>
  <si>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</si>
  <si>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</si>
  <si>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</si>
  <si>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</si>
  <si>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</si>
  <si>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</si>
  <si>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</si>
  <si>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</si>
  <si>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</si>
  <si>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</si>
  <si>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</si>
  <si>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</si>
  <si>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</si>
  <si>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</si>
  <si>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</si>
  <si>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</si>
  <si>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</si>
  <si>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</si>
  <si>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</si>
  <si>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</si>
  <si>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</si>
  <si>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</si>
  <si>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</si>
  <si>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</si>
  <si>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</si>
  <si>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</si>
  <si>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</si>
  <si>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</si>
  <si>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</si>
  <si>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</si>
  <si>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</si>
  <si>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</si>
  <si>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</si>
  <si>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</si>
  <si>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</si>
  <si>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</si>
  <si>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</si>
  <si>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</si>
  <si>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</si>
  <si>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</si>
  <si>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</si>
  <si>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</si>
  <si>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</si>
  <si>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</si>
  <si>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</si>
  <si>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</si>
  <si>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</si>
  <si>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</si>
  <si>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</si>
  <si>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</si>
  <si>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</si>
  <si>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</si>
  <si>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</si>
  <si>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</si>
  <si>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</si>
  <si>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</si>
  <si>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</si>
  <si>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</si>
  <si>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</si>
  <si>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</si>
  <si>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</si>
  <si>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</si>
  <si>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</si>
  <si>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</si>
  <si>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</si>
  <si>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</si>
  <si>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</si>
  <si>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</si>
  <si>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</si>
  <si>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</si>
  <si>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</si>
  <si>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</si>
  <si>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</si>
  <si>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</si>
  <si>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</si>
  <si>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</si>
  <si>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</si>
  <si>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</si>
  <si>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</si>
  <si>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</si>
  <si>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</si>
  <si>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</si>
  <si>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</si>
  <si>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</si>
  <si>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</si>
  <si>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</si>
  <si>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</si>
  <si>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</si>
  <si>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</si>
  <si>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</si>
  <si>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</si>
  <si>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</si>
  <si>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</si>
  <si>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</si>
  <si>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</si>
  <si>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</si>
  <si>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</si>
  <si>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</si>
  <si>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</si>
  <si>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</si>
  <si>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</si>
  <si>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</si>
  <si>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</si>
  <si>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</si>
  <si>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</si>
  <si>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</si>
  <si>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</si>
  <si>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</si>
  <si>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</si>
  <si>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</si>
  <si>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</si>
  <si>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</si>
  <si>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</si>
  <si>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</si>
  <si>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</si>
  <si>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</si>
  <si>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</si>
  <si>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</si>
  <si>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</si>
  <si>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</si>
  <si>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</si>
  <si>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</si>
  <si>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</si>
  <si>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</si>
  <si>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</si>
  <si>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</si>
  <si>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</si>
  <si>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</si>
  <si>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</si>
  <si>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</si>
  <si>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</si>
  <si>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</si>
  <si>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</si>
  <si>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</si>
  <si>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</si>
  <si>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</si>
  <si>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</si>
  <si>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</si>
  <si>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</si>
  <si>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</si>
  <si>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</si>
  <si>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</si>
  <si>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</si>
  <si>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</si>
  <si>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</si>
  <si>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</si>
  <si>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</si>
  <si>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</si>
  <si>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</si>
  <si>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</si>
  <si>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</si>
  <si>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</si>
  <si>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</si>
  <si>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</si>
  <si>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</si>
  <si>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</si>
  <si>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</si>
  <si>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</si>
  <si>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</si>
  <si>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</si>
  <si>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</si>
  <si>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</si>
  <si>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</si>
  <si>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</si>
  <si>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</si>
  <si>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</si>
  <si>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</si>
  <si>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</si>
  <si>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</si>
  <si>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</si>
  <si>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</si>
  <si>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</si>
  <si>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</si>
  <si>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</si>
  <si>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</si>
  <si>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</si>
  <si>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</si>
  <si>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</si>
  <si>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</si>
  <si>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</si>
  <si>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</si>
  <si>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</si>
  <si>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</si>
  <si>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</si>
  <si>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</si>
  <si>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</si>
  <si>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</si>
  <si>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</si>
  <si>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</si>
  <si>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</si>
  <si>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</si>
  <si>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</si>
  <si>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</si>
  <si>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</si>
  <si>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</si>
  <si>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</si>
  <si>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</si>
  <si>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</si>
  <si>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</si>
  <si>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</si>
  <si>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</si>
  <si>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</si>
  <si>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</si>
  <si>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</si>
  <si>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</si>
  <si>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</si>
  <si>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</si>
  <si>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</si>
  <si>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</si>
  <si>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</si>
  <si>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</si>
  <si>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</si>
  <si>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</si>
  <si>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</si>
  <si>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</si>
  <si>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</si>
  <si>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</si>
  <si>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</si>
  <si>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</si>
  <si>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</si>
  <si>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</si>
  <si>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</si>
  <si>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</si>
  <si>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</si>
  <si>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</si>
  <si>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</si>
  <si>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</si>
  <si>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</si>
  <si>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</si>
  <si>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</si>
  <si>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</si>
  <si>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</si>
  <si>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</si>
  <si>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</si>
  <si>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</si>
  <si>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</si>
  <si>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</si>
  <si>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</si>
  <si>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</si>
  <si>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</si>
  <si>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</si>
  <si>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</si>
  <si>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</si>
  <si>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</si>
  <si>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</si>
  <si>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</si>
  <si>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</si>
  <si>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</si>
  <si>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</si>
  <si>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</si>
  <si>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</si>
  <si>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</si>
  <si>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</si>
  <si>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</si>
  <si>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</si>
  <si>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</si>
  <si>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</si>
  <si>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</si>
  <si>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</si>
  <si>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</si>
  <si>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</si>
  <si>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</si>
  <si>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</si>
  <si>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</si>
  <si>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</si>
  <si>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</si>
  <si>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</si>
  <si>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</si>
  <si>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</si>
  <si>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</si>
  <si>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</si>
  <si>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</si>
  <si>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</si>
  <si>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</si>
  <si>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</si>
  <si>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</si>
  <si>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</si>
  <si>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</si>
  <si>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</si>
  <si>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</si>
  <si>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</si>
  <si>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</si>
  <si>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</si>
  <si>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</si>
  <si>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</si>
  <si>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</si>
  <si>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</si>
  <si>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</si>
  <si>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</si>
  <si>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</si>
  <si>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</si>
  <si>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</si>
  <si>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</si>
  <si>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</si>
  <si>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</si>
  <si>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</si>
  <si>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</si>
  <si>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</si>
  <si>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</si>
  <si>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</si>
  <si>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</si>
  <si>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</si>
  <si>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</si>
  <si>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</si>
  <si>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</si>
  <si>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</si>
  <si>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</si>
  <si>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</si>
  <si>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</si>
  <si>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</si>
  <si>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</si>
  <si>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</si>
  <si>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</si>
  <si>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</si>
  <si>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</si>
  <si>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</si>
  <si>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</si>
  <si>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</si>
  <si>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</si>
  <si>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</si>
  <si>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</si>
  <si>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</si>
  <si>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</si>
  <si>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</si>
  <si>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</si>
  <si>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</si>
  <si>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</si>
  <si>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</si>
  <si>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</si>
  <si>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</si>
  <si>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</si>
  <si>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</si>
  <si>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</si>
  <si>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</si>
  <si>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</si>
  <si>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</si>
  <si>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</si>
  <si>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</si>
  <si>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</si>
  <si>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</si>
  <si>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</si>
  <si>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</si>
  <si>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</si>
  <si>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</si>
  <si>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</si>
  <si>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</si>
  <si>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</si>
  <si>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</si>
  <si>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</si>
  <si>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</si>
  <si>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</si>
  <si>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</si>
  <si>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</si>
  <si>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</si>
  <si>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</si>
  <si>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</si>
  <si>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</si>
  <si>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</si>
  <si>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</si>
  <si>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</si>
  <si>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</si>
  <si>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</si>
  <si>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</si>
  <si>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</si>
  <si>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</si>
  <si>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</si>
  <si>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</si>
  <si>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</si>
  <si>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</si>
  <si>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</si>
  <si>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</si>
  <si>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</si>
  <si>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</si>
  <si>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</si>
  <si>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</si>
  <si>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</si>
  <si>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</si>
  <si>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</si>
  <si>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</si>
  <si>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</si>
  <si>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</si>
  <si>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</si>
  <si>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</si>
  <si>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</si>
  <si>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</si>
  <si>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</si>
  <si>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</si>
  <si>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</si>
  <si>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</si>
  <si>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</si>
  <si>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</si>
  <si>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</si>
  <si>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</si>
  <si>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</si>
  <si>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</si>
  <si>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</si>
  <si>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</si>
  <si>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</si>
  <si>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</si>
  <si>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</si>
  <si>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</si>
  <si>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</si>
  <si>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</si>
  <si>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</si>
  <si>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</si>
  <si>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</si>
  <si>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</si>
  <si>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</si>
  <si>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</si>
  <si>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</si>
  <si>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</si>
  <si>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</si>
  <si>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</si>
  <si>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</si>
  <si>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</si>
  <si>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</si>
  <si>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</si>
  <si>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</si>
  <si>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</si>
  <si>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</si>
  <si>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</si>
  <si>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</si>
  <si>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</si>
  <si>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</si>
  <si>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</si>
  <si>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</si>
  <si>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</si>
  <si>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</si>
  <si>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</si>
  <si>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</si>
  <si>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</si>
  <si>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</si>
  <si>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</si>
  <si>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</si>
  <si>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</si>
  <si>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</si>
  <si>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</si>
  <si>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</si>
  <si>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</si>
  <si>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</si>
  <si>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</si>
  <si>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</si>
  <si>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</si>
  <si>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</si>
  <si>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</si>
  <si>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</si>
  <si>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</si>
  <si>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</si>
  <si>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</si>
  <si>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</si>
  <si>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</si>
  <si>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</si>
  <si>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</si>
  <si>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</si>
  <si>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</si>
  <si>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</si>
  <si>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</si>
  <si>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</si>
  <si>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</si>
  <si>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</si>
  <si>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</si>
  <si>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</si>
  <si>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</si>
  <si>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</si>
  <si>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</si>
  <si>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</si>
  <si>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</si>
  <si>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</si>
  <si>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</si>
  <si>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</si>
  <si>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</si>
  <si>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</si>
  <si>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</si>
  <si>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</si>
  <si>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</si>
  <si>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</si>
  <si>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</si>
  <si>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</si>
  <si>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</si>
  <si>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</si>
  <si>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</si>
  <si>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</si>
  <si>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</si>
  <si>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</si>
  <si>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</si>
  <si>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</si>
  <si>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</si>
  <si>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</si>
  <si>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</si>
  <si>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</si>
  <si>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</si>
  <si>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</si>
  <si>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</si>
  <si>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</si>
  <si>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</si>
  <si>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</si>
  <si>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</si>
  <si>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</si>
  <si>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</si>
  <si>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</si>
  <si>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</si>
  <si>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</si>
  <si>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</si>
  <si>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</si>
  <si>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</si>
  <si>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</si>
  <si>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</si>
  <si>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</si>
  <si>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</si>
  <si>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</si>
  <si>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</si>
  <si>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</si>
  <si>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</si>
  <si>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</si>
  <si>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</si>
  <si>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</si>
  <si>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</si>
  <si>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</si>
  <si>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</si>
  <si>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</si>
  <si>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</si>
  <si>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</si>
  <si>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</si>
  <si>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</si>
  <si>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</si>
  <si>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</si>
  <si>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</si>
  <si>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</si>
  <si>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</si>
  <si>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</si>
  <si>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</si>
  <si>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</si>
  <si>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</si>
  <si>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</si>
  <si>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</si>
  <si>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</si>
  <si>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</si>
  <si>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</si>
  <si>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</si>
  <si>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</si>
  <si>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</si>
  <si>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</si>
  <si>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</si>
  <si>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</si>
  <si>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</si>
  <si>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</si>
  <si>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</si>
  <si>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</si>
  <si>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</si>
  <si>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</si>
  <si>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</si>
  <si>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</si>
  <si>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</si>
  <si>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</si>
  <si>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</si>
  <si>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</si>
  <si>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</si>
  <si>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</si>
  <si>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</si>
  <si>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</si>
  <si>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</si>
  <si>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</si>
  <si>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</si>
  <si>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</si>
  <si>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</si>
  <si>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</si>
  <si>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</si>
  <si>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</si>
  <si>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</si>
  <si>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</si>
  <si>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</si>
  <si>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</si>
  <si>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</si>
  <si>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</si>
  <si>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</si>
  <si>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</si>
  <si>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</si>
  <si>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</si>
  <si>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</si>
  <si>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</si>
  <si>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</si>
  <si>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</si>
  <si>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</si>
  <si>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</si>
  <si>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</si>
  <si>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</si>
  <si>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</si>
  <si>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</si>
  <si>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</si>
  <si>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</si>
  <si>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</si>
  <si>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</si>
  <si>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</si>
  <si>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</si>
  <si>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</si>
  <si>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</si>
  <si>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</si>
  <si>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</si>
  <si>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</si>
  <si>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</si>
  <si>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</si>
  <si>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</si>
  <si>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</si>
  <si>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</si>
  <si>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</si>
  <si>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</si>
  <si>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</si>
  <si>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</si>
  <si>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</si>
  <si>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</si>
  <si>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</si>
  <si>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</si>
  <si>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</si>
  <si>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</si>
  <si>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</si>
  <si>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</si>
  <si>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</si>
  <si>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</si>
  <si>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</si>
  <si>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</si>
  <si>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</si>
  <si>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</si>
  <si>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</si>
  <si>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</si>
  <si>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</si>
  <si>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</si>
  <si>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</si>
  <si>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</si>
  <si>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</si>
  <si>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</si>
  <si>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</si>
  <si>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</si>
  <si>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</si>
  <si>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</si>
  <si>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</si>
  <si>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</si>
  <si>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</si>
  <si>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</si>
  <si>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</si>
  <si>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</si>
  <si>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</si>
  <si>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</si>
  <si>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</si>
  <si>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</si>
  <si>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</si>
  <si>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</si>
  <si>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</si>
  <si>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</si>
  <si>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</si>
  <si>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</si>
  <si>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</si>
  <si>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</si>
  <si>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</si>
  <si>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</si>
  <si>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</si>
  <si>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</si>
  <si>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</si>
  <si>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</si>
  <si>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</si>
  <si>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</si>
  <si>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</si>
  <si>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</si>
  <si>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</si>
  <si>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</si>
  <si>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</si>
  <si>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</si>
  <si>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</si>
  <si>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</si>
  <si>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</si>
  <si>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</si>
  <si>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</si>
  <si>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</si>
  <si>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</si>
  <si>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</si>
  <si>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</si>
  <si>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</si>
  <si>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</si>
  <si>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</si>
  <si>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</si>
  <si>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</si>
  <si>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</si>
  <si>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</si>
  <si>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</si>
  <si>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</si>
  <si>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</si>
  <si>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</si>
  <si>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</si>
  <si>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</si>
  <si>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</si>
  <si>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</si>
  <si>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</si>
  <si>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</si>
  <si>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</si>
  <si>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</si>
  <si>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</si>
  <si>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</si>
  <si>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</si>
  <si>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</si>
  <si>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</si>
  <si>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</si>
  <si>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</si>
  <si>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</si>
  <si>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</si>
  <si>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</si>
  <si>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</si>
  <si>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</si>
  <si>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</si>
  <si>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</si>
  <si>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</si>
  <si>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</si>
  <si>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</si>
  <si>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</si>
  <si>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</si>
  <si>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</si>
  <si>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</si>
  <si>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</si>
  <si>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</si>
  <si>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</si>
  <si>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</si>
  <si>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</si>
  <si>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</si>
  <si>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</si>
  <si>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</si>
  <si>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</si>
  <si>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</si>
  <si>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</si>
  <si>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</si>
  <si>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</si>
  <si>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</si>
  <si>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</si>
  <si>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</si>
  <si>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</si>
  <si>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</si>
  <si>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</si>
  <si>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</si>
  <si>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</si>
  <si>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</si>
  <si>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</si>
  <si>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</si>
  <si>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</si>
  <si>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</si>
  <si>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</si>
  <si>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</si>
  <si>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</si>
  <si>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</si>
  <si>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</si>
  <si>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</si>
  <si>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</si>
  <si>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</si>
  <si>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</si>
  <si>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</si>
  <si>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</si>
  <si>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</si>
  <si>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</si>
  <si>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</si>
  <si>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</si>
  <si>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</si>
  <si>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</si>
  <si>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</si>
  <si>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</si>
  <si>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</si>
  <si>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</si>
  <si>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</si>
  <si>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</si>
  <si>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</si>
  <si>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</si>
  <si>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</si>
  <si>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</si>
  <si>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</si>
  <si>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</si>
  <si>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</si>
  <si>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</si>
  <si>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</si>
  <si>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</si>
  <si>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</si>
  <si>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</si>
  <si>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</si>
  <si>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</si>
  <si>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</si>
  <si>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</si>
  <si>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</si>
  <si>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</si>
  <si>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</si>
  <si>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</si>
  <si>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</si>
  <si>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</si>
  <si>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</si>
  <si>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</si>
  <si>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</si>
  <si>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</si>
  <si>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</si>
  <si>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</si>
  <si>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</si>
  <si>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</si>
  <si>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</si>
  <si>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</si>
  <si>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</si>
  <si>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</si>
  <si>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</si>
  <si>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</si>
  <si>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</si>
  <si>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</si>
  <si>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</si>
  <si>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</si>
  <si>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</si>
  <si>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</si>
  <si>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</si>
  <si>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</si>
  <si>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</si>
  <si>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</si>
  <si>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</si>
  <si>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</si>
  <si>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</si>
  <si>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</si>
  <si>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</si>
  <si>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</si>
  <si>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</si>
  <si>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</si>
  <si>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</si>
  <si>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</si>
  <si>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</si>
  <si>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</si>
  <si>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</si>
  <si>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</si>
  <si>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</si>
  <si>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</si>
  <si>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</si>
  <si>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</si>
  <si>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</si>
  <si>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</si>
  <si>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</si>
  <si>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</si>
  <si>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</si>
  <si>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</si>
  <si>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</si>
  <si>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</si>
  <si>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</si>
  <si>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</si>
  <si>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</si>
  <si>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</si>
  <si>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</si>
  <si>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</si>
  <si>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</si>
  <si>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</si>
  <si>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</si>
  <si>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</si>
  <si>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</si>
  <si>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</si>
  <si>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</si>
  <si>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</si>
  <si>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</si>
  <si>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</si>
  <si>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</si>
  <si>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</si>
  <si>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</si>
  <si>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</si>
  <si>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</si>
  <si>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</si>
  <si>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</si>
  <si>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</si>
  <si>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</si>
  <si>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</si>
  <si>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</si>
  <si>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</si>
  <si>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</si>
  <si>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</si>
  <si>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</si>
  <si>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</si>
  <si>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</si>
  <si>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</si>
  <si>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</si>
  <si>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</si>
  <si>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</si>
  <si>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</si>
  <si>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</si>
  <si>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</si>
  <si>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</si>
  <si>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</si>
  <si>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</si>
  <si>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</si>
  <si>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</si>
  <si>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</si>
  <si>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</si>
  <si>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</si>
  <si>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</si>
  <si>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</si>
  <si>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</si>
  <si>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</si>
  <si>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</si>
  <si>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</si>
  <si>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</si>
  <si>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</si>
  <si>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</si>
  <si>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</si>
  <si>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</si>
  <si>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</si>
  <si>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</si>
  <si>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</si>
  <si>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</si>
  <si>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</si>
  <si>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</si>
  <si>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</si>
  <si>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</si>
  <si>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</si>
  <si>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</si>
  <si>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</si>
  <si>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</si>
  <si>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</si>
  <si>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</si>
  <si>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</si>
  <si>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</si>
  <si>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</si>
  <si>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</si>
  <si>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</si>
  <si>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</si>
  <si>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</si>
  <si>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</si>
  <si>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</si>
  <si>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</si>
  <si>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</si>
  <si>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</si>
  <si>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</si>
  <si>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</si>
  <si>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</si>
  <si>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</si>
  <si>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</si>
  <si>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</si>
  <si>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</si>
  <si>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</si>
  <si>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</si>
  <si>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</si>
  <si>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</si>
  <si>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</si>
  <si>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</si>
  <si>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</si>
  <si>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</si>
  <si>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</si>
  <si>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</si>
  <si>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</si>
  <si>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</si>
  <si>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</si>
  <si>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</si>
  <si>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</si>
  <si>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</si>
  <si>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</si>
  <si>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</si>
  <si>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</si>
  <si>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</si>
  <si>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</si>
  <si>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</si>
  <si>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</si>
  <si>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</si>
  <si>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</si>
  <si>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</si>
  <si>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</si>
  <si>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</si>
  <si>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</si>
  <si>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</si>
  <si>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</si>
  <si>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</si>
  <si>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</si>
  <si>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</si>
  <si>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</si>
  <si>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</si>
  <si>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</si>
  <si>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</si>
  <si>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</si>
  <si>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</si>
  <si>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</si>
  <si>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</si>
  <si>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</si>
  <si>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</si>
  <si>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</si>
  <si>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</si>
  <si>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</si>
  <si>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</si>
  <si>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</si>
  <si>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</si>
  <si>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</si>
  <si>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</si>
  <si>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</si>
  <si>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</si>
  <si>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</si>
  <si>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</si>
  <si>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</si>
  <si>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</si>
  <si>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</si>
  <si>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</si>
  <si>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</si>
  <si>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</si>
  <si>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</si>
  <si>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</si>
  <si>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</si>
  <si>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</si>
  <si>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</si>
  <si>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</si>
  <si>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</si>
  <si>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</si>
  <si>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</si>
  <si>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</si>
  <si>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</si>
  <si>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</si>
  <si>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</si>
  <si>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</si>
  <si>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</si>
  <si>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</si>
  <si>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</si>
  <si>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</si>
  <si>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</si>
  <si>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</si>
  <si>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</si>
  <si>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</si>
  <si>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</si>
  <si>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</si>
  <si>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</si>
  <si>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</si>
  <si>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</si>
  <si>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</si>
  <si>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</si>
  <si>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</si>
  <si>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</si>
  <si>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</si>
  <si>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</si>
  <si>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</si>
  <si>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</si>
  <si>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</si>
  <si>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</si>
  <si>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</si>
  <si>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</si>
  <si>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</si>
  <si>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</si>
  <si>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</si>
  <si>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</si>
  <si>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</si>
  <si>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</si>
  <si>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</si>
  <si>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</si>
  <si>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</si>
  <si>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</si>
  <si>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</si>
  <si>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</si>
  <si>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</si>
  <si>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</si>
  <si>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</si>
  <si>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</si>
  <si>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</si>
  <si>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</si>
  <si>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</si>
  <si>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</si>
  <si>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</si>
  <si>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</si>
  <si>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</si>
  <si>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</si>
  <si>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</si>
  <si>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</si>
  <si>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</si>
  <si>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</si>
  <si>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</si>
  <si>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</si>
  <si>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</si>
  <si>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</si>
  <si>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</si>
  <si>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</si>
  <si>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</si>
  <si>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</si>
  <si>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</si>
  <si>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</si>
  <si>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</si>
  <si>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</si>
  <si>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</si>
  <si>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</si>
  <si>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</si>
  <si>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</si>
  <si>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</si>
  <si>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</si>
  <si>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</si>
  <si>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</si>
  <si>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</si>
  <si>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</si>
  <si>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</si>
  <si>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</si>
  <si>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</si>
  <si>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</si>
  <si>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</si>
  <si>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</si>
  <si>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</si>
  <si>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</si>
  <si>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</si>
  <si>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</si>
  <si>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</si>
  <si>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</si>
  <si>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</si>
  <si>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</si>
  <si>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</si>
  <si>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</si>
  <si>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</si>
  <si>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</si>
  <si>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</si>
  <si>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</si>
  <si>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</si>
  <si>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</si>
  <si>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</si>
  <si>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</si>
  <si>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</si>
  <si>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</si>
  <si>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</si>
  <si>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</si>
  <si>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</si>
  <si>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</si>
  <si>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</si>
  <si>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</si>
  <si>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</si>
  <si>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</si>
  <si>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</si>
  <si>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</si>
  <si>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</si>
  <si>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</si>
  <si>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</si>
  <si>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</si>
  <si>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</si>
  <si>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</si>
  <si>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</si>
  <si>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</si>
  <si>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</si>
  <si>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</si>
  <si>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</si>
  <si>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</si>
  <si>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</si>
  <si>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</si>
  <si>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</si>
  <si>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</si>
  <si>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</si>
  <si>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</si>
  <si>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</si>
  <si>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</si>
  <si>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</si>
  <si>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</si>
  <si>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</si>
  <si>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</si>
  <si>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</si>
  <si>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</si>
  <si>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</si>
  <si>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</si>
  <si>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</si>
  <si>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</si>
  <si>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</si>
  <si>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</si>
  <si>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</si>
  <si>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</si>
  <si>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</si>
  <si>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</si>
  <si>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</si>
  <si>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</si>
  <si>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</si>
  <si>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</si>
  <si>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</si>
  <si>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</si>
  <si>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</si>
  <si>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</si>
  <si>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</si>
  <si>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</si>
  <si>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</si>
  <si>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</si>
  <si>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</si>
  <si>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</si>
  <si>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</si>
  <si>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</si>
  <si>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</si>
  <si>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</si>
  <si>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</si>
  <si>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</si>
  <si>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</si>
  <si>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</si>
  <si>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</si>
  <si>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</si>
  <si>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</si>
  <si>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</si>
  <si>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</si>
  <si>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</si>
  <si>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</si>
  <si>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</si>
  <si>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</si>
  <si>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</si>
  <si>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</si>
  <si>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</si>
  <si>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</si>
  <si>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</si>
  <si>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</si>
  <si>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</si>
  <si>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</si>
  <si>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</si>
  <si>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</si>
  <si>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</si>
  <si>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</si>
  <si>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</si>
  <si>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</si>
  <si>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</si>
  <si>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</si>
  <si>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</si>
  <si>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</si>
  <si>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</si>
  <si>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</si>
  <si>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</si>
  <si>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</si>
  <si>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</si>
  <si>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</si>
  <si>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</si>
  <si>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</si>
  <si>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</si>
  <si>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</si>
  <si>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</si>
  <si>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</si>
  <si>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</si>
  <si>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</si>
  <si>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</si>
  <si>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</si>
  <si>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</si>
  <si>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</si>
  <si>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</si>
  <si>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</si>
  <si>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</si>
  <si>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</si>
  <si>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</si>
  <si>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</si>
  <si>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</si>
  <si>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</si>
  <si>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</si>
  <si>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</si>
  <si>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</si>
  <si>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</si>
  <si>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</si>
  <si>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</si>
  <si>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</si>
  <si>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</si>
  <si>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</si>
  <si>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</si>
  <si>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</si>
  <si>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</si>
  <si>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</si>
  <si>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</si>
  <si>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</si>
  <si>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</si>
  <si>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</si>
  <si>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</si>
  <si>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</si>
  <si>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</si>
  <si>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</si>
  <si>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</si>
  <si>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</si>
  <si>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</si>
  <si>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</si>
  <si>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</si>
  <si>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</si>
  <si>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</si>
  <si>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</si>
  <si>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</si>
  <si>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</si>
  <si>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</si>
  <si>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</si>
  <si>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</si>
  <si>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</si>
  <si>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</si>
  <si>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</si>
  <si>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</si>
  <si>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</si>
  <si>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</si>
  <si>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</si>
  <si>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</si>
  <si>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</si>
  <si>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</si>
  <si>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</si>
  <si>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</si>
  <si>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</si>
  <si>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</si>
  <si>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</si>
  <si>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</si>
  <si>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</si>
  <si>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</si>
  <si>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</si>
  <si>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</si>
  <si>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</si>
  <si>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</si>
  <si>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</si>
  <si>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</si>
  <si>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</si>
  <si>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</si>
  <si>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</si>
  <si>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</si>
  <si>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</si>
  <si>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</si>
  <si>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</si>
  <si>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</si>
  <si>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</si>
  <si>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</si>
  <si>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</si>
  <si>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</si>
  <si>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</si>
  <si>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</si>
  <si>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</si>
  <si>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</si>
  <si>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</si>
  <si>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</si>
  <si>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</si>
  <si>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</si>
  <si>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</si>
  <si>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</si>
  <si>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</si>
  <si>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</si>
  <si>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</si>
  <si>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</si>
  <si>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</si>
  <si>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</si>
  <si>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</si>
  <si>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</si>
  <si>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</si>
  <si>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</si>
  <si>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</si>
  <si>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</si>
  <si>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</si>
  <si>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</si>
  <si>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</si>
  <si>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</si>
  <si>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</si>
  <si>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</si>
  <si>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</si>
  <si>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</si>
  <si>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</si>
  <si>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</si>
  <si>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</si>
  <si>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</si>
  <si>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</si>
  <si>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</si>
  <si>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</si>
  <si>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</si>
  <si>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</si>
  <si>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</si>
  <si>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</si>
  <si>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</si>
  <si>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</si>
  <si>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</si>
  <si>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</si>
  <si>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</si>
  <si>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</si>
  <si>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</si>
  <si>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</si>
  <si>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</si>
  <si>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</si>
  <si>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</si>
  <si>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</si>
  <si>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</si>
  <si>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</si>
  <si>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</si>
  <si>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</si>
  <si>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</si>
  <si>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</si>
  <si>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</si>
  <si>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</si>
  <si>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</si>
  <si>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</si>
  <si>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</si>
  <si>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</si>
  <si>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</si>
  <si>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</si>
  <si>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</si>
  <si>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</si>
  <si>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</si>
  <si>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</si>
  <si>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</si>
  <si>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</si>
  <si>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</si>
  <si>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</si>
  <si>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</si>
  <si>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</si>
  <si>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</si>
  <si>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</si>
  <si>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</si>
  <si>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</si>
  <si>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</si>
  <si>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</si>
  <si>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</si>
  <si>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</si>
  <si>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</si>
  <si>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</si>
  <si>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</si>
  <si>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</si>
  <si>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</si>
  <si>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</si>
  <si>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</si>
  <si>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</si>
  <si>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</si>
  <si>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</si>
  <si>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</si>
  <si>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</si>
  <si>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</si>
  <si>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</si>
  <si>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</si>
  <si>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</si>
  <si>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</si>
  <si>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</si>
  <si>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</si>
  <si>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</si>
  <si>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</si>
  <si>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</si>
  <si>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</si>
  <si>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</si>
  <si>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</si>
  <si>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</si>
  <si>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</si>
  <si>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</si>
  <si>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</si>
  <si>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</si>
  <si>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</si>
  <si>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</si>
  <si>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</si>
  <si>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</si>
  <si>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</si>
  <si>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</si>
  <si>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</si>
  <si>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</si>
  <si>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</si>
  <si>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</si>
  <si>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</si>
  <si>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</si>
  <si>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</si>
  <si>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</si>
  <si>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</si>
  <si>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</si>
  <si>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</si>
  <si>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</si>
  <si>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</si>
  <si>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</si>
  <si>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</si>
  <si>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</si>
  <si>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</si>
  <si>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</si>
  <si>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</si>
  <si>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</si>
  <si>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</si>
  <si>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</si>
  <si>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</si>
  <si>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</si>
  <si>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</si>
  <si>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</si>
  <si>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</si>
  <si>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</si>
  <si>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</si>
  <si>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</si>
  <si>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</si>
  <si>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</si>
  <si>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</si>
  <si>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</si>
  <si>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</si>
  <si>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</si>
  <si>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</si>
  <si>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</si>
  <si>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</si>
  <si>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</si>
  <si>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</si>
  <si>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</si>
  <si>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</si>
  <si>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</si>
  <si>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</si>
  <si>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</si>
  <si>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</si>
  <si>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</si>
  <si>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</si>
  <si>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</si>
  <si>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</si>
  <si>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</si>
  <si>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</si>
  <si>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</si>
  <si>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</si>
  <si>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</si>
  <si>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</si>
  <si>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</si>
  <si>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</si>
  <si>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</si>
  <si>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</si>
  <si>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</si>
  <si>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</si>
  <si>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</si>
  <si>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</si>
  <si>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</si>
  <si>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</si>
  <si>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</si>
  <si>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</si>
  <si>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</si>
  <si>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</si>
  <si>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</si>
  <si>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</si>
  <si>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</si>
  <si>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</si>
  <si>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</si>
  <si>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</si>
  <si>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</si>
  <si>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</si>
  <si>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</si>
  <si>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</si>
  <si>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</si>
  <si>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</si>
  <si>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</si>
  <si>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</si>
  <si>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</si>
  <si>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</si>
  <si>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</si>
  <si>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</si>
  <si>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</si>
  <si>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</si>
  <si>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</si>
  <si>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</si>
  <si>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</si>
  <si>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</si>
  <si>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</si>
  <si>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</si>
  <si>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</si>
  <si>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</si>
  <si>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</si>
  <si>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</si>
  <si>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</si>
  <si>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</si>
  <si>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</si>
  <si>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</si>
  <si>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</si>
  <si>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</si>
  <si>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</si>
  <si>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</si>
  <si>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</si>
  <si>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</si>
  <si>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</si>
  <si>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</si>
  <si>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</si>
  <si>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</si>
  <si>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</si>
  <si>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</si>
  <si>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</si>
  <si>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</si>
  <si>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</si>
  <si>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</si>
  <si>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</si>
  <si>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</si>
  <si>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</si>
  <si>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</si>
  <si>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</si>
  <si>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</si>
  <si>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</si>
  <si>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</si>
  <si>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</si>
  <si>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</si>
  <si>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</si>
  <si>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</si>
  <si>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</si>
  <si>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</si>
  <si>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</si>
  <si>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</si>
  <si>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</si>
  <si>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</si>
  <si>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</si>
  <si>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</si>
  <si>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</si>
  <si>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</si>
  <si>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</si>
  <si>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</si>
  <si>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</si>
  <si>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</si>
  <si>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</si>
  <si>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</si>
  <si>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</si>
  <si>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</si>
  <si>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</si>
  <si>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</si>
  <si>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</si>
  <si>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</si>
  <si>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</si>
  <si>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</si>
  <si>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</si>
  <si>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</si>
  <si>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</si>
  <si>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</si>
  <si>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</si>
  <si>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</si>
  <si>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</si>
  <si>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</si>
  <si>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</si>
  <si>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</si>
  <si>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</si>
  <si>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</si>
  <si>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</si>
  <si>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</si>
  <si>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</si>
  <si>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</si>
  <si>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</si>
  <si>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</si>
  <si>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</si>
  <si>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</si>
  <si>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</si>
  <si>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</si>
  <si>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</si>
  <si>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</si>
  <si>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</si>
  <si>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</si>
  <si>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</si>
  <si>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</si>
  <si>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</si>
  <si>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</si>
  <si>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</si>
  <si>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</si>
  <si>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</si>
  <si>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</si>
  <si>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</si>
  <si>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</si>
  <si>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</si>
  <si>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</si>
  <si>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</si>
  <si>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</si>
  <si>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</si>
  <si>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</si>
  <si>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</si>
  <si>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</si>
  <si>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</si>
  <si>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</si>
  <si>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</si>
  <si>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</si>
  <si>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</si>
  <si>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</si>
  <si>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</si>
  <si>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</si>
  <si>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</si>
  <si>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</si>
  <si>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</si>
  <si>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</si>
  <si>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</si>
  <si>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</si>
  <si>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</si>
  <si>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</si>
  <si>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</si>
  <si>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</si>
  <si>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</si>
  <si>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</si>
  <si>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</si>
  <si>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</si>
  <si>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</si>
  <si>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</si>
  <si>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</si>
  <si>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</si>
  <si>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</si>
  <si>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</si>
  <si>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</si>
  <si>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</si>
  <si>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</si>
  <si>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</si>
  <si>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</si>
  <si>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</si>
  <si>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</si>
  <si>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</si>
  <si>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</si>
  <si>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</si>
  <si>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</si>
  <si>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</si>
  <si>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</si>
  <si>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</si>
  <si>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</si>
  <si>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</si>
  <si>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</si>
  <si>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</si>
  <si>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</si>
  <si>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</si>
  <si>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</si>
  <si>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</si>
  <si>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</si>
  <si>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</si>
  <si>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</si>
  <si>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</si>
  <si>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</si>
  <si>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</si>
  <si>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</si>
  <si>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</si>
  <si>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</si>
  <si>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</si>
  <si>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</si>
  <si>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</si>
  <si>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</si>
  <si>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</si>
  <si>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</si>
  <si>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</si>
  <si>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</si>
  <si>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</si>
  <si>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</si>
  <si>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</si>
  <si>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</si>
  <si>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</si>
  <si>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</si>
  <si>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</si>
  <si>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</si>
  <si>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</si>
  <si>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</si>
  <si>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</si>
  <si>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</si>
  <si>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</si>
  <si>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</si>
  <si>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</si>
  <si>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</si>
  <si>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</si>
  <si>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</si>
  <si>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</si>
  <si>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</si>
  <si>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</si>
  <si>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</si>
  <si>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</si>
  <si>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</si>
  <si>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</si>
  <si>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</si>
  <si>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</si>
  <si>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</si>
  <si>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</si>
  <si>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</si>
  <si>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</si>
  <si>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</si>
  <si>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</si>
  <si>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</si>
  <si>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</si>
  <si>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</si>
  <si>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</si>
  <si>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</si>
  <si>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</si>
  <si>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</si>
  <si>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</si>
  <si>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</si>
  <si>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</si>
  <si>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</si>
  <si>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</si>
  <si>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</si>
  <si>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</si>
  <si>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</si>
  <si>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</si>
  <si>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</si>
  <si>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</si>
  <si>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</si>
  <si>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</si>
  <si>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</si>
  <si>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</si>
  <si>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</si>
  <si>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</si>
  <si>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</si>
  <si>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</si>
  <si>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</si>
  <si>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</si>
  <si>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</si>
  <si>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</si>
  <si>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</si>
  <si>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</si>
  <si>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</si>
  <si>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</si>
  <si>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</si>
  <si>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</si>
  <si>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</si>
  <si>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</si>
  <si>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</si>
  <si>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</si>
  <si>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</si>
  <si>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</si>
  <si>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</si>
  <si>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</si>
  <si>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</si>
  <si>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</si>
  <si>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</si>
  <si>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</si>
  <si>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</si>
  <si>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</si>
  <si>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</si>
  <si>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</si>
  <si>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</si>
  <si>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</si>
  <si>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</si>
  <si>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</si>
  <si>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</si>
  <si>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</si>
  <si>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</si>
  <si>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</si>
  <si>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</si>
  <si>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</si>
  <si>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</si>
  <si>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</si>
  <si>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</si>
  <si>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</si>
  <si>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</si>
  <si>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</si>
  <si>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</si>
  <si>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</si>
  <si>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</si>
  <si>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</si>
  <si>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</si>
  <si>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</si>
  <si>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</si>
  <si>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</si>
  <si>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</si>
  <si>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</si>
  <si>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</si>
  <si>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</si>
  <si>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</si>
  <si>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</si>
  <si>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</si>
  <si>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</si>
  <si>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</si>
  <si>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</si>
  <si>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</si>
  <si>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</si>
  <si>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</si>
  <si>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</si>
  <si>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</si>
  <si>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</si>
  <si>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</si>
  <si>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</si>
  <si>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</si>
  <si>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</si>
  <si>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</si>
  <si>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</si>
  <si>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</si>
  <si>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</si>
  <si>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</si>
  <si>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</si>
  <si>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</si>
  <si>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</si>
  <si>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</si>
  <si>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</si>
  <si>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</si>
  <si>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</si>
  <si>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</si>
  <si>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</si>
  <si>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</si>
  <si>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</si>
  <si>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</si>
  <si>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</si>
  <si>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</si>
  <si>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</si>
  <si>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</si>
  <si>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</si>
  <si>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</si>
  <si>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</si>
  <si>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</si>
  <si>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</si>
  <si>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</si>
  <si>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</si>
  <si>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</si>
  <si>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</si>
  <si>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</si>
  <si>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</si>
  <si>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</si>
  <si>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</si>
  <si>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</si>
  <si>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</si>
  <si>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</si>
  <si>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</si>
  <si>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</si>
  <si>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</si>
  <si>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</si>
  <si>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</si>
  <si>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</si>
  <si>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</si>
  <si>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</si>
  <si>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</si>
  <si>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</si>
  <si>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</si>
  <si>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</si>
  <si>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</si>
  <si>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</si>
  <si>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</si>
  <si>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</si>
  <si>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</si>
  <si>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</si>
  <si>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</si>
  <si>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</si>
  <si>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</si>
  <si>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</si>
  <si>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</si>
  <si>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</si>
  <si>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</si>
  <si>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</si>
  <si>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</si>
  <si>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</si>
  <si>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</si>
  <si>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</si>
  <si>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</si>
  <si>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</si>
  <si>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</si>
  <si>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</si>
  <si>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</si>
  <si>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</si>
  <si>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</si>
  <si>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</si>
  <si>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</si>
  <si>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</si>
  <si>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</si>
  <si>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</si>
  <si>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</si>
  <si>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</si>
  <si>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</si>
  <si>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</si>
  <si>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</si>
  <si>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</si>
  <si>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</si>
  <si>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</si>
  <si>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</si>
  <si>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</si>
  <si>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</si>
  <si>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</si>
  <si>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</si>
  <si>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</si>
  <si>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</si>
  <si>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</si>
  <si>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</si>
  <si>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</si>
  <si>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</si>
  <si>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</si>
  <si>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</si>
  <si>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</si>
  <si>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</si>
  <si>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</si>
  <si>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</si>
  <si>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</si>
  <si>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</si>
  <si>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</si>
  <si>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</si>
  <si>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</si>
  <si>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</si>
  <si>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</si>
  <si>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</si>
  <si>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</si>
  <si>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</si>
  <si>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</si>
  <si>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</si>
  <si>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</si>
  <si>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</si>
  <si>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</si>
  <si>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</si>
  <si>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</si>
  <si>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</si>
  <si>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</si>
  <si>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</si>
  <si>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</si>
  <si>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</si>
  <si>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</si>
  <si>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</si>
  <si>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</si>
  <si>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</si>
  <si>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</si>
  <si>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</si>
  <si>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</si>
  <si>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</si>
  <si>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</si>
  <si>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</si>
  <si>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</si>
  <si>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</si>
  <si>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</si>
  <si>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</si>
  <si>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</si>
  <si>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</si>
  <si>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</si>
  <si>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</si>
  <si>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</si>
  <si>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</si>
  <si>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</si>
  <si>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</si>
  <si>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</si>
  <si>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</si>
  <si>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</si>
  <si>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</si>
  <si>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</si>
  <si>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</si>
  <si>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</si>
  <si>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</si>
  <si>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</si>
  <si>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</si>
  <si>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</si>
  <si>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</si>
  <si>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</si>
  <si>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</si>
  <si>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</si>
  <si>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</si>
  <si>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</si>
  <si>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</si>
  <si>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</si>
  <si>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</si>
  <si>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</si>
  <si>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</si>
  <si>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</si>
  <si>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</si>
  <si>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</si>
  <si>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</si>
  <si>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</si>
  <si>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</si>
  <si>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</si>
  <si>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</si>
  <si>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</si>
  <si>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</si>
  <si>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</si>
  <si>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</si>
  <si>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</si>
  <si>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</si>
  <si>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</si>
  <si>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</si>
  <si>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</si>
  <si>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</si>
  <si>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</si>
  <si>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</si>
  <si>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</si>
  <si>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</si>
  <si>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</si>
  <si>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</si>
  <si>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</si>
  <si>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</si>
  <si>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</si>
  <si>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</si>
  <si>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</si>
  <si>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</si>
  <si>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</si>
  <si>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</si>
  <si>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</si>
  <si>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</si>
  <si>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</si>
  <si>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</si>
  <si>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</si>
  <si>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</si>
  <si>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</si>
  <si>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</si>
  <si>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</si>
  <si>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</si>
  <si>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</si>
  <si>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</si>
  <si>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</si>
  <si>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</si>
  <si>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</si>
  <si>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</si>
  <si>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</si>
  <si>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</si>
  <si>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</si>
  <si>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</si>
  <si>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</si>
  <si>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</si>
  <si>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</si>
  <si>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</si>
  <si>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</si>
  <si>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</si>
  <si>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</si>
  <si>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</si>
  <si>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</si>
  <si>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</si>
  <si>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</si>
  <si>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</si>
  <si>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</si>
  <si>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</si>
  <si>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</si>
  <si>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</si>
  <si>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</si>
  <si>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</si>
  <si>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</si>
  <si>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</si>
  <si>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</si>
  <si>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</si>
  <si>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</si>
  <si>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</si>
  <si>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</si>
  <si>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</si>
  <si>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</si>
  <si>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</si>
  <si>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</si>
  <si>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</si>
  <si>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</si>
  <si>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</si>
  <si>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</si>
  <si>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</si>
  <si>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</si>
  <si>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</si>
  <si>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</si>
  <si>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</si>
  <si>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</si>
  <si>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</si>
  <si>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</si>
  <si>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</si>
  <si>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</si>
  <si>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</si>
  <si>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</si>
  <si>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</si>
  <si>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</si>
  <si>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</si>
  <si>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</si>
  <si>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</si>
  <si>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</si>
  <si>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</si>
  <si>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</si>
  <si>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</si>
  <si>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</si>
  <si>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</si>
  <si>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</si>
  <si>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</si>
  <si>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</si>
  <si>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</si>
  <si>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</si>
  <si>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</si>
  <si>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</si>
  <si>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</si>
  <si>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</si>
  <si>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</si>
  <si>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</si>
  <si>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</si>
  <si>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</si>
  <si>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</si>
  <si>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</si>
  <si>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</si>
  <si>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</si>
  <si>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</si>
  <si>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</si>
  <si>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</si>
  <si>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</si>
  <si>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</si>
  <si>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</si>
  <si>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</si>
  <si>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</si>
  <si>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</si>
  <si>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</si>
  <si>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</si>
  <si>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</si>
  <si>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</si>
  <si>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</si>
  <si>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</si>
  <si>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</si>
  <si>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</si>
  <si>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</si>
  <si>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</si>
  <si>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</si>
  <si>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</si>
  <si>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</si>
  <si>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</si>
  <si>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</si>
  <si>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</si>
  <si>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</si>
  <si>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</si>
  <si>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</si>
  <si>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</si>
  <si>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</si>
  <si>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</si>
  <si>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</si>
  <si>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</si>
  <si>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</si>
  <si>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</si>
  <si>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</si>
  <si>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</si>
  <si>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</si>
  <si>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</si>
  <si>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</si>
  <si>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</si>
  <si>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</si>
  <si>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</si>
  <si>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</si>
  <si>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</si>
  <si>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</si>
  <si>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</si>
  <si>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</si>
  <si>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</si>
  <si>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</si>
  <si>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</si>
  <si>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</si>
  <si>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</si>
  <si>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</si>
  <si>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</si>
  <si>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</si>
  <si>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</si>
  <si>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</si>
  <si>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</si>
  <si>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</si>
  <si>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</si>
  <si>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</si>
  <si>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</si>
  <si>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</si>
  <si>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</si>
  <si>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</si>
  <si>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</si>
  <si>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</si>
  <si>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</si>
  <si>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</si>
  <si>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</si>
  <si>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</si>
  <si>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</si>
  <si>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</si>
  <si>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</si>
  <si>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</si>
  <si>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</si>
  <si>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</si>
  <si>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</si>
  <si>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</si>
  <si>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</si>
  <si>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</si>
  <si>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</si>
  <si>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</si>
  <si>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</si>
  <si>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</si>
  <si>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</si>
  <si>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</si>
  <si>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</si>
  <si>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</si>
  <si>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</si>
  <si>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</si>
  <si>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</si>
  <si>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</si>
  <si>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</si>
  <si>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</si>
  <si>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</si>
  <si>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</si>
  <si>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</si>
  <si>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</si>
  <si>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</si>
  <si>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</si>
  <si>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</si>
  <si>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</si>
  <si>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</si>
  <si>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</si>
  <si>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</si>
  <si>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</si>
  <si>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</si>
  <si>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</si>
  <si>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</si>
  <si>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</si>
  <si>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</si>
  <si>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</si>
  <si>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</si>
  <si>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</si>
  <si>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</si>
  <si>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</si>
  <si>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</si>
  <si>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</si>
  <si>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</si>
  <si>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</si>
  <si>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</si>
  <si>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</si>
  <si>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</si>
  <si>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</si>
  <si>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</si>
  <si>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</si>
  <si>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</si>
  <si>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</si>
  <si>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</si>
  <si>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</si>
  <si>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</si>
  <si>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</si>
  <si>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</si>
  <si>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</si>
  <si>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</si>
  <si>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</si>
  <si>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</si>
  <si>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</si>
  <si>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</si>
  <si>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</si>
  <si>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</si>
  <si>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</si>
  <si>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</si>
  <si>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</si>
  <si>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</si>
  <si>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</si>
  <si>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</si>
  <si>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</si>
  <si>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</si>
  <si>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</si>
  <si>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</si>
  <si>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</si>
  <si>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</si>
  <si>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</si>
  <si>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</si>
  <si>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</si>
  <si>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</si>
  <si>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</si>
  <si>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</si>
  <si>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</si>
  <si>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</si>
  <si>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</si>
  <si>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</si>
  <si>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</si>
  <si>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</si>
  <si>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</si>
  <si>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</si>
  <si>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</si>
  <si>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</si>
  <si>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</si>
  <si>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</si>
  <si>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</si>
  <si>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</si>
  <si>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</si>
  <si>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</si>
  <si>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</si>
  <si>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</si>
  <si>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</si>
  <si>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</si>
  <si>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</si>
  <si>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</si>
  <si>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</si>
  <si>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</si>
  <si>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</si>
  <si>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</si>
  <si>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</si>
  <si>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</si>
  <si>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</si>
  <si>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</si>
  <si>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</si>
  <si>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</si>
  <si>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</si>
  <si>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</si>
  <si>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</si>
  <si>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</si>
  <si>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</si>
  <si>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</si>
  <si>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</si>
  <si>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</si>
  <si>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</si>
  <si>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</si>
  <si>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</si>
  <si>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</si>
  <si>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</si>
  <si>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</si>
  <si>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</si>
  <si>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</si>
  <si>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</si>
  <si>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</si>
  <si>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</si>
  <si>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</si>
  <si>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</si>
  <si>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</si>
  <si>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</si>
  <si>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</si>
  <si>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</si>
  <si>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</si>
  <si>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</si>
  <si>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</si>
  <si>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</si>
  <si>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</si>
  <si>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</si>
  <si>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</si>
  <si>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</si>
  <si>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</si>
  <si>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</si>
  <si>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</si>
  <si>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</si>
  <si>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</si>
  <si>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</si>
  <si>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</si>
  <si>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</si>
  <si>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</si>
  <si>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</si>
  <si>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</si>
  <si>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</si>
  <si>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</si>
  <si>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</si>
  <si>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</si>
  <si>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</si>
  <si>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</si>
  <si>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</si>
  <si>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</si>
  <si>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</si>
  <si>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</si>
  <si>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</si>
  <si>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</si>
  <si>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</si>
  <si>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</si>
  <si>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</si>
  <si>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</si>
  <si>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</si>
  <si>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</si>
  <si>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</si>
  <si>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</si>
  <si>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</si>
  <si>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</si>
  <si>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</si>
  <si>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</si>
  <si>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</si>
  <si>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</si>
  <si>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</si>
  <si>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</si>
  <si>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</si>
  <si>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</si>
  <si>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</si>
  <si>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</si>
  <si>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</si>
  <si>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</si>
  <si>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</si>
  <si>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</si>
  <si>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</si>
  <si>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</si>
  <si>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</si>
  <si>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</si>
  <si>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</si>
  <si>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</si>
  <si>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</si>
  <si>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</si>
  <si>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</si>
  <si>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</si>
  <si>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</si>
  <si>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</si>
  <si>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</si>
  <si>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</si>
  <si>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</si>
  <si>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</si>
  <si>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</si>
  <si>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</si>
  <si>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</si>
  <si>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</si>
  <si>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</si>
  <si>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</si>
  <si>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</si>
  <si>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</si>
  <si>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</si>
  <si>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</si>
  <si>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</si>
  <si>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</si>
  <si>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</si>
  <si>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</si>
  <si>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</si>
  <si>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</si>
  <si>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</si>
  <si>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</si>
  <si>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</si>
  <si>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</si>
  <si>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</si>
  <si>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</si>
  <si>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</si>
  <si>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</si>
  <si>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</si>
  <si>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</si>
  <si>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</si>
  <si>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</si>
  <si>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</si>
  <si>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</si>
  <si>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</si>
  <si>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</si>
  <si>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</si>
  <si>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</si>
  <si>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</si>
  <si>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</si>
  <si>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</si>
  <si>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</si>
  <si>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</si>
  <si>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</si>
  <si>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</si>
  <si>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</si>
  <si>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</si>
  <si>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</si>
  <si>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</si>
  <si>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</si>
  <si>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</si>
  <si>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</si>
  <si>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</si>
  <si>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</si>
  <si>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</si>
  <si>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</si>
  <si>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</si>
  <si>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</si>
  <si>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</si>
  <si>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</si>
  <si>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</si>
  <si>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</si>
  <si>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</si>
  <si>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</si>
  <si>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</si>
  <si>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</si>
  <si>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</si>
  <si>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</si>
  <si>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</si>
  <si>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</si>
  <si>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</si>
  <si>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</si>
  <si>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</si>
  <si>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</si>
  <si>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</si>
  <si>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</si>
  <si>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</si>
  <si>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</si>
  <si>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</si>
  <si>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</si>
  <si>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</si>
  <si>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</si>
  <si>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</si>
  <si>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</si>
  <si>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</si>
  <si>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</si>
  <si>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</si>
  <si>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</si>
  <si>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</si>
  <si>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</si>
  <si>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</si>
  <si>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</si>
  <si>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</si>
  <si>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</si>
  <si>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</si>
  <si>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</si>
  <si>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</si>
  <si>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</si>
  <si>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</si>
  <si>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</si>
  <si>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</si>
  <si>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</si>
  <si>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</si>
  <si>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</si>
  <si>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</si>
  <si>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</si>
  <si>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</si>
  <si>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</si>
  <si>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</si>
  <si>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</si>
  <si>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</si>
  <si>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</si>
  <si>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</si>
  <si>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</si>
  <si>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</si>
  <si>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</si>
  <si>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</si>
  <si>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</si>
  <si>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</si>
  <si>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</si>
  <si>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</si>
  <si>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</si>
  <si>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</si>
  <si>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</si>
  <si>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</si>
  <si>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</si>
  <si>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</si>
  <si>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</si>
  <si>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</si>
  <si>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</si>
  <si>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</si>
  <si>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</si>
  <si>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</si>
  <si>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</si>
  <si>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</si>
  <si>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</si>
  <si>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</si>
  <si>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</si>
  <si>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</si>
  <si>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</si>
  <si>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</si>
  <si>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</si>
  <si>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</si>
  <si>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</si>
  <si>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</si>
  <si>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</si>
  <si>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</si>
  <si>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</si>
  <si>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</si>
  <si>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</si>
  <si>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</si>
  <si>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</si>
  <si>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</si>
  <si>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</si>
  <si>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</si>
  <si>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</si>
  <si>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</si>
  <si>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</si>
  <si>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</si>
  <si>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</si>
  <si>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</si>
  <si>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</si>
  <si>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</si>
  <si>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</si>
  <si>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</si>
  <si>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</si>
  <si>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</si>
  <si>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</si>
  <si>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</si>
  <si>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</si>
  <si>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</si>
  <si>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</si>
  <si>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</si>
  <si>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</si>
  <si>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</si>
  <si>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</si>
  <si>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</si>
  <si>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</si>
  <si>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</si>
  <si>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</si>
  <si>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</si>
  <si>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</si>
  <si>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</si>
  <si>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</si>
  <si>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</si>
  <si>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</si>
  <si>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</si>
  <si>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</si>
  <si>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</si>
  <si>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</si>
  <si>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</si>
  <si>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</si>
  <si>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</si>
  <si>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</si>
  <si>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</si>
  <si>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</si>
  <si>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</si>
  <si>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</si>
  <si>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</si>
  <si>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</si>
  <si>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</si>
  <si>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</si>
  <si>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</si>
  <si>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</si>
  <si>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</si>
  <si>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</si>
  <si>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</si>
  <si>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</si>
  <si>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</si>
  <si>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</si>
  <si>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</si>
  <si>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</si>
  <si>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</si>
  <si>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</si>
  <si>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</si>
  <si>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</si>
  <si>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</si>
  <si>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</si>
  <si>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</si>
  <si>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</si>
  <si>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</si>
  <si>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</si>
  <si>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</si>
  <si>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</si>
  <si>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</si>
  <si>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</si>
  <si>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</si>
  <si>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</si>
  <si>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</si>
  <si>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</si>
  <si>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</si>
  <si>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</si>
  <si>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</si>
  <si>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</si>
  <si>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</si>
  <si>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</si>
  <si>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</si>
  <si>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</si>
  <si>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</si>
  <si>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</si>
  <si>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</si>
  <si>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</si>
  <si>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</si>
  <si>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</si>
  <si>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</si>
  <si>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</si>
  <si>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</si>
  <si>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</si>
  <si>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</si>
  <si>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</si>
  <si>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</si>
  <si>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</si>
  <si>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</si>
  <si>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</si>
  <si>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</si>
  <si>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</si>
  <si>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</si>
  <si>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</si>
  <si>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</si>
  <si>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</si>
  <si>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</si>
  <si>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</si>
  <si>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</si>
  <si>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</si>
  <si>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</si>
  <si>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</si>
  <si>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</si>
  <si>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</si>
  <si>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</si>
  <si>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</si>
  <si>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</si>
  <si>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</si>
  <si>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</si>
  <si>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</si>
  <si>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</si>
  <si>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</si>
  <si>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</si>
  <si>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</si>
  <si>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</si>
  <si>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</si>
  <si>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</si>
  <si>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</si>
  <si>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</si>
  <si>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</si>
  <si>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</si>
  <si>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</si>
  <si>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</si>
  <si>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</si>
  <si>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</si>
  <si>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</si>
  <si>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</si>
  <si>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</si>
  <si>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</si>
  <si>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</si>
  <si>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</si>
  <si>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</si>
  <si>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</si>
  <si>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</si>
  <si>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</si>
  <si>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</si>
  <si>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</si>
  <si>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</si>
  <si>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</si>
  <si>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</si>
  <si>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</si>
  <si>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</si>
  <si>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</si>
  <si>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</si>
  <si>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</si>
  <si>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</si>
  <si>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</si>
  <si>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</si>
  <si>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</si>
  <si>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</si>
  <si>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</si>
  <si>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</si>
  <si>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</si>
  <si>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</si>
  <si>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</si>
  <si>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</si>
  <si>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</si>
  <si>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</si>
  <si>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</si>
  <si>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</si>
  <si>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</si>
  <si>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</si>
  <si>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</si>
  <si>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</si>
  <si>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</si>
  <si>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</si>
  <si>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</si>
  <si>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</si>
  <si>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</si>
  <si>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</si>
  <si>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</si>
  <si>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</si>
  <si>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</si>
  <si>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</si>
  <si>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</si>
  <si>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</si>
  <si>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</si>
  <si>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</si>
  <si>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</si>
  <si>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</si>
  <si>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</si>
  <si>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</si>
  <si>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</si>
  <si>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</si>
  <si>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</si>
  <si>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</si>
  <si>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</si>
  <si>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</si>
  <si>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</si>
  <si>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</si>
  <si>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</si>
  <si>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</si>
  <si>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</si>
  <si>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</si>
  <si>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</si>
  <si>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</si>
  <si>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</si>
  <si>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</si>
  <si>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</si>
  <si>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</si>
  <si>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</si>
  <si>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</si>
  <si>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</si>
  <si>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</si>
  <si>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</si>
  <si>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</si>
  <si>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</si>
  <si>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</si>
  <si>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</si>
  <si>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</si>
  <si>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</si>
  <si>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</si>
  <si>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</si>
  <si>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</si>
  <si>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</si>
  <si>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</si>
  <si>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</si>
  <si>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</si>
  <si>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</si>
  <si>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</si>
  <si>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</si>
  <si>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</si>
  <si>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</si>
  <si>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</si>
  <si>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</si>
  <si>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</si>
  <si>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</si>
  <si>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</si>
  <si>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</si>
  <si>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</si>
  <si>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</si>
  <si>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</si>
  <si>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</si>
  <si>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</si>
  <si>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</si>
  <si>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</si>
  <si>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</si>
  <si>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</si>
  <si>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</si>
  <si>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</si>
  <si>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</si>
  <si>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</si>
  <si>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</si>
  <si>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</si>
  <si>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</si>
  <si>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</si>
  <si>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</si>
  <si>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</si>
  <si>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</si>
  <si>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</si>
  <si>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</si>
  <si>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</si>
  <si>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</si>
  <si>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</si>
  <si>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</si>
  <si>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</si>
  <si>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</si>
  <si>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</si>
  <si>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</si>
  <si>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</si>
  <si>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</si>
  <si>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</si>
  <si>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</si>
  <si>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</si>
  <si>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</si>
  <si>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</si>
  <si>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</si>
  <si>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</si>
  <si>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</si>
  <si>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</si>
  <si>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</si>
  <si>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</si>
  <si>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</si>
  <si>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</si>
  <si>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</si>
  <si>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</si>
  <si>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</si>
  <si>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</si>
  <si>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</si>
  <si>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</si>
  <si>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</si>
  <si>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</si>
  <si>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</si>
  <si>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</si>
  <si>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</si>
  <si>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</si>
  <si>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</si>
  <si>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</si>
  <si>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</si>
  <si>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</si>
  <si>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</si>
  <si>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</si>
  <si>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</si>
  <si>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</si>
  <si>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</si>
  <si>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</si>
  <si>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</si>
  <si>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</si>
  <si>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</si>
  <si>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</si>
  <si>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</si>
  <si>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</si>
  <si>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</si>
  <si>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</si>
  <si>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</si>
  <si>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</si>
  <si>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</si>
  <si>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</si>
  <si>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</si>
  <si>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</si>
  <si>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</si>
  <si>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</si>
  <si>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</si>
  <si>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</si>
  <si>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</si>
  <si>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</si>
  <si>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</si>
  <si>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</si>
  <si>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</si>
  <si>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</si>
  <si>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</si>
  <si>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</si>
  <si>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</si>
  <si>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</si>
  <si>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</si>
  <si>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</si>
  <si>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</si>
  <si>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</si>
  <si>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</si>
  <si>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</si>
  <si>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</si>
  <si>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</si>
  <si>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</si>
  <si>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</si>
  <si>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</si>
  <si>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</si>
  <si>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</si>
  <si>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</si>
  <si>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</si>
  <si>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</si>
  <si>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</si>
  <si>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</si>
  <si>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</si>
  <si>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</si>
  <si>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</si>
  <si>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</si>
  <si>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</si>
  <si>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</si>
  <si>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</si>
  <si>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</si>
  <si>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</si>
  <si>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</si>
  <si>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</si>
  <si>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</si>
  <si>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</si>
  <si>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</si>
  <si>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</si>
  <si>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</si>
  <si>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</si>
  <si>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</si>
  <si>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</si>
  <si>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</si>
  <si>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</si>
  <si>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</si>
  <si>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</si>
  <si>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</si>
  <si>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</si>
  <si>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</si>
  <si>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</si>
  <si>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</si>
  <si>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</si>
  <si>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</si>
  <si>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</si>
  <si>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</si>
  <si>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</si>
  <si>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</si>
  <si>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</si>
  <si>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</si>
  <si>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</si>
  <si>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</si>
  <si>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</si>
  <si>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</si>
  <si>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</si>
  <si>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</si>
  <si>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</si>
  <si>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</si>
  <si>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</si>
  <si>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</si>
  <si>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</si>
  <si>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</si>
  <si>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</si>
  <si>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</si>
  <si>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</si>
  <si>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</si>
  <si>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</si>
  <si>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</si>
  <si>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</si>
  <si>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</si>
  <si>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</si>
  <si>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</si>
  <si>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</si>
  <si>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</si>
  <si>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</si>
  <si>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</si>
  <si>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</si>
  <si>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</si>
  <si>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</si>
  <si>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</si>
  <si>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</si>
  <si>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</si>
  <si>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</si>
  <si>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</si>
  <si>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</si>
  <si>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</si>
  <si>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</si>
  <si>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</si>
  <si>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</si>
  <si>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</si>
  <si>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</si>
  <si>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</si>
  <si>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</si>
  <si>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</si>
  <si>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</si>
  <si>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</si>
  <si>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</si>
  <si>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</si>
  <si>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</si>
  <si>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</si>
  <si>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</si>
  <si>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</si>
  <si>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</si>
  <si>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</si>
  <si>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</si>
  <si>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</si>
  <si>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</si>
  <si>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</si>
  <si>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</si>
  <si>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</si>
  <si>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</si>
  <si>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</si>
  <si>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</si>
  <si>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</si>
  <si>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</si>
  <si>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</si>
  <si>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</si>
  <si>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</si>
  <si>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</si>
  <si>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</si>
  <si>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</si>
  <si>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</si>
  <si>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</si>
  <si>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</si>
  <si>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</si>
  <si>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</si>
  <si>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</si>
  <si>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</si>
  <si>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</si>
  <si>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</si>
  <si>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</si>
  <si>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</si>
  <si>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</si>
  <si>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</si>
  <si>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</si>
  <si>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</si>
  <si>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</si>
  <si>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</si>
  <si>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</si>
  <si>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</si>
  <si>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</si>
  <si>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</si>
  <si>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</si>
  <si>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</si>
  <si>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</si>
  <si>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</si>
  <si>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</si>
  <si>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</si>
  <si>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</si>
  <si>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</si>
  <si>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</si>
  <si>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</si>
  <si>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</si>
  <si>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</si>
  <si>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</si>
  <si>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</si>
  <si>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</si>
  <si>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</si>
  <si>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</si>
  <si>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</si>
  <si>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</si>
  <si>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</si>
  <si>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</si>
  <si>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</si>
  <si>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</si>
  <si>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</si>
  <si>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</si>
  <si>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</si>
  <si>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</si>
  <si>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</si>
  <si>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</si>
  <si>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</si>
  <si>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</si>
  <si>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</si>
  <si>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</si>
  <si>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</si>
  <si>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</si>
  <si>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</si>
  <si>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</si>
  <si>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</si>
  <si>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</si>
  <si>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</si>
  <si>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</si>
  <si>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</si>
  <si>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</si>
  <si>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</si>
  <si>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</si>
  <si>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</si>
  <si>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</si>
  <si>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</si>
  <si>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</si>
  <si>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</si>
  <si>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</si>
  <si>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</si>
  <si>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</si>
  <si>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</si>
  <si>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</si>
  <si>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</si>
  <si>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</si>
  <si>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</si>
  <si>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</si>
  <si>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</si>
  <si>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</si>
  <si>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</si>
  <si>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</si>
  <si>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</si>
  <si>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</si>
  <si>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</si>
  <si>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</si>
  <si>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</si>
  <si>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</si>
  <si>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</si>
  <si>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</si>
  <si>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</si>
  <si>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</si>
  <si>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</si>
  <si>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</si>
  <si>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</si>
  <si>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</si>
  <si>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</si>
  <si>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</si>
  <si>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</si>
  <si>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</si>
  <si>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</si>
  <si>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</si>
  <si>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</si>
  <si>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</si>
  <si>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</si>
  <si>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</si>
  <si>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</si>
  <si>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</si>
  <si>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</si>
  <si>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</si>
  <si>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</si>
  <si>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</si>
  <si>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</si>
  <si>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</si>
  <si>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</si>
  <si>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</si>
  <si>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</si>
  <si>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</si>
  <si>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</si>
  <si>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</si>
  <si>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</si>
  <si>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</si>
  <si>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</si>
  <si>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</si>
  <si>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</si>
  <si>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</si>
  <si>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</si>
  <si>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</si>
  <si>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</si>
  <si>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</si>
  <si>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</si>
  <si>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</si>
  <si>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</si>
  <si>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</si>
  <si>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</si>
  <si>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</si>
  <si>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</si>
  <si>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</si>
  <si>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</si>
  <si>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</si>
  <si>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</si>
  <si>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</si>
  <si>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</si>
  <si>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</si>
  <si>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</si>
  <si>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</si>
  <si>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</si>
  <si>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</si>
  <si>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</si>
  <si>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</si>
  <si>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</si>
  <si>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</si>
  <si>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</si>
  <si>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</si>
  <si>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</si>
  <si>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</si>
  <si>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</si>
  <si>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</si>
  <si>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</si>
  <si>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</si>
  <si>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</si>
  <si>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</si>
  <si>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</si>
  <si>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</si>
  <si>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</si>
  <si>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</si>
  <si>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</si>
  <si>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</si>
  <si>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</si>
  <si>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</si>
  <si>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</si>
  <si>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</si>
  <si>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</si>
  <si>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</si>
  <si>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</si>
  <si>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</si>
  <si>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</si>
  <si>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</si>
  <si>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</si>
  <si>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</si>
  <si>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</si>
  <si>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</si>
  <si>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</si>
  <si>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</si>
  <si>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</si>
  <si>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</si>
  <si>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</si>
  <si>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</si>
  <si>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</si>
  <si>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</si>
  <si>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</si>
  <si>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</si>
  <si>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</si>
  <si>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</si>
  <si>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</si>
  <si>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</si>
  <si>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</si>
  <si>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</si>
  <si>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</si>
  <si>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</si>
  <si>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</si>
  <si>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</si>
  <si>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</si>
  <si>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</si>
  <si>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</si>
  <si>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</si>
  <si>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</si>
  <si>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</si>
  <si>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</si>
  <si>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</si>
  <si>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</si>
  <si>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</si>
  <si>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</si>
  <si>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</si>
  <si>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</si>
  <si>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</si>
  <si>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</si>
  <si>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</si>
  <si>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</si>
  <si>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</si>
  <si>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</si>
  <si>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</si>
  <si>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</si>
  <si>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</si>
  <si>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</si>
  <si>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</si>
  <si>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</si>
  <si>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</si>
  <si>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</si>
  <si>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</si>
  <si>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</si>
  <si>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</si>
  <si>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</si>
  <si>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</si>
  <si>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</si>
  <si>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</si>
  <si>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</si>
  <si>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</si>
  <si>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</si>
  <si>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</si>
  <si>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</si>
  <si>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</si>
  <si>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</si>
  <si>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</si>
  <si>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</si>
  <si>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</si>
  <si>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</si>
  <si>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</si>
  <si>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</si>
  <si>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</si>
  <si>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</si>
  <si>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</si>
  <si>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</si>
  <si>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</si>
  <si>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</si>
  <si>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</si>
  <si>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</si>
  <si>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</si>
  <si>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</si>
  <si>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</si>
  <si>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</si>
  <si>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</si>
  <si>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</si>
  <si>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</si>
  <si>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</si>
  <si>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</si>
  <si>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</si>
  <si>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</si>
  <si>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</si>
  <si>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</si>
  <si>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</si>
  <si>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</si>
  <si>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</si>
  <si>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</si>
  <si>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</si>
  <si>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</si>
  <si>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</si>
  <si>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</si>
  <si>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</si>
  <si>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</si>
  <si>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</si>
  <si>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</si>
  <si>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</si>
  <si>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</si>
  <si>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</si>
  <si>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</si>
  <si>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</si>
  <si>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</si>
  <si>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</si>
  <si>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</si>
  <si>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</si>
  <si>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</si>
  <si>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</si>
  <si>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</si>
  <si>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</si>
  <si>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</si>
  <si>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</si>
  <si>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</si>
  <si>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</si>
  <si>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</si>
  <si>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</si>
  <si>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</si>
  <si>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</si>
  <si>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</si>
  <si>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</si>
  <si>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</si>
  <si>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</si>
  <si>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</si>
  <si>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</si>
  <si>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</si>
  <si>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</si>
  <si>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</si>
  <si>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</si>
  <si>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</si>
  <si>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</si>
  <si>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</si>
  <si>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</si>
  <si>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</si>
  <si>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</si>
  <si>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</si>
  <si>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</si>
  <si>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</si>
  <si>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</si>
  <si>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</si>
  <si>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</si>
  <si>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</si>
  <si>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</si>
  <si>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</si>
  <si>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</si>
  <si>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</si>
  <si>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</si>
  <si>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</si>
  <si>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</si>
  <si>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</si>
  <si>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</si>
  <si>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</si>
  <si>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</si>
  <si>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</si>
  <si>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</si>
  <si>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</si>
  <si>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</si>
  <si>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</si>
  <si>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</si>
  <si>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</si>
  <si>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</si>
  <si>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</si>
  <si>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</si>
  <si>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</si>
  <si>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</si>
  <si>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</si>
  <si>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</si>
  <si>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</si>
  <si>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</si>
  <si>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</si>
  <si>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</si>
  <si>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</si>
  <si>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</si>
  <si>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</si>
  <si>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</si>
  <si>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</si>
  <si>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</si>
  <si>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</si>
  <si>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</si>
  <si>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</si>
  <si>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</si>
  <si>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</si>
  <si>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</si>
  <si>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</si>
  <si>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</si>
  <si>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</si>
  <si>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</si>
  <si>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</si>
  <si>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</si>
  <si>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</si>
  <si>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</si>
  <si>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</si>
  <si>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</si>
  <si>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</si>
  <si>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</si>
  <si>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</si>
  <si>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</si>
  <si>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</si>
  <si>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</si>
  <si>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</si>
  <si>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</si>
  <si>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</si>
  <si>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</si>
  <si>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</si>
  <si>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</si>
  <si>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</si>
  <si>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</si>
  <si>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</si>
  <si>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</si>
  <si>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</si>
  <si>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</si>
  <si>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</si>
  <si>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</si>
  <si>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</si>
  <si>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</si>
  <si>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</si>
  <si>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</si>
  <si>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</si>
  <si>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</si>
  <si>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</si>
  <si>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</si>
  <si>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</si>
  <si>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</si>
  <si>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</si>
  <si>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</si>
  <si>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</si>
  <si>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</si>
  <si>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</si>
  <si>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</si>
  <si>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</si>
  <si>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</si>
  <si>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</si>
  <si>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</si>
  <si>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</si>
  <si>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</si>
  <si>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</si>
  <si>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</si>
  <si>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</si>
  <si>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</si>
  <si>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</si>
  <si>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</si>
  <si>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</si>
  <si>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</si>
  <si>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</si>
  <si>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</si>
  <si>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</si>
  <si>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</si>
  <si>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</si>
  <si>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</si>
  <si>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</si>
  <si>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</si>
  <si>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</si>
  <si>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</si>
  <si>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</si>
  <si>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</si>
  <si>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</si>
  <si>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</si>
  <si>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</si>
  <si>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</si>
  <si>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</si>
  <si>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</si>
  <si>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</si>
  <si>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</si>
  <si>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</si>
  <si>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</si>
  <si>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</si>
  <si>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</si>
  <si>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</si>
  <si>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</si>
  <si>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</si>
  <si>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</si>
  <si>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</si>
  <si>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</si>
  <si>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</si>
  <si>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</si>
  <si>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</si>
  <si>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</si>
  <si>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</si>
  <si>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</si>
  <si>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</si>
  <si>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</si>
  <si>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</si>
  <si>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</si>
  <si>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</si>
  <si>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</si>
  <si>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</si>
  <si>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</si>
  <si>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</si>
  <si>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</si>
  <si>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</si>
  <si>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</si>
  <si>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</si>
  <si>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</si>
  <si>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</si>
  <si>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</si>
  <si>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</si>
  <si>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</si>
  <si>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</si>
  <si>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</si>
  <si>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</si>
  <si>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</si>
  <si>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</si>
  <si>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</si>
  <si>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</si>
  <si>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</si>
  <si>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</si>
  <si>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</si>
  <si>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</si>
  <si>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</si>
  <si>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</si>
  <si>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</si>
  <si>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</si>
  <si>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</si>
  <si>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</si>
  <si>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</si>
  <si>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</si>
  <si>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</si>
  <si>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</si>
  <si>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</si>
  <si>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</si>
  <si>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</si>
  <si>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</si>
  <si>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</si>
  <si>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</si>
  <si>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</si>
  <si>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</si>
  <si>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</si>
  <si>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</si>
  <si>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</si>
  <si>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</si>
  <si>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</si>
  <si>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</si>
  <si>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</si>
  <si>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</si>
  <si>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</si>
  <si>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</si>
  <si>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</si>
  <si>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</si>
  <si>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</si>
  <si>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</si>
  <si>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</si>
  <si>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</si>
  <si>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</si>
  <si>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</si>
  <si>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</si>
  <si>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</si>
  <si>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</si>
  <si>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</si>
  <si>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</si>
  <si>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</si>
  <si>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</si>
  <si>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</si>
  <si>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</si>
  <si>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</si>
  <si>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</si>
  <si>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</si>
  <si>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</si>
  <si>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</si>
  <si>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</si>
  <si>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</si>
  <si>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</si>
  <si>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</si>
  <si>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</si>
  <si>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</si>
  <si>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</si>
  <si>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</si>
  <si>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</si>
  <si>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</si>
  <si>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</si>
  <si>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</si>
  <si>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</si>
  <si>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</si>
  <si>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</si>
  <si>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</si>
  <si>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</si>
  <si>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</si>
  <si>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</si>
  <si>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</si>
  <si>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</si>
  <si>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</si>
  <si>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</si>
  <si>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</si>
  <si>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</si>
  <si>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</si>
  <si>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</si>
  <si>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</si>
  <si>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</si>
  <si>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</si>
  <si>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</si>
  <si>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</si>
  <si>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</si>
  <si>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</si>
  <si>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</si>
  <si>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</si>
  <si>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</si>
  <si>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</si>
  <si>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</si>
  <si>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</si>
  <si>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</si>
  <si>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</si>
  <si>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</si>
  <si>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</si>
  <si>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</si>
  <si>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</si>
  <si>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</si>
  <si>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</si>
  <si>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</si>
  <si>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</si>
  <si>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</si>
  <si>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</si>
  <si>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</si>
  <si>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</si>
  <si>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</si>
  <si>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</si>
  <si>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</si>
  <si>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</si>
  <si>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</si>
  <si>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</si>
  <si>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</si>
  <si>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</si>
  <si>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</si>
  <si>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</si>
  <si>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</si>
  <si>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</si>
  <si>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</si>
  <si>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</si>
  <si>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</si>
  <si>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</si>
  <si>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</si>
  <si>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</si>
  <si>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</si>
  <si>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</si>
  <si>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</si>
  <si>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</si>
  <si>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</si>
  <si>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</si>
  <si>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</si>
  <si>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</si>
  <si>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</si>
  <si>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</si>
  <si>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</si>
  <si>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</si>
  <si>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</si>
  <si>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</si>
  <si>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</si>
  <si>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</si>
  <si>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</si>
  <si>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</si>
  <si>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</si>
  <si>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</si>
  <si>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</si>
  <si>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</si>
  <si>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</si>
  <si>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</si>
  <si>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</si>
  <si>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</si>
  <si>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</si>
  <si>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</si>
  <si>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</si>
  <si>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</si>
  <si>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</si>
  <si>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</si>
  <si>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</si>
  <si>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</si>
  <si>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</si>
  <si>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</si>
  <si>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</si>
  <si>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</si>
  <si>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</si>
  <si>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</si>
  <si>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</si>
  <si>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</si>
  <si>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</si>
  <si>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</si>
  <si>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</si>
  <si>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</si>
  <si>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</si>
  <si>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</si>
  <si>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</si>
  <si>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</si>
  <si>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</si>
  <si>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</si>
  <si>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</si>
  <si>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</si>
  <si>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</si>
  <si>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</si>
  <si>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</si>
  <si>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</si>
  <si>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</si>
  <si>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</si>
  <si>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</si>
  <si>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</si>
  <si>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</si>
  <si>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</si>
  <si>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</si>
  <si>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</si>
  <si>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</si>
  <si>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</si>
  <si>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</si>
  <si>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</si>
  <si>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</si>
  <si>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</si>
  <si>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</si>
  <si>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</si>
  <si>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</si>
  <si>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</si>
  <si>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</si>
  <si>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</si>
  <si>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</si>
  <si>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</si>
  <si>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</si>
  <si>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</si>
  <si>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</si>
  <si>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</si>
  <si>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</si>
  <si>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</si>
  <si>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</si>
  <si>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</si>
  <si>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</si>
  <si>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</si>
  <si>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</si>
  <si>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</si>
  <si>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</si>
  <si>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</si>
  <si>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</si>
  <si>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</si>
  <si>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</si>
  <si>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</si>
  <si>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</si>
  <si>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</si>
  <si>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</si>
  <si>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</si>
  <si>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</si>
  <si>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</si>
  <si>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</si>
  <si>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</si>
  <si>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</si>
  <si>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</si>
  <si>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</si>
  <si>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</si>
  <si>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</si>
  <si>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</si>
  <si>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</si>
  <si>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</si>
  <si>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</si>
  <si>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</si>
  <si>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</si>
  <si>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</si>
  <si>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</si>
  <si>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</si>
  <si>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</si>
  <si>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</si>
  <si>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</si>
  <si>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</si>
  <si>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</si>
  <si>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</si>
  <si>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</si>
  <si>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</si>
  <si>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</si>
  <si>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</si>
  <si>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</si>
  <si>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</si>
  <si>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</si>
  <si>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</si>
  <si>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</si>
  <si>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</si>
  <si>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</si>
  <si>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</si>
  <si>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</si>
  <si>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</si>
  <si>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</si>
  <si>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</si>
  <si>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</si>
  <si>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</si>
  <si>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</si>
  <si>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</si>
  <si>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</si>
  <si>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</si>
  <si>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</si>
  <si>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</si>
  <si>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</si>
  <si>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</si>
  <si>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</si>
  <si>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</si>
  <si>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</si>
  <si>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</si>
  <si>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</si>
  <si>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</si>
  <si>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</si>
  <si>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</si>
  <si>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</si>
  <si>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</si>
  <si>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</si>
  <si>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</si>
  <si>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</si>
  <si>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</si>
  <si>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</si>
  <si>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</si>
  <si>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</si>
  <si>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</si>
  <si>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</si>
  <si>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</si>
  <si>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</si>
  <si>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</si>
  <si>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</si>
  <si>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</si>
  <si>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</si>
  <si>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</si>
  <si>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</si>
  <si>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</si>
  <si>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</si>
  <si>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</si>
  <si>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</si>
  <si>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</si>
  <si>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</si>
  <si>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</si>
  <si>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</si>
  <si>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</si>
  <si>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</si>
  <si>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</si>
  <si>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</si>
  <si>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</si>
  <si>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</si>
  <si>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</si>
  <si>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</si>
  <si>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</si>
  <si>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</si>
  <si>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</si>
  <si>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</si>
  <si>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</si>
  <si>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</si>
  <si>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</si>
  <si>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</si>
  <si>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</si>
  <si>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</si>
  <si>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</si>
  <si>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</si>
  <si>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</si>
  <si>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</si>
  <si>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</si>
  <si>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</si>
  <si>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</si>
  <si>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</si>
  <si>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</si>
  <si>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</si>
  <si>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</si>
  <si>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</si>
  <si>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</si>
  <si>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</si>
  <si>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</si>
  <si>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</si>
  <si>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</si>
  <si>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</si>
  <si>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</si>
  <si>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</si>
  <si>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</si>
  <si>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</si>
  <si>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</si>
  <si>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</si>
  <si>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</si>
  <si>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</si>
  <si>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</si>
  <si>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</si>
  <si>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</si>
  <si>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</si>
  <si>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</si>
  <si>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</si>
  <si>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</si>
  <si>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</si>
  <si>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</si>
  <si>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</si>
  <si>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</si>
  <si>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</si>
  <si>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</si>
  <si>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</si>
  <si>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</si>
  <si>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</si>
  <si>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</si>
  <si>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</si>
  <si>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</si>
  <si>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</si>
  <si>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</si>
  <si>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</si>
  <si>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</si>
  <si>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</si>
  <si>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</si>
  <si>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</si>
  <si>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</si>
  <si>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</si>
  <si>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</si>
  <si>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</si>
  <si>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</si>
  <si>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</si>
  <si>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</si>
  <si>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</si>
  <si>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</si>
  <si>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</si>
  <si>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</si>
  <si>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</si>
  <si>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</si>
  <si>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</si>
  <si>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</si>
  <si>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</si>
  <si>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</si>
  <si>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</si>
  <si>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</si>
  <si>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</si>
  <si>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</si>
  <si>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</si>
  <si>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</si>
  <si>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</si>
  <si>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</si>
  <si>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</si>
  <si>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</si>
  <si>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</si>
  <si>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</si>
  <si>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</si>
  <si>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</si>
  <si>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</si>
  <si>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</si>
  <si>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</si>
  <si>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</si>
  <si>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</si>
  <si>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</si>
  <si>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</si>
  <si>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</si>
  <si>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</si>
  <si>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</si>
  <si>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</si>
  <si>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</si>
  <si>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</si>
  <si>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</si>
  <si>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</si>
  <si>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</si>
  <si>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</si>
  <si>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</si>
  <si>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</si>
  <si>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</si>
  <si>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</si>
  <si>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</si>
  <si>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</si>
  <si>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</si>
  <si>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</si>
  <si>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</si>
  <si>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</si>
  <si>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</si>
  <si>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</si>
  <si>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</si>
  <si>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</si>
  <si>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</si>
  <si>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</si>
  <si>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</si>
  <si>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</si>
  <si>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</si>
  <si>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</si>
  <si>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</si>
  <si>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</si>
  <si>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</si>
  <si>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</si>
  <si>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</si>
  <si>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</si>
  <si>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</si>
  <si>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</si>
  <si>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</si>
  <si>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</si>
  <si>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</si>
  <si>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</si>
  <si>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</si>
  <si>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</si>
  <si>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</si>
  <si>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</si>
  <si>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</si>
  <si>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</si>
  <si>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</si>
  <si>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</si>
  <si>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</si>
  <si>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</si>
  <si>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</si>
  <si>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</si>
  <si>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</si>
  <si>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</si>
  <si>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</si>
  <si>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</si>
  <si>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</si>
  <si>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</si>
  <si>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</si>
  <si>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</si>
  <si>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</si>
  <si>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</si>
  <si>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</si>
  <si>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</si>
  <si>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</si>
  <si>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</si>
  <si>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</si>
  <si>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</si>
  <si>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</si>
  <si>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</si>
  <si>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</si>
  <si>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</si>
  <si>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</si>
  <si>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</si>
  <si>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</si>
  <si>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</si>
  <si>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</si>
  <si>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</si>
  <si>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</si>
  <si>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</si>
  <si>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</si>
  <si>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</si>
  <si>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</si>
  <si>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</si>
  <si>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</si>
  <si>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</si>
  <si>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</si>
  <si>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</si>
  <si>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</si>
  <si>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</si>
  <si>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</si>
  <si>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</si>
  <si>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</si>
  <si>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</si>
  <si>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</si>
  <si>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</si>
  <si>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</si>
  <si>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</si>
  <si>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</si>
  <si>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</si>
  <si>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</si>
  <si>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</si>
  <si>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</si>
  <si>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</si>
  <si>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</si>
  <si>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</si>
  <si>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</si>
  <si>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</si>
  <si>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</si>
  <si>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</si>
  <si>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</si>
  <si>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</si>
  <si>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</si>
  <si>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</si>
  <si>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</si>
  <si>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</si>
  <si>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</si>
  <si>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</si>
  <si>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</si>
  <si>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</si>
  <si>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</si>
  <si>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</si>
  <si>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</si>
  <si>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</si>
  <si>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</si>
  <si>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</si>
  <si>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</si>
  <si>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</si>
  <si>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</si>
  <si>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</si>
  <si>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</si>
  <si>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</si>
  <si>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</si>
  <si>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</si>
  <si>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</si>
  <si>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</si>
  <si>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</si>
  <si>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</si>
  <si>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</si>
  <si>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</si>
  <si>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</si>
  <si>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</si>
  <si>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</si>
  <si>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</si>
  <si>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</si>
  <si>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</si>
  <si>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</si>
  <si>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</si>
  <si>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</si>
  <si>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</si>
  <si>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</si>
  <si>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</si>
  <si>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</si>
  <si>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</si>
  <si>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</si>
  <si>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</si>
  <si>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</si>
  <si>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</si>
  <si>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</si>
  <si>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</si>
  <si>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</si>
  <si>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</si>
  <si>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</si>
  <si>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</si>
  <si>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</si>
  <si>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</si>
  <si>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</si>
  <si>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</si>
  <si>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</si>
  <si>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</si>
  <si>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</si>
  <si>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</si>
  <si>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</si>
  <si>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</si>
  <si>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</si>
  <si>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</si>
  <si>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</si>
  <si>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</si>
  <si>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</si>
  <si>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</si>
  <si>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</si>
  <si>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</si>
  <si>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</si>
  <si>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</si>
  <si>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</si>
  <si>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</si>
  <si>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</si>
  <si>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</si>
  <si>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</si>
  <si>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</si>
  <si>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</si>
  <si>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</si>
  <si>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</si>
  <si>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</si>
  <si>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</si>
  <si>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</si>
  <si>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</si>
  <si>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</si>
  <si>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</si>
  <si>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</si>
  <si>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</si>
  <si>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</si>
  <si>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</si>
  <si>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</si>
  <si>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</si>
  <si>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</si>
  <si>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</si>
  <si>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</si>
  <si>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</si>
  <si>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</si>
  <si>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</si>
  <si>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</si>
  <si>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</si>
  <si>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</si>
  <si>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</si>
  <si>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</si>
  <si>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</si>
  <si>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</si>
  <si>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</si>
  <si>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</si>
  <si>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</si>
  <si>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</si>
  <si>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</si>
  <si>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</si>
  <si>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</si>
  <si>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</si>
  <si>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</si>
  <si>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</si>
  <si>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</si>
  <si>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</si>
  <si>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</si>
  <si>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</si>
  <si>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</si>
  <si>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</si>
  <si>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</si>
  <si>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</si>
  <si>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</si>
  <si>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</si>
  <si>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</si>
  <si>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</si>
  <si>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</si>
  <si>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</si>
  <si>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</si>
  <si>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</si>
  <si>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</si>
  <si>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</si>
  <si>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</si>
  <si>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</si>
  <si>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</si>
  <si>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</si>
  <si>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</si>
  <si>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</si>
  <si>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</si>
  <si>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</si>
  <si>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</si>
  <si>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</si>
  <si>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</si>
  <si>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</si>
  <si>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</si>
  <si>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</si>
  <si>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</si>
  <si>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</si>
  <si>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</si>
  <si>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</si>
  <si>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</si>
  <si>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</si>
  <si>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</si>
  <si>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</si>
  <si>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</si>
  <si>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</si>
  <si>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</si>
  <si>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</si>
  <si>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</si>
  <si>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</si>
  <si>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</si>
  <si>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</si>
  <si>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</si>
  <si>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</si>
  <si>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</si>
  <si>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</si>
  <si>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</si>
  <si>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</si>
  <si>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</si>
  <si>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</si>
  <si>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</si>
  <si>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</si>
  <si>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</si>
  <si>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</si>
  <si>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</si>
  <si>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</si>
  <si>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</si>
  <si>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</si>
  <si>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</si>
  <si>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</si>
  <si>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</si>
  <si>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</si>
  <si>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</si>
  <si>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</si>
  <si>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</si>
  <si>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</si>
  <si>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</si>
  <si>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</si>
  <si>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</si>
  <si>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</si>
  <si>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</si>
  <si>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</si>
  <si>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</si>
  <si>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</si>
  <si>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</si>
  <si>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</si>
  <si>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</si>
  <si>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</si>
  <si>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</si>
  <si>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</si>
  <si>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</si>
  <si>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</si>
  <si>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</si>
  <si>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</si>
  <si>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</si>
  <si>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</si>
  <si>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</si>
  <si>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</si>
  <si>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</si>
  <si>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</si>
  <si>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</si>
  <si>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</si>
  <si>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</si>
  <si>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</si>
  <si>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</si>
  <si>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</si>
  <si>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</si>
  <si>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</si>
  <si>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</si>
  <si>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</si>
  <si>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</si>
  <si>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</si>
  <si>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</si>
  <si>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</si>
  <si>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</si>
  <si>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</si>
  <si>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</si>
  <si>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</si>
  <si>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</si>
  <si>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</si>
  <si>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</si>
  <si>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</si>
  <si>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</si>
  <si>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</si>
  <si>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</si>
  <si>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</si>
  <si>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</si>
  <si>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</si>
  <si>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</si>
  <si>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</si>
  <si>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</si>
  <si>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</si>
  <si>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</si>
  <si>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</si>
  <si>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</si>
  <si>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</si>
  <si>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</si>
  <si>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</si>
  <si>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</si>
  <si>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</si>
  <si>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</si>
  <si>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</si>
  <si>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</si>
  <si>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</si>
  <si>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</si>
  <si>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</si>
  <si>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</si>
  <si>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</si>
  <si>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</si>
  <si>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</si>
  <si>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</si>
  <si>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</si>
  <si>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</si>
  <si>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</si>
  <si>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</si>
  <si>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</si>
  <si>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</si>
  <si>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</si>
  <si>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</si>
  <si>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</si>
  <si>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</si>
  <si>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</si>
  <si>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</si>
  <si>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</si>
  <si>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</si>
  <si>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</si>
  <si>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</si>
  <si>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</si>
  <si>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</si>
  <si>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</si>
  <si>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</si>
  <si>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</si>
  <si>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</si>
  <si>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</si>
  <si>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</si>
  <si>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</si>
  <si>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</si>
  <si>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</si>
  <si>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</si>
  <si>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</si>
  <si>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</si>
  <si>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</si>
  <si>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</si>
  <si>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</si>
  <si>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</si>
  <si>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</si>
  <si>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</si>
  <si>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</si>
  <si>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</si>
  <si>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</si>
  <si>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</si>
  <si>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</si>
  <si>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</si>
  <si>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</si>
  <si>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</si>
  <si>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</si>
  <si>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</si>
  <si>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</si>
  <si>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</si>
  <si>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</si>
  <si>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</si>
  <si>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</si>
  <si>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</si>
  <si>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</si>
  <si>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</si>
  <si>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</si>
  <si>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</si>
  <si>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</si>
  <si>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</si>
  <si>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</si>
  <si>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</si>
  <si>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</si>
  <si>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</si>
  <si>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</si>
  <si>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</si>
  <si>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</si>
  <si>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</si>
  <si>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</si>
  <si>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</si>
  <si>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</si>
  <si>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</si>
  <si>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</si>
  <si>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</si>
  <si>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</si>
  <si>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</si>
  <si>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</si>
  <si>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</si>
  <si>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</si>
  <si>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</si>
  <si>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</si>
  <si>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</si>
  <si>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</si>
  <si>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</si>
  <si>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</si>
  <si>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</si>
  <si>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</si>
  <si>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</si>
  <si>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</si>
  <si>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</si>
  <si>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</si>
  <si>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</si>
  <si>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</si>
  <si>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</si>
  <si>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</si>
  <si>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</si>
  <si>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</si>
  <si>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</si>
  <si>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</si>
  <si>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</si>
  <si>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</si>
  <si>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</si>
  <si>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</si>
  <si>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</si>
  <si>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</si>
  <si>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</si>
  <si>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</si>
  <si>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</si>
  <si>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</si>
  <si>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</si>
  <si>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</si>
  <si>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</si>
  <si>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</si>
  <si>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</si>
  <si>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</si>
  <si>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</si>
  <si>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</si>
  <si>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</si>
  <si>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</si>
  <si>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</si>
  <si>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</si>
  <si>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</si>
  <si>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</si>
  <si>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</si>
  <si>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</si>
  <si>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</si>
  <si>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</si>
  <si>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</si>
  <si>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</si>
  <si>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</si>
  <si>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</si>
  <si>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</si>
  <si>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</si>
  <si>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</si>
  <si>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</si>
  <si>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</si>
  <si>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</si>
  <si>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</si>
  <si>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</si>
  <si>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</si>
  <si>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</si>
  <si>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</si>
  <si>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</si>
  <si>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</si>
  <si>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</si>
  <si>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</si>
  <si>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</si>
  <si>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</si>
  <si>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</si>
  <si>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</si>
  <si>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</si>
  <si>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</si>
  <si>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</si>
  <si>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</si>
  <si>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</si>
  <si>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</si>
  <si>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</si>
  <si>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</si>
  <si>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</si>
  <si>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</si>
  <si>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</si>
  <si>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</si>
  <si>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</si>
  <si>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</si>
  <si>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</si>
  <si>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</si>
  <si>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</si>
  <si>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</si>
  <si>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</si>
  <si>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</si>
  <si>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</si>
  <si>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</si>
  <si>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</si>
  <si>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</si>
  <si>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</si>
  <si>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</si>
  <si>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</si>
  <si>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</si>
  <si>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</si>
  <si>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</si>
  <si>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</si>
  <si>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</si>
  <si>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</si>
  <si>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</si>
  <si>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</si>
  <si>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</si>
  <si>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</si>
  <si>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</si>
  <si>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</si>
  <si>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</si>
  <si>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</si>
  <si>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</si>
  <si>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</si>
  <si>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</si>
  <si>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</si>
  <si>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</si>
  <si>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</si>
  <si>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</si>
  <si>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</si>
  <si>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</si>
  <si>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</si>
  <si>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</si>
  <si>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</si>
  <si>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</si>
  <si>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</si>
  <si>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</si>
  <si>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</si>
  <si>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</si>
  <si>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</si>
  <si>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</si>
  <si>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</si>
  <si>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</si>
  <si>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</si>
  <si>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</si>
  <si>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</si>
  <si>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</si>
  <si>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</si>
  <si>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</si>
  <si>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</si>
  <si>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</si>
  <si>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</si>
  <si>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</si>
  <si>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</si>
  <si>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</si>
  <si>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</si>
  <si>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</si>
  <si>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</si>
  <si>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</si>
  <si>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</si>
  <si>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</si>
  <si>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</si>
  <si>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</si>
  <si>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</si>
  <si>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</si>
  <si>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</si>
  <si>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</si>
  <si>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</si>
  <si>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</si>
  <si>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</si>
  <si>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</si>
  <si>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</si>
  <si>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</si>
  <si>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</si>
  <si>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</si>
  <si>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</si>
  <si>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</si>
  <si>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</si>
  <si>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</si>
  <si>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</si>
  <si>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</si>
  <si>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</si>
  <si>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</si>
  <si>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</si>
  <si>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</si>
  <si>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</si>
  <si>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</si>
  <si>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</si>
  <si>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</si>
  <si>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</si>
  <si>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</si>
  <si>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</si>
  <si>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</si>
  <si>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</si>
  <si>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</si>
  <si>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</si>
  <si>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</si>
  <si>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</si>
  <si>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</si>
  <si>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</si>
  <si>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</si>
  <si>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</si>
  <si>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</si>
  <si>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</si>
  <si>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</si>
  <si>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</si>
  <si>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</si>
  <si>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</si>
  <si>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</si>
  <si>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</si>
  <si>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</si>
  <si>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</si>
  <si>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</si>
  <si>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</si>
  <si>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</si>
  <si>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</si>
  <si>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</si>
  <si>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</si>
  <si>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</si>
  <si>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</si>
  <si>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</si>
  <si>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</si>
  <si>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</si>
  <si>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</si>
  <si>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</si>
  <si>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</si>
  <si>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</si>
  <si>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</si>
  <si>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</si>
  <si>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</si>
  <si>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</si>
  <si>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</si>
  <si>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</si>
  <si>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</si>
  <si>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</si>
  <si>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</si>
  <si>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</si>
  <si>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</si>
  <si>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</si>
  <si>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</si>
  <si>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</si>
  <si>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</si>
  <si>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</si>
  <si>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</si>
  <si>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</si>
  <si>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</si>
  <si>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</si>
  <si>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</si>
  <si>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</si>
  <si>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</si>
  <si>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</si>
  <si>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</si>
  <si>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</si>
  <si>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</si>
  <si>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</si>
  <si>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</si>
  <si>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</si>
  <si>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</si>
  <si>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</si>
  <si>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</si>
  <si>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</si>
  <si>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</si>
  <si>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</si>
  <si>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</si>
  <si>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</si>
  <si>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</si>
  <si>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</si>
  <si>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</si>
  <si>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</si>
  <si>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</si>
  <si>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</si>
  <si>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</si>
  <si>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</si>
  <si>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</si>
  <si>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</si>
  <si>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</si>
  <si>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</si>
  <si>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</si>
  <si>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</si>
  <si>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</si>
  <si>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</si>
  <si>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</si>
  <si>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</si>
  <si>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</si>
  <si>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</si>
  <si>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</si>
  <si>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</si>
  <si>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</si>
  <si>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</si>
  <si>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</si>
  <si>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</si>
  <si>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</si>
  <si>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</si>
  <si>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</si>
  <si>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</si>
  <si>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</si>
  <si>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</si>
  <si>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</si>
  <si>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</si>
  <si>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</si>
  <si>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</si>
  <si>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</si>
  <si>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</si>
  <si>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</si>
  <si>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</si>
  <si>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</si>
  <si>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</si>
  <si>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</si>
  <si>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</si>
  <si>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</si>
  <si>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</si>
  <si>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</si>
  <si>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</si>
  <si>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</si>
  <si>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</si>
  <si>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</si>
  <si>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</si>
  <si>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</si>
  <si>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</si>
  <si>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</si>
  <si>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</si>
  <si>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</si>
  <si>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</si>
  <si>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</si>
  <si>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</si>
  <si>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</si>
  <si>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</si>
  <si>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</si>
  <si>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</si>
  <si>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</si>
  <si>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</si>
  <si>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</si>
  <si>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</si>
  <si>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</si>
  <si>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</si>
  <si>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</si>
  <si>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</si>
  <si>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</si>
  <si>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</si>
  <si>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</si>
  <si>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</si>
  <si>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</si>
  <si>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</si>
  <si>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</si>
  <si>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</si>
  <si>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</si>
  <si>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</si>
  <si>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</si>
  <si>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</si>
  <si>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</si>
  <si>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</si>
  <si>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</si>
  <si>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</si>
  <si>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</si>
  <si>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</si>
  <si>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</si>
  <si>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</si>
  <si>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</si>
  <si>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</si>
  <si>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</si>
  <si>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</si>
  <si>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</si>
  <si>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</si>
  <si>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</si>
  <si>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</si>
  <si>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</si>
  <si>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</si>
  <si>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</si>
  <si>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</si>
  <si>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</si>
  <si>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</si>
  <si>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</si>
  <si>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</si>
  <si>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</si>
  <si>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</si>
  <si>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</si>
  <si>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</si>
  <si>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</si>
  <si>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</si>
  <si>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</si>
  <si>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</si>
  <si>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</si>
  <si>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</si>
  <si>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</si>
  <si>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</si>
  <si>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</si>
  <si>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</si>
  <si>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</si>
  <si>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</si>
  <si>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</si>
  <si>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</si>
  <si>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</si>
  <si>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</si>
  <si>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</si>
  <si>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</si>
  <si>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</si>
  <si>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</si>
  <si>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</si>
  <si>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</si>
  <si>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</si>
  <si>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</si>
  <si>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</si>
  <si>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</si>
  <si>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</si>
  <si>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</si>
  <si>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</si>
  <si>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</si>
  <si>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</si>
  <si>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</si>
  <si>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</si>
  <si>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</si>
  <si>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</si>
  <si>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</si>
  <si>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</si>
  <si>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</si>
  <si>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</si>
  <si>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</si>
  <si>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</si>
  <si>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</si>
  <si>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</si>
  <si>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</si>
  <si>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</si>
  <si>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</si>
  <si>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</si>
  <si>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</si>
  <si>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</si>
  <si>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</si>
  <si>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</si>
  <si>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</si>
  <si>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</si>
  <si>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</si>
  <si>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</si>
  <si>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</si>
  <si>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</si>
  <si>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</si>
  <si>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</si>
  <si>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</si>
  <si>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</si>
  <si>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</si>
  <si>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</si>
  <si>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</si>
  <si>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</si>
  <si>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</si>
  <si>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</si>
  <si>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</si>
  <si>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</si>
  <si>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</si>
  <si>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</si>
  <si>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</si>
  <si>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</si>
  <si>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</si>
  <si>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</si>
  <si>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</si>
  <si>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</si>
  <si>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</si>
  <si>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</si>
  <si>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</si>
  <si>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</si>
  <si>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</si>
  <si>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</si>
  <si>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</si>
  <si>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</si>
  <si>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</si>
  <si>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</si>
  <si>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</si>
  <si>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</si>
  <si>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</si>
  <si>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</si>
  <si>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</si>
  <si>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</si>
  <si>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</si>
  <si>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</si>
  <si>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</si>
  <si>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</si>
  <si>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</si>
  <si>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</si>
  <si>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</si>
  <si>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</si>
  <si>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</si>
  <si>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</si>
  <si>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</si>
  <si>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</si>
  <si>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</si>
  <si>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</si>
  <si>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</si>
  <si>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</si>
  <si>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</si>
  <si>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</si>
  <si>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</si>
  <si>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</si>
  <si>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</si>
  <si>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</si>
  <si>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</si>
  <si>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</si>
  <si>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</si>
  <si>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</si>
  <si>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</si>
  <si>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</si>
  <si>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</si>
  <si>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</si>
  <si>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</si>
  <si>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</si>
  <si>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</si>
  <si>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</si>
  <si>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</si>
  <si>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</si>
  <si>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</si>
  <si>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</si>
  <si>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</si>
  <si>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</si>
  <si>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</si>
  <si>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</si>
  <si>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</si>
  <si>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</si>
  <si>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</si>
  <si>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</si>
  <si>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</si>
  <si>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</si>
  <si>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</si>
  <si>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</si>
  <si>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</si>
  <si>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</si>
  <si>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</si>
  <si>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</si>
  <si>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</si>
  <si>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</si>
  <si>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</si>
  <si>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</si>
  <si>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</si>
  <si>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</si>
  <si>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</si>
  <si>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</si>
  <si>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</si>
  <si>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</si>
  <si>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</si>
  <si>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</si>
  <si>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</si>
  <si>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</si>
  <si>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</si>
  <si>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</si>
  <si>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</si>
  <si>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</si>
  <si>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</si>
  <si>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</si>
  <si>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</si>
  <si>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</si>
  <si>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</si>
  <si>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</si>
  <si>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</si>
  <si>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</si>
  <si>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</si>
  <si>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</si>
  <si>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</si>
  <si>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</si>
  <si>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</si>
  <si>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</si>
  <si>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</si>
  <si>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</si>
  <si>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</si>
  <si>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</si>
  <si>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</si>
  <si>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</si>
  <si>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</si>
  <si>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</si>
  <si>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</si>
  <si>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</si>
  <si>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</si>
  <si>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</si>
  <si>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</si>
  <si>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</si>
  <si>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</si>
  <si>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</si>
  <si>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</si>
  <si>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</si>
  <si>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</si>
  <si>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</si>
  <si>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</si>
  <si>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</si>
  <si>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</si>
  <si>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</si>
  <si>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</si>
  <si>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</si>
  <si>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</si>
  <si>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</si>
  <si>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</si>
  <si>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</si>
  <si>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</si>
  <si>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</si>
  <si>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</si>
  <si>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</si>
  <si>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</si>
  <si>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</si>
  <si>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</si>
  <si>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</si>
  <si>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</si>
  <si>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</si>
  <si>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</si>
  <si>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</si>
  <si>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</si>
  <si>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</si>
  <si>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</si>
  <si>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</si>
  <si>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</si>
  <si>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</si>
  <si>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</si>
  <si>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</si>
  <si>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</si>
  <si>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</si>
  <si>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</si>
  <si>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</si>
  <si>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</si>
  <si>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</si>
  <si>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</si>
  <si>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</si>
  <si>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</si>
  <si>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</si>
  <si>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</si>
  <si>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</si>
  <si>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</si>
  <si>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</si>
  <si>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</si>
  <si>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</si>
  <si>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</si>
  <si>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</si>
  <si>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</si>
  <si>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</si>
  <si>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</si>
  <si>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</si>
  <si>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</si>
  <si>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</si>
  <si>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</si>
  <si>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</si>
  <si>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</si>
  <si>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</si>
  <si>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</si>
  <si>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</si>
  <si>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</si>
  <si>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</si>
  <si>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</si>
  <si>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</si>
  <si>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</si>
  <si>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</si>
  <si>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</si>
  <si>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</si>
  <si>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</si>
  <si>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</si>
  <si>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</si>
  <si>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</si>
  <si>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</si>
  <si>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</si>
  <si>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</si>
  <si>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</si>
  <si>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</si>
  <si>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</si>
  <si>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</si>
  <si>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</si>
  <si>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</si>
  <si>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</si>
  <si>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</si>
  <si>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</si>
  <si>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</si>
  <si>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</si>
  <si>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</si>
  <si>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</si>
  <si>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</si>
  <si>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</si>
  <si>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</si>
  <si>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</si>
  <si>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</si>
  <si>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</si>
  <si>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</si>
  <si>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</si>
  <si>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</si>
  <si>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</si>
  <si>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</si>
  <si>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</si>
  <si>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</si>
  <si>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</si>
  <si>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</si>
  <si>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</si>
  <si>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</si>
  <si>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</si>
  <si>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</si>
  <si>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</si>
  <si>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</si>
  <si>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</si>
  <si>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</si>
  <si>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</si>
  <si>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</si>
  <si>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</si>
  <si>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</si>
  <si>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</si>
  <si>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</si>
  <si>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</si>
  <si>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</si>
  <si>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</si>
  <si>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</si>
  <si>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</si>
  <si>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</si>
  <si>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</si>
  <si>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</si>
  <si>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</si>
  <si>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</si>
  <si>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</si>
  <si>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</si>
  <si>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</si>
  <si>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</si>
  <si>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</si>
  <si>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</si>
  <si>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</si>
  <si>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</si>
  <si>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</si>
  <si>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</si>
  <si>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</si>
  <si>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</si>
  <si>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</si>
  <si>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</si>
  <si>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</si>
  <si>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</si>
  <si>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</si>
  <si>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</si>
  <si>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</si>
  <si>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</si>
  <si>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</si>
  <si>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</si>
  <si>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</si>
  <si>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</si>
  <si>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</si>
  <si>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</si>
  <si>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</si>
  <si>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</si>
  <si>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</si>
  <si>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</si>
  <si>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</si>
  <si>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</si>
  <si>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</si>
  <si>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</si>
  <si>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</si>
  <si>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</si>
  <si>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</si>
  <si>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</si>
  <si>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</si>
  <si>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</si>
  <si>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</si>
  <si>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</si>
  <si>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</si>
  <si>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</si>
  <si>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</si>
  <si>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</si>
  <si>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</si>
  <si>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</si>
  <si>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</si>
  <si>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</si>
  <si>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</si>
  <si>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</si>
  <si>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</si>
  <si>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</si>
  <si>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</si>
  <si>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</si>
  <si>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</si>
  <si>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</si>
  <si>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</si>
  <si>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</si>
  <si>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</si>
  <si>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</si>
  <si>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</si>
  <si>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</si>
  <si>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</si>
  <si>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</si>
  <si>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</si>
  <si>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</si>
  <si>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</si>
  <si>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</si>
  <si>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</si>
  <si>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</si>
  <si>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</si>
  <si>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</si>
  <si>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</si>
  <si>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</si>
  <si>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</si>
  <si>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</si>
  <si>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</si>
  <si>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</si>
  <si>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</si>
  <si>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</si>
  <si>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</si>
  <si>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</si>
  <si>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</si>
  <si>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</si>
  <si>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</si>
  <si>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</si>
  <si>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</si>
  <si>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</si>
  <si>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</si>
  <si>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</si>
  <si>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</si>
  <si>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</si>
  <si>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</si>
  <si>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</si>
  <si>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</si>
  <si>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</si>
  <si>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</si>
  <si>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</si>
  <si>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</si>
  <si>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</si>
  <si>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</si>
  <si>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</si>
  <si>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</si>
  <si>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</si>
  <si>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</si>
  <si>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</si>
  <si>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</si>
  <si>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</si>
  <si>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</si>
  <si>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</si>
  <si>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</si>
  <si>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</si>
  <si>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</si>
  <si>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</si>
  <si>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</si>
  <si>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</si>
  <si>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</si>
  <si>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</si>
  <si>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</si>
  <si>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</si>
  <si>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</si>
  <si>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</si>
  <si>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</si>
  <si>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</si>
  <si>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</si>
  <si>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</si>
  <si>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</si>
  <si>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</si>
  <si>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</si>
  <si>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</si>
  <si>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</si>
  <si>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</si>
  <si>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</si>
  <si>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</si>
  <si>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</si>
  <si>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</si>
  <si>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</si>
  <si>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</si>
  <si>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</si>
  <si>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</si>
  <si>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</si>
  <si>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</si>
  <si>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</si>
  <si>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</si>
  <si>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</si>
  <si>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</si>
  <si>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</si>
  <si>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</si>
  <si>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</si>
  <si>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</si>
  <si>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</si>
  <si>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</si>
  <si>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</si>
  <si>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</si>
  <si>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</si>
  <si>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</si>
  <si>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</si>
  <si>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</si>
  <si>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</si>
  <si>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</si>
  <si>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</si>
  <si>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</si>
  <si>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</si>
  <si>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</si>
  <si>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</si>
  <si>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</si>
  <si>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</si>
  <si>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</si>
  <si>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</si>
  <si>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</si>
  <si>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</si>
  <si>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</si>
  <si>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</si>
  <si>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</si>
  <si>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</si>
  <si>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</si>
  <si>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</si>
  <si>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</si>
  <si>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</si>
  <si>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</si>
  <si>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</si>
  <si>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</si>
  <si>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</si>
  <si>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</si>
  <si>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</si>
  <si>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</si>
  <si>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</si>
  <si>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</si>
  <si>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</si>
  <si>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</si>
  <si>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</si>
  <si>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</si>
  <si>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</si>
  <si>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</si>
  <si>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</si>
  <si>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</si>
  <si>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</si>
  <si>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</si>
  <si>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</si>
  <si>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</si>
  <si>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</si>
  <si>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</si>
  <si>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</si>
  <si>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</si>
  <si>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</si>
  <si>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</si>
  <si>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</si>
  <si>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</si>
  <si>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</si>
  <si>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</si>
  <si>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</si>
  <si>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</si>
  <si>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</si>
  <si>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</si>
  <si>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</si>
  <si>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</si>
  <si>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</si>
  <si>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</si>
  <si>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</si>
  <si>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</si>
  <si>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</si>
  <si>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</si>
  <si>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</si>
  <si>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</si>
  <si>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</si>
  <si>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</si>
  <si>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</si>
  <si>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</si>
  <si>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</si>
  <si>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</si>
  <si>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</si>
  <si>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</si>
  <si>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</si>
  <si>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</si>
  <si>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</si>
  <si>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</si>
  <si>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</si>
  <si>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</si>
  <si>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</si>
  <si>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</si>
  <si>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</si>
  <si>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</si>
  <si>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</si>
  <si>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</si>
  <si>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</si>
  <si>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</si>
  <si>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</si>
  <si>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</si>
  <si>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</si>
  <si>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</si>
  <si>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</si>
  <si>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</si>
  <si>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</si>
  <si>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</si>
  <si>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</si>
  <si>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</si>
  <si>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</si>
  <si>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</si>
  <si>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</si>
  <si>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</si>
  <si>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</si>
  <si>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</si>
  <si>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</si>
  <si>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</si>
  <si>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</si>
  <si>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</si>
  <si>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</si>
  <si>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</si>
  <si>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</si>
  <si>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</si>
  <si>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</si>
  <si>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</si>
  <si>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</si>
  <si>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</si>
  <si>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</si>
  <si>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</si>
  <si>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</si>
  <si>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</si>
  <si>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</si>
  <si>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</si>
  <si>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</si>
  <si>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</si>
  <si>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</si>
  <si>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</si>
  <si>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</si>
  <si>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</si>
  <si>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</si>
  <si>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</si>
  <si>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</si>
  <si>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</si>
  <si>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</si>
  <si>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</si>
  <si>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</si>
  <si>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</si>
  <si>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</si>
  <si>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</si>
  <si>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</si>
  <si>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</si>
  <si>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</si>
  <si>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</si>
  <si>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</si>
  <si>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</si>
  <si>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</si>
  <si>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</si>
  <si>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</si>
  <si>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</si>
  <si>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</si>
  <si>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</si>
  <si>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</si>
  <si>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</si>
  <si>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</si>
  <si>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</si>
  <si>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</si>
  <si>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</si>
  <si>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</si>
  <si>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</si>
  <si>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</si>
  <si>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</si>
  <si>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</si>
  <si>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</si>
  <si>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</si>
  <si>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</si>
  <si>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</si>
  <si>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</si>
  <si>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</si>
  <si>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</si>
  <si>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</si>
  <si>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</si>
  <si>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</si>
  <si>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</si>
  <si>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</si>
  <si>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</si>
  <si>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</si>
  <si>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</si>
  <si>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</si>
  <si>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</si>
  <si>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</si>
  <si>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</si>
  <si>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</si>
  <si>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</si>
  <si>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</si>
  <si>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</si>
  <si>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</si>
  <si>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</si>
  <si>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</si>
  <si>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</si>
  <si>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</si>
  <si>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</si>
  <si>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</si>
  <si>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</si>
  <si>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</si>
  <si>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</si>
  <si>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</si>
  <si>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</si>
  <si>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</si>
  <si>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</si>
  <si>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</si>
  <si>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</si>
  <si>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</si>
  <si>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</si>
  <si>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</si>
  <si>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</si>
  <si>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</si>
  <si>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</si>
  <si>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</si>
  <si>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</si>
  <si>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</si>
  <si>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</si>
  <si>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</si>
  <si>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</si>
  <si>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</si>
  <si>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</si>
  <si>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</si>
  <si>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</si>
  <si>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</si>
  <si>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</si>
  <si>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</si>
  <si>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</si>
  <si>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</si>
  <si>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</si>
  <si>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</si>
  <si>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</si>
  <si>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</si>
  <si>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</si>
  <si>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</si>
  <si>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</si>
  <si>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</si>
  <si>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</si>
  <si>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</si>
  <si>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</si>
  <si>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</si>
  <si>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</si>
  <si>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</si>
  <si>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</si>
  <si>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</si>
  <si>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</si>
  <si>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</si>
  <si>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</si>
  <si>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</si>
  <si>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</si>
  <si>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</si>
  <si>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</si>
  <si>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</si>
  <si>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</si>
  <si>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</si>
  <si>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</si>
  <si>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</si>
  <si>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</si>
  <si>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</si>
  <si>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</si>
  <si>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</si>
  <si>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</si>
  <si>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</si>
  <si>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</si>
  <si>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</si>
  <si>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</si>
  <si>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</si>
  <si>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</si>
  <si>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</si>
  <si>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</si>
  <si>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</si>
  <si>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</si>
  <si>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</si>
  <si>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</si>
  <si>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</si>
  <si>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</si>
  <si>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</si>
  <si>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</si>
  <si>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</si>
  <si>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</si>
  <si>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</si>
  <si>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</si>
  <si>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</si>
  <si>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</si>
  <si>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</si>
  <si>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</si>
  <si>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</si>
  <si>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</si>
  <si>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</si>
  <si>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</si>
  <si>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</si>
  <si>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</si>
  <si>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</si>
  <si>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</si>
  <si>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</si>
  <si>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</si>
  <si>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</si>
  <si>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</si>
  <si>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</si>
  <si>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</si>
  <si>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</si>
  <si>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</si>
  <si>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</si>
  <si>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</si>
  <si>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</si>
  <si>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</si>
  <si>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</si>
  <si>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</si>
  <si>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</si>
  <si>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</si>
  <si>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</si>
  <si>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</si>
  <si>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</si>
  <si>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</si>
  <si>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</si>
  <si>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</si>
  <si>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</si>
  <si>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</si>
  <si>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</si>
  <si>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</si>
  <si>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</si>
  <si>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</si>
  <si>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</si>
  <si>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</si>
  <si>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</si>
  <si>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</si>
  <si>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</si>
  <si>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</si>
  <si>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</si>
  <si>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</si>
  <si>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</si>
  <si>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</si>
  <si>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</si>
  <si>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</si>
  <si>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</si>
  <si>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</si>
  <si>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</si>
  <si>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</si>
  <si>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</si>
  <si>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</si>
  <si>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</si>
  <si>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</si>
  <si>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</si>
  <si>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</si>
  <si>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</si>
  <si>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</si>
  <si>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</si>
  <si>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</si>
  <si>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</si>
  <si>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</si>
  <si>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</si>
  <si>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</si>
  <si>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</si>
  <si>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</si>
  <si>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</si>
  <si>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</si>
  <si>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</si>
  <si>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</si>
  <si>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</si>
  <si>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</si>
  <si>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</si>
  <si>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</si>
  <si>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</si>
  <si>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</si>
  <si>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</si>
  <si>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</si>
  <si>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</si>
  <si>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</si>
  <si>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</si>
  <si>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</si>
  <si>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</si>
  <si>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</si>
  <si>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</si>
  <si>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</si>
  <si>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</si>
  <si>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</si>
  <si>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</si>
  <si>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</si>
  <si>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</si>
  <si>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</si>
  <si>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</si>
  <si>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</si>
  <si>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</si>
  <si>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</si>
  <si>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</si>
  <si>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</si>
  <si>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</si>
  <si>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</si>
  <si>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</si>
  <si>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</si>
  <si>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</si>
  <si>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</si>
  <si>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</si>
  <si>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</si>
  <si>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</si>
  <si>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</si>
  <si>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</si>
  <si>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</si>
  <si>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</si>
  <si>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</si>
  <si>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</si>
  <si>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</si>
  <si>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</si>
  <si>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</si>
  <si>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</si>
  <si>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</si>
  <si>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</si>
  <si>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</si>
  <si>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</si>
  <si>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</si>
  <si>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</si>
  <si>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</si>
  <si>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</si>
  <si>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</si>
  <si>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</si>
  <si>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</si>
  <si>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</si>
  <si>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</si>
  <si>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</si>
  <si>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</si>
  <si>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</si>
  <si>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</si>
  <si>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</si>
  <si>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</si>
  <si>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</si>
  <si>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</si>
  <si>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</si>
  <si>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</si>
  <si>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</si>
  <si>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</si>
  <si>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</si>
  <si>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</si>
  <si>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</si>
  <si>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</si>
  <si>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</si>
  <si>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</si>
  <si>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</si>
  <si>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</si>
  <si>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</si>
  <si>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</si>
  <si>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</si>
  <si>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</si>
  <si>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</si>
  <si>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</si>
  <si>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</si>
  <si>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</si>
  <si>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</si>
  <si>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</si>
  <si>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</si>
  <si>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</si>
  <si>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</si>
  <si>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</si>
  <si>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</si>
  <si>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</si>
  <si>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</si>
  <si>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</si>
  <si>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</si>
  <si>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</si>
  <si>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</si>
  <si>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</si>
  <si>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</si>
  <si>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</si>
  <si>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</si>
  <si>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</si>
  <si>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</si>
  <si>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</si>
  <si>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</si>
  <si>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</si>
  <si>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</si>
  <si>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</si>
  <si>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</si>
  <si>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</si>
  <si>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</si>
  <si>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</si>
  <si>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</si>
  <si>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</si>
  <si>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</si>
  <si>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</si>
  <si>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</si>
  <si>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</si>
  <si>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</si>
  <si>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</si>
  <si>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</si>
  <si>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</si>
  <si>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</si>
  <si>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</si>
  <si>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</si>
  <si>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</si>
  <si>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</si>
  <si>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</si>
  <si>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</si>
  <si>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</si>
  <si>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</si>
  <si>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</si>
  <si>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</si>
  <si>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</si>
  <si>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</si>
  <si>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</si>
  <si>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</si>
  <si>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</si>
  <si>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</si>
  <si>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</si>
  <si>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</si>
  <si>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</si>
  <si>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</si>
  <si>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</si>
  <si>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</si>
  <si>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</si>
  <si>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</si>
  <si>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</si>
  <si>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</si>
  <si>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</si>
  <si>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</si>
  <si>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</si>
  <si>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</si>
  <si>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</si>
  <si>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</si>
  <si>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</si>
  <si>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</si>
  <si>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</si>
  <si>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</si>
  <si>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</si>
  <si>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</si>
  <si>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</si>
  <si>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</si>
  <si>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</si>
  <si>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</si>
  <si>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</si>
  <si>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</si>
  <si>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</si>
  <si>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</si>
  <si>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</si>
  <si>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</si>
  <si>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</si>
  <si>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</si>
  <si>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</si>
  <si>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</si>
  <si>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</si>
  <si>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</si>
  <si>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</si>
  <si>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</si>
  <si>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</si>
  <si>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</si>
  <si>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</si>
  <si>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</si>
  <si>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</si>
  <si>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</si>
  <si>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</si>
  <si>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</si>
  <si>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</si>
  <si>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</si>
  <si>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</si>
  <si>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</si>
  <si>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</si>
  <si>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</si>
  <si>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</si>
  <si>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</si>
  <si>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</si>
  <si>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</si>
  <si>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</si>
  <si>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</si>
  <si>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</si>
  <si>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</si>
  <si>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</si>
  <si>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</si>
  <si>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</si>
  <si>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</si>
  <si>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</si>
  <si>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</si>
  <si>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</si>
  <si>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</si>
  <si>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</si>
  <si>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</si>
  <si>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</si>
  <si>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</si>
  <si>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</si>
  <si>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</si>
  <si>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</si>
  <si>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</si>
  <si>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</si>
  <si>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</si>
  <si>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</si>
  <si>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</si>
  <si>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</si>
  <si>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</si>
  <si>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</si>
  <si>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</si>
  <si>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</si>
  <si>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</si>
  <si>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</si>
  <si>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</si>
  <si>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</si>
  <si>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</si>
  <si>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</si>
  <si>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</si>
  <si>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</si>
  <si>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</si>
  <si>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</si>
  <si>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</si>
  <si>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</si>
  <si>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</si>
  <si>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</si>
  <si>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</si>
  <si>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</si>
  <si>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</si>
  <si>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</si>
  <si>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</si>
  <si>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</si>
  <si>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</si>
  <si>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</si>
  <si>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</si>
  <si>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</si>
  <si>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</si>
  <si>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</si>
  <si>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</si>
  <si>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</si>
  <si>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</si>
  <si>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</si>
  <si>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</si>
  <si>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</si>
  <si>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</si>
  <si>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</si>
  <si>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</si>
  <si>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</si>
  <si>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</si>
  <si>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</si>
  <si>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</si>
  <si>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</si>
  <si>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</si>
  <si>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</si>
  <si>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</si>
  <si>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</si>
  <si>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</si>
  <si>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</si>
  <si>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</si>
  <si>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</si>
  <si>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</si>
  <si>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</si>
  <si>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</si>
  <si>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</si>
  <si>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</si>
  <si>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</si>
  <si>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</si>
  <si>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</si>
  <si>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</si>
  <si>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</si>
  <si>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</si>
  <si>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</si>
  <si>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</si>
  <si>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</si>
  <si>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</si>
  <si>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</si>
  <si>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</si>
  <si>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</si>
  <si>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</si>
  <si>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</si>
  <si>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</si>
  <si>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</si>
  <si>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</si>
  <si>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</si>
  <si>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</si>
  <si>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</si>
  <si>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</si>
  <si>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</si>
  <si>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</si>
  <si>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</si>
  <si>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</si>
  <si>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</si>
  <si>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</si>
  <si>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</si>
  <si>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</si>
  <si>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</si>
  <si>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</si>
  <si>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</si>
  <si>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</si>
  <si>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</si>
  <si>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</si>
  <si>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</si>
  <si>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</si>
  <si>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</si>
  <si>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</si>
  <si>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</si>
  <si>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</si>
  <si>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</si>
  <si>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</si>
  <si>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</si>
  <si>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</si>
  <si>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</si>
  <si>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</si>
  <si>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</si>
  <si>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</si>
  <si>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</si>
  <si>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</si>
  <si>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</si>
  <si>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</si>
  <si>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</si>
  <si>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</si>
  <si>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</si>
  <si>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</si>
  <si>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</si>
  <si>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</si>
  <si>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</si>
  <si>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</si>
  <si>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</si>
  <si>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</si>
  <si>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</si>
  <si>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</si>
  <si>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</si>
  <si>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</si>
  <si>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</si>
  <si>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</si>
  <si>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</si>
  <si>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</si>
  <si>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</si>
  <si>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</si>
  <si>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</si>
  <si>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</si>
  <si>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</si>
  <si>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</si>
  <si>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</si>
  <si>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</si>
  <si>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</si>
  <si>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</si>
  <si>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</si>
  <si>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</si>
  <si>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</si>
  <si>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</si>
  <si>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</si>
  <si>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</si>
  <si>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</si>
  <si>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</si>
  <si>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</si>
  <si>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</si>
  <si>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</si>
  <si>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</si>
  <si>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</si>
  <si>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</si>
  <si>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</si>
  <si>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</si>
  <si>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</si>
  <si>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</si>
  <si>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</si>
  <si>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</si>
  <si>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</si>
  <si>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</si>
  <si>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</si>
  <si>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</si>
  <si>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</si>
  <si>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</si>
  <si>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</si>
  <si>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</si>
  <si>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</si>
  <si>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</si>
  <si>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</si>
  <si>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</si>
  <si>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</si>
  <si>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</si>
  <si>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</si>
  <si>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</si>
  <si>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</si>
  <si>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</si>
  <si>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</si>
  <si>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</si>
  <si>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</si>
  <si>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</si>
  <si>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</si>
  <si>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</si>
  <si>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</si>
  <si>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</si>
  <si>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</si>
  <si>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</si>
  <si>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</si>
  <si>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</si>
  <si>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</si>
  <si>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</si>
  <si>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</si>
  <si>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</si>
  <si>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</si>
  <si>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</si>
  <si>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</si>
  <si>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</si>
  <si>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</si>
  <si>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</si>
  <si>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</si>
  <si>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</si>
  <si>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</si>
  <si>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</si>
  <si>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</si>
  <si>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</si>
  <si>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</si>
  <si>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</si>
  <si>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</si>
  <si>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</si>
  <si>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</si>
  <si>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</si>
  <si>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</si>
  <si>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</si>
  <si>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</si>
  <si>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</si>
  <si>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</si>
  <si>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</si>
  <si>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</si>
  <si>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</si>
  <si>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</si>
  <si>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</si>
  <si>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</si>
  <si>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</si>
  <si>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</si>
  <si>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</si>
  <si>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</si>
  <si>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</si>
  <si>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</si>
  <si>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</si>
  <si>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</si>
  <si>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</si>
  <si>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</si>
  <si>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</si>
  <si>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</si>
  <si>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</si>
  <si>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</si>
  <si>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</si>
  <si>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</si>
  <si>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</si>
  <si>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</si>
  <si>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</si>
  <si>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</si>
  <si>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</si>
  <si>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</si>
  <si>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</si>
  <si>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</si>
  <si>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</si>
  <si>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</si>
  <si>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</si>
  <si>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</si>
  <si>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</si>
  <si>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</si>
  <si>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</si>
  <si>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</si>
  <si>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</si>
  <si>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</si>
  <si>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</si>
  <si>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</si>
  <si>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</si>
  <si>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</si>
  <si>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</si>
  <si>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</si>
  <si>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</si>
  <si>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</si>
  <si>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</si>
  <si>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</si>
  <si>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</si>
  <si>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</si>
  <si>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</si>
  <si>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</si>
  <si>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</si>
  <si>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</si>
  <si>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</si>
  <si>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</si>
  <si>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</si>
  <si>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</si>
  <si>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</si>
  <si>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</si>
  <si>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</si>
  <si>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</si>
  <si>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</si>
  <si>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</si>
  <si>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</si>
  <si>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</si>
  <si>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</si>
  <si>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</si>
  <si>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</si>
  <si>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</si>
  <si>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</si>
  <si>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</si>
  <si>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</si>
  <si>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</si>
  <si>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</si>
  <si>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</si>
  <si>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</si>
  <si>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</si>
  <si>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</si>
  <si>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</si>
  <si>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</si>
  <si>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</si>
  <si>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</si>
  <si>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</si>
  <si>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</si>
  <si>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</si>
  <si>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</si>
  <si>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</si>
  <si>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</si>
  <si>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</si>
  <si>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</si>
  <si>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</si>
  <si>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</si>
  <si>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</si>
  <si>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</si>
  <si>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</si>
  <si>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</si>
  <si>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</si>
  <si>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</si>
  <si>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</si>
  <si>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</si>
  <si>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</si>
  <si>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</si>
  <si>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</si>
  <si>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</si>
  <si>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</si>
  <si>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</si>
  <si>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</si>
  <si>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</si>
  <si>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</si>
  <si>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</si>
  <si>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</si>
  <si>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</si>
  <si>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</si>
  <si>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</si>
  <si>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</si>
  <si>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</si>
  <si>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</si>
  <si>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</si>
  <si>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</si>
  <si>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</si>
  <si>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</si>
  <si>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</si>
  <si>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</si>
  <si>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</si>
  <si>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</si>
  <si>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</si>
  <si>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</si>
  <si>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</si>
  <si>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</si>
  <si>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</si>
  <si>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</si>
  <si>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</si>
  <si>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</si>
  <si>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</si>
  <si>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</si>
  <si>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</si>
  <si>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</si>
  <si>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</si>
  <si>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</si>
  <si>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</si>
  <si>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</si>
  <si>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</si>
  <si>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</si>
  <si>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</si>
  <si>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</si>
  <si>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</si>
  <si>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</si>
  <si>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</si>
  <si>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</si>
  <si>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</si>
  <si>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</si>
  <si>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</si>
  <si>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</si>
  <si>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</si>
  <si>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</si>
  <si>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</si>
  <si>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</si>
  <si>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</si>
  <si>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</si>
  <si>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</si>
  <si>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</si>
  <si>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</si>
  <si>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</si>
  <si>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</si>
  <si>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</si>
  <si>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</si>
  <si>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</si>
  <si>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</si>
  <si>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</si>
  <si>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</si>
  <si>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</si>
  <si>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</si>
  <si>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</si>
  <si>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</si>
  <si>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</si>
  <si>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</si>
  <si>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</si>
  <si>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</si>
  <si>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</si>
  <si>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</si>
  <si>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</si>
  <si>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</si>
  <si>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</si>
  <si>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</si>
  <si>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</si>
  <si>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</si>
  <si>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</si>
  <si>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</si>
  <si>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</si>
  <si>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</si>
  <si>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</si>
  <si>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</si>
  <si>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</si>
  <si>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</si>
  <si>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</si>
  <si>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</si>
  <si>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</si>
  <si>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</si>
  <si>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</si>
  <si>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</si>
  <si>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</si>
  <si>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</si>
  <si>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</si>
  <si>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</si>
  <si>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</si>
  <si>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</si>
  <si>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</si>
  <si>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</si>
  <si>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</si>
  <si>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</si>
  <si>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</si>
  <si>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</si>
  <si>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</si>
  <si>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</si>
  <si>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</si>
  <si>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</si>
  <si>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</si>
  <si>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</si>
  <si>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</si>
  <si>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</si>
  <si>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</si>
  <si>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</si>
  <si>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</si>
  <si>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</si>
  <si>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</si>
  <si>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</si>
  <si>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</si>
  <si>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</si>
  <si>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</si>
  <si>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</si>
  <si>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</si>
  <si>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</si>
  <si>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</si>
  <si>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</si>
  <si>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</si>
  <si>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</si>
  <si>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</si>
  <si>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</si>
  <si>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</si>
  <si>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</si>
  <si>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</si>
  <si>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</si>
  <si>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</si>
  <si>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</si>
  <si>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</si>
  <si>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</si>
  <si>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</si>
  <si>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</si>
  <si>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</si>
  <si>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</si>
  <si>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</si>
  <si>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</si>
  <si>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</si>
  <si>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</si>
  <si>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</si>
  <si>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</si>
  <si>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</si>
  <si>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</si>
  <si>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</si>
  <si>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</si>
  <si>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</si>
  <si>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</si>
  <si>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</si>
  <si>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</si>
  <si>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</si>
  <si>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</si>
  <si>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</si>
  <si>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</si>
  <si>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</si>
  <si>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</si>
  <si>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</si>
  <si>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</si>
  <si>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</si>
  <si>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</si>
  <si>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</si>
  <si>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</si>
  <si>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</si>
  <si>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</si>
  <si>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</si>
  <si>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</si>
  <si>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</si>
  <si>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</si>
  <si>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</si>
  <si>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</si>
  <si>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</si>
  <si>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</si>
  <si>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</si>
  <si>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</si>
  <si>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</si>
  <si>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</si>
  <si>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</si>
  <si>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</si>
  <si>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</si>
  <si>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</si>
  <si>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</si>
  <si>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</si>
  <si>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</si>
  <si>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</si>
  <si>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</si>
  <si>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</si>
  <si>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</si>
  <si>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</si>
  <si>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</si>
  <si>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</si>
  <si>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</si>
  <si>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</si>
  <si>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</si>
  <si>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</si>
  <si>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</si>
  <si>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</si>
  <si>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</si>
  <si>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</si>
  <si>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</si>
  <si>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</si>
  <si>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</si>
  <si>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</si>
  <si>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</si>
  <si>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</si>
  <si>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</si>
  <si>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</si>
  <si>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</si>
  <si>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</si>
  <si>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</si>
  <si>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</si>
  <si>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</si>
  <si>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</si>
  <si>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</si>
  <si>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</si>
  <si>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</si>
  <si>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</si>
  <si>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</si>
  <si>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</si>
  <si>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</si>
  <si>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</si>
  <si>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</si>
  <si>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</si>
  <si>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</si>
  <si>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</si>
  <si>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</si>
  <si>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</si>
  <si>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</si>
  <si>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</si>
  <si>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</si>
  <si>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</si>
  <si>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</si>
  <si>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</si>
  <si>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</si>
  <si>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</si>
  <si>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</si>
  <si>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</si>
  <si>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</si>
  <si>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</si>
  <si>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</si>
  <si>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</si>
  <si>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</si>
  <si>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</si>
  <si>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</si>
  <si>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</si>
  <si>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</si>
  <si>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</si>
  <si>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</si>
  <si>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</si>
  <si>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</si>
  <si>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</si>
  <si>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</si>
  <si>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</si>
  <si>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</si>
  <si>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</si>
  <si>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</si>
  <si>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</si>
  <si>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</si>
  <si>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</si>
  <si>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</si>
  <si>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</si>
  <si>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</si>
  <si>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</si>
  <si>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</si>
  <si>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</si>
  <si>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</si>
  <si>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</si>
  <si>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</si>
  <si>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</si>
  <si>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</si>
  <si>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</si>
  <si>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</si>
  <si>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</si>
  <si>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</si>
  <si>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</si>
  <si>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</si>
  <si>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</si>
  <si>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</si>
  <si>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</si>
  <si>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</si>
  <si>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</si>
  <si>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</si>
  <si>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</si>
  <si>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</si>
  <si>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</si>
  <si>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</si>
  <si>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</si>
  <si>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</si>
  <si>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</si>
  <si>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</si>
  <si>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</si>
  <si>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</si>
  <si>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</si>
  <si>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</si>
  <si>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</si>
  <si>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</si>
  <si>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</si>
  <si>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</si>
  <si>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</si>
  <si>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</si>
  <si>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</si>
  <si>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</si>
  <si>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</si>
  <si>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</si>
  <si>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</si>
  <si>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</si>
  <si>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</si>
  <si>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</si>
  <si>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</si>
  <si>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</si>
  <si>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</si>
  <si>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</si>
  <si>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</si>
  <si>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</si>
  <si>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</si>
  <si>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</si>
  <si>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</si>
  <si>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</si>
  <si>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</si>
  <si>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</si>
  <si>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</si>
  <si>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</si>
  <si>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</si>
  <si>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</si>
  <si>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</si>
  <si>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</si>
  <si>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</si>
  <si>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</si>
  <si>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</si>
  <si>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</si>
  <si>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</si>
  <si>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</si>
  <si>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</si>
  <si>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</si>
  <si>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</si>
  <si>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</si>
  <si>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</si>
  <si>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</si>
  <si>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</si>
  <si>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</si>
  <si>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</si>
  <si>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</si>
  <si>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</si>
  <si>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</si>
  <si>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</si>
  <si>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</si>
  <si>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</si>
  <si>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</si>
  <si>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</si>
  <si>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</si>
  <si>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</si>
  <si>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</si>
  <si>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</si>
  <si>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</si>
  <si>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</si>
  <si>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</si>
  <si>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</si>
  <si>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</si>
  <si>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</si>
  <si>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</si>
  <si>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</si>
  <si>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</si>
  <si>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</si>
  <si>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</si>
  <si>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</si>
  <si>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</si>
  <si>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</si>
  <si>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</si>
  <si>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</si>
  <si>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</si>
  <si>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</si>
  <si>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</si>
  <si>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</si>
  <si>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</si>
  <si>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</si>
  <si>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</si>
  <si>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</si>
  <si>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</si>
  <si>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</si>
  <si>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</si>
  <si>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</si>
  <si>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</si>
  <si>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</si>
  <si>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</si>
  <si>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</si>
  <si>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</si>
  <si>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</si>
  <si>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</si>
  <si>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</si>
  <si>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</si>
  <si>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</si>
  <si>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</si>
  <si>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</si>
  <si>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</si>
  <si>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</si>
  <si>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</si>
  <si>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</si>
  <si>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</si>
  <si>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</si>
  <si>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</si>
  <si>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</si>
  <si>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</si>
  <si>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</si>
  <si>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</si>
  <si>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</si>
  <si>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</si>
  <si>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</si>
  <si>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</si>
  <si>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</si>
  <si>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</si>
  <si>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</si>
  <si>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</si>
  <si>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</si>
  <si>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</si>
  <si>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</si>
  <si>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</si>
  <si>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</si>
  <si>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</si>
  <si>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</si>
  <si>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</si>
  <si>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</si>
  <si>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</si>
  <si>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</si>
  <si>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</si>
  <si>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</si>
  <si>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</si>
  <si>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</si>
  <si>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</si>
  <si>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</si>
  <si>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</si>
  <si>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</si>
  <si>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</si>
  <si>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</si>
  <si>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</si>
  <si>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</si>
  <si>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</si>
  <si>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</si>
  <si>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</si>
  <si>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</si>
  <si>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</si>
  <si>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</si>
  <si>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</si>
  <si>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</si>
  <si>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</si>
  <si>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</si>
  <si>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</si>
  <si>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</si>
  <si>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</si>
  <si>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</si>
  <si>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</si>
  <si>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</si>
  <si>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</si>
  <si>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</si>
  <si>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</si>
  <si>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</si>
  <si>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</si>
  <si>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</si>
  <si>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</si>
  <si>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</si>
  <si>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</si>
  <si>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</si>
  <si>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</si>
  <si>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</si>
  <si>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</si>
  <si>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</si>
  <si>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</si>
  <si>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</si>
  <si>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</si>
  <si>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</si>
  <si>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</si>
  <si>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</si>
  <si>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</si>
  <si>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</si>
  <si>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</si>
  <si>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</si>
  <si>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</si>
  <si>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</si>
  <si>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</si>
  <si>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</si>
  <si>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</si>
  <si>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</si>
  <si>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</si>
  <si>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</si>
  <si>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</si>
  <si>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</si>
  <si>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</si>
  <si>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</si>
  <si>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</si>
  <si>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</si>
  <si>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</si>
  <si>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</si>
  <si>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</si>
  <si>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</si>
  <si>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</si>
  <si>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</si>
  <si>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</si>
  <si>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</si>
  <si>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</si>
  <si>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</si>
  <si>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</si>
  <si>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</si>
  <si>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</si>
  <si>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</si>
  <si>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</si>
  <si>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</si>
  <si>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</si>
  <si>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</si>
  <si>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</si>
  <si>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</si>
  <si>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</si>
  <si>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</si>
  <si>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</si>
  <si>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</si>
  <si>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</si>
  <si>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</si>
  <si>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</si>
  <si>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</si>
  <si>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</si>
  <si>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</si>
  <si>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</si>
  <si>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</si>
  <si>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</si>
  <si>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</si>
  <si>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</si>
  <si>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</si>
  <si>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</si>
  <si>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</si>
  <si>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</si>
  <si>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</si>
  <si>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</si>
  <si>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</si>
  <si>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</si>
  <si>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</si>
  <si>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</si>
  <si>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</si>
  <si>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</si>
  <si>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</si>
  <si>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</si>
  <si>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</si>
  <si>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</si>
  <si>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</si>
  <si>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</si>
  <si>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</si>
  <si>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</si>
  <si>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</si>
  <si>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</si>
  <si>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</si>
  <si>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</si>
  <si>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</si>
  <si>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</si>
  <si>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</si>
  <si>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</si>
  <si>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</si>
  <si>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</si>
  <si>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</si>
  <si>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</si>
  <si>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</si>
  <si>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</si>
  <si>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</si>
  <si>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</si>
  <si>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</si>
  <si>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</si>
  <si>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</si>
  <si>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</si>
  <si>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</si>
  <si>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</si>
  <si>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</si>
  <si>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</si>
  <si>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</si>
  <si>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</si>
  <si>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</si>
  <si>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</si>
  <si>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</si>
  <si>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</si>
  <si>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</si>
  <si>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</si>
  <si>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</si>
  <si>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</si>
  <si>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</si>
  <si>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</si>
  <si>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</si>
  <si>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</si>
  <si>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</si>
  <si>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</si>
  <si>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</si>
  <si>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</si>
  <si>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</si>
  <si>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</si>
  <si>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</si>
  <si>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</si>
  <si>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</si>
  <si>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</si>
  <si>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</si>
  <si>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</si>
  <si>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</si>
  <si>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</si>
  <si>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</si>
  <si>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</si>
  <si>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</si>
  <si>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</si>
  <si>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</si>
  <si>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</si>
  <si>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</si>
  <si>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</si>
  <si>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</si>
  <si>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</si>
  <si>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</si>
  <si>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</si>
  <si>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</si>
  <si>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</si>
  <si>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</si>
  <si>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</si>
  <si>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</si>
  <si>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</si>
  <si>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</si>
  <si>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</si>
  <si>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</si>
  <si>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</si>
  <si>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</si>
  <si>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</si>
  <si>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</si>
  <si>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</si>
  <si>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</si>
  <si>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</si>
  <si>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</si>
  <si>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</si>
  <si>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</si>
  <si>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</si>
  <si>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</si>
  <si>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</si>
  <si>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</si>
  <si>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</si>
  <si>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</si>
  <si>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</si>
  <si>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</si>
  <si>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</si>
  <si>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</si>
  <si>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</si>
  <si>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</si>
  <si>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</si>
  <si>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</si>
  <si>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</si>
  <si>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</si>
  <si>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</si>
  <si>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</si>
  <si>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</si>
  <si>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</si>
  <si>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</si>
  <si>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</si>
  <si>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</si>
  <si>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</si>
  <si>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</si>
  <si>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</si>
  <si>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</si>
  <si>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</si>
  <si>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</si>
  <si>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</si>
  <si>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</si>
  <si>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</si>
  <si>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</si>
  <si>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</si>
  <si>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</si>
  <si>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</si>
  <si>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</si>
  <si>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</si>
  <si>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</si>
  <si>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</si>
  <si>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</si>
  <si>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</si>
  <si>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</si>
  <si>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</si>
  <si>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</si>
  <si>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</si>
  <si>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</si>
  <si>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</si>
  <si>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</si>
  <si>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</si>
  <si>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</si>
  <si>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</si>
  <si>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</si>
  <si>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</si>
  <si>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</si>
  <si>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</si>
  <si>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</si>
  <si>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</si>
  <si>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</si>
  <si>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</si>
  <si>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</si>
  <si>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</si>
  <si>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</si>
  <si>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</si>
  <si>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</si>
  <si>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</si>
  <si>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</si>
  <si>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</si>
  <si>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</si>
  <si>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</si>
  <si>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</si>
  <si>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</si>
  <si>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</si>
  <si>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</si>
  <si>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</si>
  <si>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</si>
  <si>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</si>
  <si>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</si>
  <si>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</si>
  <si>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</si>
  <si>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</si>
  <si>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</si>
  <si>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</si>
  <si>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</si>
  <si>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</si>
  <si>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</si>
  <si>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</si>
  <si>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</si>
  <si>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</si>
  <si>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</si>
  <si>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</si>
  <si>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</si>
  <si>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</si>
  <si>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</si>
  <si>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</si>
  <si>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</si>
  <si>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</si>
  <si>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</si>
  <si>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</si>
  <si>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</si>
  <si>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</si>
  <si>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</si>
  <si>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</si>
  <si>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</si>
  <si>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</si>
  <si>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</si>
  <si>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</si>
  <si>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</si>
  <si>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</si>
  <si>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</si>
  <si>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</si>
  <si>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</si>
  <si>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</si>
  <si>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</si>
  <si>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</si>
  <si>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</si>
  <si>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</si>
  <si>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</si>
  <si>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</si>
  <si>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</si>
  <si>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</si>
  <si>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</si>
  <si>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</si>
  <si>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</si>
  <si>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</si>
  <si>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</si>
  <si>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</si>
  <si>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</si>
  <si>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</si>
  <si>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</si>
  <si>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</si>
  <si>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</si>
  <si>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</si>
  <si>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</si>
  <si>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</si>
  <si>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</si>
  <si>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</si>
  <si>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</si>
  <si>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</si>
  <si>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</si>
  <si>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</si>
  <si>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</si>
  <si>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</si>
  <si>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</si>
  <si>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</si>
  <si>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</si>
  <si>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</si>
  <si>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</si>
  <si>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</si>
  <si>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</si>
  <si>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</si>
  <si>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</si>
  <si>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</si>
  <si>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</si>
  <si>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</si>
  <si>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</si>
  <si>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</si>
  <si>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</si>
  <si>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</si>
  <si>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</si>
  <si>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</si>
  <si>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</si>
  <si>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</si>
  <si>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</si>
  <si>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</si>
  <si>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</si>
  <si>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</si>
  <si>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</si>
  <si>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</si>
  <si>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</si>
  <si>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</si>
  <si>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</si>
  <si>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</si>
  <si>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</si>
  <si>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</si>
  <si>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</si>
  <si>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</si>
  <si>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</si>
  <si>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</si>
  <si>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</si>
  <si>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</si>
  <si>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</si>
  <si>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</si>
  <si>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</si>
  <si>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</si>
  <si>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</si>
  <si>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</si>
  <si>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</si>
  <si>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</si>
  <si>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</si>
  <si>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</si>
  <si>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</si>
  <si>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</si>
  <si>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</si>
  <si>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</si>
  <si>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</si>
  <si>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</si>
  <si>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</si>
  <si>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</si>
  <si>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</si>
  <si>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</si>
  <si>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</si>
  <si>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</si>
  <si>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</si>
  <si>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</si>
  <si>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</si>
  <si>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</si>
  <si>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</si>
  <si>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</si>
  <si>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</si>
  <si>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</si>
  <si>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</si>
  <si>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</si>
  <si>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</si>
  <si>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</si>
  <si>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</si>
  <si>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</si>
  <si>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</si>
  <si>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</si>
  <si>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</si>
  <si>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</si>
  <si>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</si>
  <si>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</si>
  <si>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</si>
  <si>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</si>
  <si>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</si>
  <si>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</si>
  <si>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</si>
  <si>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</si>
  <si>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</si>
  <si>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</si>
  <si>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</si>
  <si>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</si>
  <si>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</si>
  <si>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</si>
  <si>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</si>
  <si>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</si>
  <si>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</si>
  <si>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</si>
  <si>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</si>
  <si>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</si>
  <si>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</si>
  <si>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</si>
  <si>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</si>
  <si>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</si>
  <si>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</si>
  <si>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</si>
  <si>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</si>
  <si>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</si>
  <si>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</si>
  <si>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</si>
  <si>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</si>
  <si>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</si>
  <si>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</si>
  <si>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</si>
  <si>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</si>
  <si>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</si>
  <si>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</si>
  <si>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</si>
  <si>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</si>
  <si>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</si>
  <si>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</si>
  <si>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</si>
  <si>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</si>
  <si>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</si>
  <si>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</si>
  <si>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</si>
  <si>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</si>
  <si>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</si>
  <si>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</si>
  <si>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</si>
  <si>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</si>
  <si>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</si>
  <si>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</si>
  <si>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</si>
  <si>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</si>
  <si>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</si>
  <si>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</si>
  <si>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</si>
  <si>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</si>
  <si>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</si>
  <si>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</si>
  <si>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</si>
  <si>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</si>
  <si>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</si>
  <si>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</si>
  <si>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</si>
  <si>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</si>
  <si>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</si>
  <si>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</si>
  <si>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</si>
  <si>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</si>
  <si>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</si>
  <si>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</si>
  <si>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</si>
  <si>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</si>
  <si>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</si>
  <si>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</si>
  <si>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</si>
  <si>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</si>
  <si>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</si>
  <si>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</si>
  <si>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</si>
  <si>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</si>
  <si>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</si>
  <si>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</si>
  <si>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</si>
  <si>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</si>
  <si>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</si>
  <si>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</si>
  <si>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</si>
  <si>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</si>
  <si>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</si>
  <si>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</si>
  <si>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</si>
  <si>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</si>
  <si>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</si>
  <si>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</si>
  <si>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</si>
  <si>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</si>
  <si>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</si>
  <si>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</si>
  <si>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</si>
  <si>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</si>
  <si>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</si>
  <si>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</si>
  <si>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</si>
  <si>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</si>
  <si>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</si>
  <si>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</si>
  <si>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</si>
  <si>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</si>
  <si>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</si>
  <si>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</si>
  <si>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</si>
  <si>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</si>
  <si>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</si>
  <si>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</si>
  <si>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</si>
  <si>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</si>
  <si>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</si>
  <si>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</si>
  <si>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</si>
  <si>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</si>
  <si>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</si>
  <si>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</si>
  <si>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</si>
  <si>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</si>
  <si>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</si>
  <si>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</si>
  <si>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</si>
  <si>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</si>
  <si>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</si>
  <si>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</si>
  <si>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</si>
  <si>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</si>
  <si>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</si>
  <si>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</si>
  <si>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</si>
  <si>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</si>
  <si>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</si>
  <si>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</si>
  <si>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</si>
  <si>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</si>
  <si>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</si>
  <si>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</si>
  <si>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</si>
  <si>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</si>
  <si>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</si>
  <si>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</si>
  <si>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</si>
  <si>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</si>
  <si>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</si>
  <si>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</si>
  <si>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</si>
  <si>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</si>
  <si>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</si>
  <si>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</si>
  <si>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</si>
  <si>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</si>
  <si>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</si>
  <si>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</si>
  <si>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</si>
  <si>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</si>
  <si>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</si>
  <si>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</si>
  <si>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</si>
  <si>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</si>
  <si>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</si>
  <si>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</si>
  <si>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</si>
  <si>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</si>
  <si>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</si>
  <si>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</si>
  <si>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</si>
  <si>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</si>
  <si>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</si>
  <si>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</si>
  <si>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</si>
  <si>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</si>
  <si>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</si>
  <si>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</si>
  <si>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</si>
  <si>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</si>
  <si>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</si>
  <si>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</si>
  <si>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</si>
  <si>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</si>
  <si>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</si>
  <si>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</si>
  <si>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</si>
  <si>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</si>
  <si>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</si>
  <si>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</si>
  <si>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</si>
  <si>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</si>
  <si>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</si>
  <si>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</si>
  <si>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</si>
  <si>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</si>
  <si>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</si>
  <si>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</si>
  <si>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</si>
  <si>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</si>
  <si>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</si>
  <si>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</si>
  <si>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</si>
  <si>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</si>
  <si>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</si>
  <si>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</si>
  <si>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</si>
  <si>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</si>
  <si>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</si>
  <si>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</si>
  <si>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</si>
  <si>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</si>
  <si>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</si>
  <si>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</si>
  <si>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</si>
  <si>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</si>
  <si>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</si>
  <si>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</si>
  <si>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</si>
  <si>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</si>
  <si>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</si>
  <si>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</si>
  <si>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</si>
  <si>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</si>
  <si>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</si>
  <si>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</si>
  <si>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</si>
  <si>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</si>
  <si>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</si>
  <si>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</si>
  <si>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</si>
  <si>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</si>
  <si>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</si>
  <si>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</si>
  <si>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</si>
  <si>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</si>
  <si>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</si>
  <si>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</si>
  <si>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</si>
  <si>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</si>
  <si>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</si>
  <si>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</si>
  <si>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</si>
  <si>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</si>
  <si>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</si>
  <si>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</si>
  <si>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</si>
  <si>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</si>
  <si>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</si>
  <si>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</si>
  <si>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</si>
  <si>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</si>
  <si>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</si>
  <si>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</si>
  <si>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</si>
  <si>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</si>
  <si>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</si>
  <si>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</si>
  <si>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</si>
  <si>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</si>
  <si>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</si>
  <si>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</si>
  <si>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</si>
  <si>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</si>
  <si>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</si>
  <si>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</si>
  <si>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</si>
  <si>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</si>
  <si>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</si>
  <si>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</si>
  <si>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</si>
  <si>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</si>
  <si>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</si>
  <si>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</si>
  <si>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</si>
  <si>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</si>
  <si>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</si>
  <si>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</si>
  <si>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</si>
  <si>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</si>
  <si>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</si>
  <si>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</si>
  <si>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</si>
  <si>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</si>
  <si>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</si>
  <si>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</si>
  <si>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</si>
  <si>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</si>
  <si>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</si>
  <si>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</si>
  <si>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</si>
  <si>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</si>
  <si>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</si>
  <si>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</si>
  <si>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</si>
  <si>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</si>
  <si>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</si>
  <si>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</si>
  <si>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</si>
  <si>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</si>
  <si>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</si>
  <si>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</si>
  <si>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</si>
  <si>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</si>
  <si>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</si>
  <si>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</si>
  <si>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</si>
  <si>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</si>
  <si>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</si>
  <si>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</si>
  <si>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</si>
  <si>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</si>
  <si>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</si>
  <si>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</si>
  <si>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</si>
  <si>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</si>
  <si>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</si>
  <si>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</si>
  <si>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</si>
  <si>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</si>
  <si>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</si>
  <si>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</si>
  <si>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</si>
  <si>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</si>
  <si>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</si>
  <si>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</si>
  <si>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</si>
  <si>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</si>
  <si>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</si>
  <si>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</si>
  <si>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</si>
  <si>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</si>
  <si>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</si>
  <si>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</si>
  <si>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</si>
  <si>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</si>
  <si>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</si>
  <si>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</si>
  <si>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</si>
  <si>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</si>
  <si>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</si>
  <si>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</si>
  <si>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</si>
  <si>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</si>
  <si>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</si>
  <si>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</si>
  <si>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</si>
  <si>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</si>
  <si>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</si>
  <si>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</si>
  <si>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</si>
  <si>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</si>
  <si>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</si>
  <si>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</si>
  <si>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</si>
  <si>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</si>
  <si>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</si>
  <si>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</si>
  <si>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</si>
  <si>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</si>
  <si>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</si>
  <si>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</si>
  <si>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</si>
  <si>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</si>
  <si>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</si>
  <si>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</si>
  <si>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</si>
  <si>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</si>
  <si>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</si>
  <si>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</si>
  <si>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</si>
  <si>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</si>
  <si>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</si>
  <si>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</si>
  <si>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</si>
  <si>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</si>
  <si>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</si>
  <si>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</si>
  <si>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</si>
  <si>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</si>
  <si>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</si>
  <si>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</si>
  <si>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</si>
  <si>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</si>
  <si>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</si>
  <si>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</si>
  <si>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</si>
  <si>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</si>
  <si>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</si>
  <si>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</si>
  <si>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</si>
  <si>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</si>
  <si>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</si>
  <si>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</si>
  <si>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</si>
  <si>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</si>
  <si>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</si>
  <si>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</si>
  <si>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</si>
  <si>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</si>
  <si>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</si>
  <si>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</si>
  <si>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</si>
  <si>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</si>
  <si>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</si>
  <si>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</si>
  <si>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</si>
  <si>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</si>
  <si>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</si>
  <si>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</si>
  <si>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</si>
  <si>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</si>
  <si>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</si>
  <si>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</si>
  <si>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</si>
  <si>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</si>
  <si>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</si>
  <si>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</si>
  <si>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</si>
  <si>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</si>
  <si>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</si>
  <si>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</si>
  <si>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</si>
  <si>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</si>
  <si>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</si>
  <si>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</si>
  <si>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</si>
  <si>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</si>
  <si>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</si>
  <si>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</si>
  <si>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</si>
  <si>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</si>
  <si>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</si>
  <si>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</si>
  <si>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</si>
  <si>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</si>
  <si>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</si>
  <si>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</si>
  <si>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</si>
  <si>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</si>
  <si>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</si>
  <si>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</si>
  <si>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</si>
  <si>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</si>
  <si>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</si>
  <si>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</si>
  <si>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</si>
  <si>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</si>
  <si>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</si>
  <si>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</si>
  <si>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</si>
  <si>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</si>
  <si>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</si>
  <si>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</si>
  <si>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</si>
  <si>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</si>
  <si>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</si>
  <si>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</si>
  <si>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</si>
  <si>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</si>
  <si>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</si>
  <si>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</si>
  <si>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</si>
  <si>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</si>
  <si>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</si>
  <si>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</si>
  <si>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</si>
  <si>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</si>
  <si>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</si>
  <si>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</si>
  <si>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</si>
  <si>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</si>
  <si>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</si>
  <si>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</si>
  <si>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</si>
  <si>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</si>
  <si>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</si>
  <si>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</si>
  <si>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</si>
  <si>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</si>
  <si>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</si>
  <si>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</si>
  <si>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</si>
  <si>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</si>
  <si>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</si>
  <si>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</si>
  <si>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</si>
  <si>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</si>
  <si>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</si>
  <si>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</si>
  <si>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</si>
  <si>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</si>
  <si>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</si>
  <si>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</si>
  <si>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</si>
  <si>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</si>
  <si>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</si>
  <si>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</si>
  <si>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</si>
  <si>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</si>
  <si>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</si>
  <si>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</si>
  <si>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</si>
  <si>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</si>
  <si>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</si>
  <si>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</si>
  <si>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</si>
  <si>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</si>
  <si>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</si>
  <si>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</si>
  <si>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</si>
  <si>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</si>
  <si>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</si>
  <si>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</si>
  <si>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</si>
  <si>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</si>
  <si>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</si>
  <si>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</si>
  <si>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</si>
  <si>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</si>
  <si>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</si>
  <si>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</si>
  <si>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</si>
  <si>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</si>
  <si>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</si>
  <si>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</si>
  <si>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</si>
  <si>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</si>
  <si>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</si>
  <si>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</si>
  <si>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</si>
  <si>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</si>
  <si>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</si>
  <si>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</si>
  <si>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</si>
  <si>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</si>
  <si>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</si>
  <si>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</si>
  <si>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</si>
  <si>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</si>
  <si>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</si>
  <si>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</si>
  <si>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</si>
  <si>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</si>
  <si>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</si>
  <si>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</si>
  <si>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</si>
  <si>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</si>
  <si>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</si>
  <si>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</si>
  <si>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</si>
  <si>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</si>
  <si>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</si>
  <si>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</si>
  <si>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</si>
  <si>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</si>
  <si>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</si>
  <si>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</si>
  <si>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</si>
  <si>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</si>
  <si>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</si>
  <si>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</si>
  <si>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</si>
  <si>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</si>
  <si>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</si>
  <si>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</si>
  <si>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</si>
  <si>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</si>
  <si>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</si>
  <si>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</si>
  <si>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</si>
  <si>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</si>
  <si>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</si>
  <si>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</si>
  <si>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</si>
  <si>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</si>
  <si>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</si>
  <si>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</si>
  <si>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</si>
  <si>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</si>
  <si>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</si>
  <si>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</si>
  <si>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</si>
  <si>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</si>
  <si>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</si>
  <si>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</si>
  <si>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</si>
  <si>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</si>
  <si>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</si>
  <si>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</si>
  <si>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</si>
  <si>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</si>
  <si>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</si>
  <si>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</si>
  <si>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</si>
  <si>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</si>
  <si>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</si>
  <si>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</si>
  <si>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</si>
  <si>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</si>
  <si>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</si>
  <si>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</si>
  <si>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</si>
  <si>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</si>
  <si>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</si>
  <si>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</si>
  <si>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</si>
  <si>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</si>
  <si>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</si>
  <si>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</si>
  <si>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</si>
  <si>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</si>
  <si>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</si>
  <si>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</si>
  <si>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</si>
  <si>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</si>
  <si>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</si>
  <si>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</si>
  <si>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</si>
  <si>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</si>
  <si>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</si>
  <si>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</si>
  <si>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</si>
  <si>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</si>
  <si>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</si>
  <si>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</si>
  <si>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</si>
  <si>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</si>
  <si>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</si>
  <si>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</si>
  <si>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</si>
  <si>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</si>
  <si>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</si>
  <si>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</si>
  <si>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</si>
  <si>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</si>
  <si>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</si>
  <si>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</si>
  <si>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</si>
  <si>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</si>
  <si>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</si>
  <si>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</si>
  <si>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</si>
  <si>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</si>
  <si>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</si>
  <si>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</si>
  <si>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</si>
  <si>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</si>
  <si>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</si>
  <si>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</si>
  <si>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</si>
  <si>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</si>
  <si>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</si>
  <si>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</si>
  <si>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</si>
  <si>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</si>
  <si>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</si>
  <si>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</si>
  <si>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</si>
  <si>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</si>
  <si>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</si>
  <si>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</si>
  <si>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</si>
  <si>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</si>
  <si>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</si>
  <si>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</si>
  <si>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</si>
  <si>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</si>
  <si>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</si>
  <si>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</si>
  <si>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</si>
  <si>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</si>
  <si>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</si>
  <si>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</si>
  <si>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</si>
  <si>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</si>
  <si>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</si>
  <si>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</si>
  <si>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</si>
  <si>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</si>
  <si>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</si>
  <si>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</si>
  <si>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</si>
  <si>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</si>
  <si>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</si>
  <si>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</si>
  <si>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</si>
  <si>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</si>
  <si>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</si>
  <si>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</si>
  <si>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</si>
  <si>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</si>
  <si>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</si>
  <si>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</si>
  <si>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</si>
  <si>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</si>
  <si>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</si>
  <si>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</si>
  <si>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</si>
  <si>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</si>
  <si>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</si>
  <si>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</si>
  <si>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</si>
  <si>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</si>
  <si>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</si>
  <si>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</si>
  <si>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</si>
  <si>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</si>
  <si>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</si>
  <si>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</si>
  <si>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</si>
  <si>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</si>
  <si>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</si>
  <si>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</si>
  <si>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</si>
  <si>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</si>
  <si>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</si>
  <si>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</si>
  <si>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</si>
  <si>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</si>
  <si>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</si>
  <si>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</si>
  <si>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</si>
  <si>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</si>
  <si>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</si>
  <si>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</si>
  <si>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</si>
  <si>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</si>
  <si>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</si>
  <si>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</si>
  <si>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</si>
  <si>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</si>
  <si>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</si>
  <si>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</si>
  <si>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</si>
  <si>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</si>
  <si>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</si>
  <si>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</si>
  <si>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</si>
  <si>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</si>
  <si>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</si>
  <si>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</si>
  <si>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</si>
  <si>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</si>
  <si>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</si>
  <si>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</si>
  <si>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</si>
  <si>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</si>
  <si>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</si>
  <si>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</si>
  <si>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</si>
  <si>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</si>
  <si>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</si>
  <si>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</si>
  <si>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</si>
  <si>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</si>
  <si>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</si>
  <si>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</si>
  <si>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</si>
  <si>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</si>
  <si>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</si>
  <si>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</si>
  <si>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</si>
  <si>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</si>
  <si>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</si>
  <si>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</si>
  <si>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</si>
  <si>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</si>
  <si>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</si>
  <si>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</si>
  <si>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</si>
  <si>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</si>
  <si>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</si>
  <si>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</si>
  <si>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</si>
  <si>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</si>
  <si>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</si>
  <si>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</si>
  <si>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</si>
  <si>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</si>
  <si>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</si>
  <si>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</si>
  <si>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</si>
  <si>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</si>
  <si>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</si>
  <si>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</si>
  <si>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</si>
  <si>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</si>
  <si>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</si>
  <si>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</si>
  <si>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</si>
  <si>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</si>
  <si>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</si>
  <si>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</si>
  <si>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</si>
  <si>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</si>
  <si>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</si>
  <si>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</si>
  <si>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</si>
  <si>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</si>
  <si>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</si>
  <si>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</si>
  <si>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</si>
  <si>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</si>
  <si>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</si>
  <si>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</si>
  <si>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</si>
  <si>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</si>
  <si>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</si>
  <si>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</si>
  <si>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</si>
  <si>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</si>
  <si>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</si>
  <si>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</si>
  <si>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</si>
  <si>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</si>
  <si>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</si>
  <si>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</si>
  <si>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</si>
  <si>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</si>
  <si>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</si>
  <si>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</si>
  <si>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</si>
  <si>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</si>
  <si>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</si>
  <si>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</si>
  <si>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</si>
  <si>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</si>
  <si>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</si>
  <si>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</si>
  <si>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</si>
  <si>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</si>
  <si>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</si>
  <si>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</si>
  <si>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</si>
  <si>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</si>
  <si>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</si>
  <si>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</si>
  <si>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</si>
  <si>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</si>
  <si>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</si>
  <si>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</si>
  <si>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</si>
  <si>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</si>
  <si>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</si>
  <si>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</si>
  <si>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</si>
  <si>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</si>
  <si>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</si>
  <si>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</si>
  <si>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</si>
  <si>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</si>
  <si>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</si>
  <si>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</si>
  <si>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</si>
  <si>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</si>
  <si>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</si>
  <si>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</si>
  <si>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</si>
  <si>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</si>
  <si>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</si>
  <si>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</si>
  <si>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</si>
  <si>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</si>
  <si>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</si>
  <si>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</si>
  <si>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</si>
  <si>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</si>
  <si>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</si>
  <si>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</si>
  <si>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</si>
  <si>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</si>
  <si>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</si>
  <si>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</si>
  <si>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</si>
  <si>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</si>
  <si>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</si>
  <si>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</si>
  <si>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</si>
  <si>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</si>
  <si>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</si>
  <si>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</si>
  <si>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</si>
  <si>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</si>
  <si>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</si>
  <si>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</si>
  <si>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</si>
  <si>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</si>
  <si>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</si>
  <si>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</si>
  <si>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</si>
  <si>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</si>
  <si>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</si>
  <si>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</si>
  <si>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</si>
  <si>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</si>
  <si>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</si>
  <si>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</si>
  <si>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</si>
  <si>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</si>
  <si>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</si>
  <si>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</si>
  <si>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</si>
  <si>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</si>
  <si>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</si>
  <si>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</si>
  <si>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</si>
  <si>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</si>
  <si>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</si>
  <si>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</si>
  <si>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</si>
  <si>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</si>
  <si>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</si>
  <si>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</si>
  <si>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</si>
  <si>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</si>
  <si>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</si>
  <si>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</si>
  <si>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</si>
  <si>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</si>
  <si>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</si>
  <si>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</si>
  <si>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</si>
  <si>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</si>
  <si>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</si>
  <si>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</si>
  <si>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</si>
  <si>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</si>
  <si>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</si>
  <si>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</si>
  <si>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</si>
  <si>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</si>
  <si>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</si>
  <si>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</si>
  <si>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</si>
  <si>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</si>
  <si>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</si>
  <si>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</si>
  <si>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</si>
  <si>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</si>
  <si>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</si>
  <si>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</si>
  <si>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</si>
  <si>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</si>
  <si>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</si>
  <si>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</si>
  <si>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</si>
  <si>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</si>
  <si>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</si>
  <si>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</si>
  <si>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</si>
  <si>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</si>
  <si>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</si>
  <si>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</si>
  <si>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</si>
  <si>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</si>
  <si>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</si>
  <si>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</si>
  <si>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</si>
  <si>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</si>
  <si>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</si>
  <si>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</si>
  <si>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</si>
  <si>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</si>
  <si>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</si>
  <si>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</si>
  <si>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</si>
  <si>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</si>
  <si>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</si>
  <si>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</si>
  <si>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</si>
  <si>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</si>
  <si>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</si>
  <si>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</si>
  <si>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</si>
  <si>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</si>
  <si>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</si>
  <si>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</si>
  <si>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</si>
  <si>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</si>
  <si>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</si>
  <si>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</si>
  <si>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</si>
  <si>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</si>
  <si>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</si>
  <si>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</si>
  <si>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</si>
  <si>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</si>
  <si>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</si>
  <si>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</si>
  <si>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</si>
  <si>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</si>
  <si>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</si>
  <si>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</si>
  <si>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</si>
  <si>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</si>
  <si>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</si>
  <si>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</si>
  <si>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</si>
  <si>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</si>
  <si>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</si>
  <si>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</si>
  <si>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</si>
  <si>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</si>
  <si>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</si>
  <si>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</si>
  <si>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</si>
  <si>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</si>
  <si>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</si>
  <si>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</si>
  <si>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</si>
  <si>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</si>
  <si>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</si>
  <si>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</si>
  <si>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</si>
  <si>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</si>
  <si>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</si>
  <si>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</si>
  <si>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</si>
  <si>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</si>
  <si>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</si>
  <si>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</si>
  <si>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</si>
  <si>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</si>
  <si>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</si>
  <si>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</si>
  <si>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</si>
  <si>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</si>
  <si>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</si>
  <si>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</si>
  <si>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</si>
  <si>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</si>
  <si>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</si>
  <si>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</si>
  <si>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</si>
  <si>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</si>
  <si>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</si>
  <si>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</si>
  <si>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</si>
  <si>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</si>
  <si>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</si>
  <si>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</si>
  <si>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</si>
  <si>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</si>
  <si>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</si>
  <si>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</si>
  <si>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</si>
  <si>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</si>
  <si>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</si>
  <si>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</si>
  <si>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</si>
  <si>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</si>
  <si>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</si>
  <si>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</si>
  <si>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</si>
  <si>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</si>
  <si>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</si>
  <si>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</si>
  <si>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</si>
  <si>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</si>
  <si>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</si>
  <si>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</si>
  <si>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</si>
  <si>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</si>
  <si>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</si>
  <si>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</si>
  <si>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</si>
  <si>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</si>
  <si>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</si>
  <si>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</si>
  <si>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</si>
  <si>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</si>
  <si>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</si>
  <si>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</si>
  <si>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</si>
  <si>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</si>
  <si>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</si>
  <si>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</si>
  <si>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</si>
  <si>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</si>
  <si>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</si>
  <si>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</si>
  <si>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</si>
  <si>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</si>
  <si>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</si>
  <si>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</si>
  <si>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</si>
  <si>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</si>
  <si>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</si>
  <si>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</si>
  <si>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</si>
  <si>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</si>
  <si>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</si>
  <si>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</si>
  <si>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</si>
  <si>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</si>
  <si>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</si>
  <si>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</si>
  <si>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</si>
  <si>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</si>
  <si>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</si>
  <si>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</si>
  <si>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</si>
  <si>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</si>
  <si>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</si>
  <si>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</si>
  <si>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</si>
  <si>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</si>
  <si>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</si>
  <si>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</si>
  <si>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</si>
  <si>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</si>
  <si>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</si>
  <si>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</si>
  <si>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</si>
  <si>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</si>
  <si>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</si>
  <si>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</si>
  <si>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</si>
  <si>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</si>
  <si>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</si>
  <si>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</si>
  <si>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</si>
  <si>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</si>
  <si>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</si>
  <si>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</si>
  <si>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</si>
  <si>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</si>
  <si>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</si>
  <si>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</si>
  <si>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</si>
  <si>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</si>
  <si>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</si>
  <si>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</si>
  <si>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</si>
  <si>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</si>
  <si>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</si>
  <si>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</si>
  <si>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</si>
  <si>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</si>
  <si>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</si>
  <si>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</si>
  <si>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</si>
  <si>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</si>
  <si>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</si>
  <si>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</si>
  <si>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</si>
  <si>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</si>
  <si>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</si>
  <si>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</si>
  <si>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</si>
  <si>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</si>
  <si>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</si>
  <si>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</si>
  <si>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</si>
  <si>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</si>
  <si>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</si>
  <si>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</si>
  <si>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</si>
  <si>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</si>
  <si>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</si>
  <si>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</si>
  <si>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</si>
  <si>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</si>
  <si>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</si>
  <si>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</si>
  <si>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</si>
  <si>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</si>
  <si>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</si>
  <si>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</si>
  <si>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</si>
  <si>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</si>
  <si>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</si>
  <si>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</si>
  <si>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</si>
  <si>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</si>
  <si>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</si>
  <si>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</si>
  <si>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</si>
  <si>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</si>
  <si>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</si>
  <si>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</si>
  <si>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</si>
  <si>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</si>
  <si>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</si>
  <si>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</si>
  <si>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</si>
  <si>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</si>
  <si>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</si>
  <si>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</si>
  <si>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</si>
  <si>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</si>
  <si>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</si>
  <si>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</si>
  <si>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</si>
  <si>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</si>
  <si>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</si>
  <si>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</si>
  <si>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</si>
  <si>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</si>
  <si>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</si>
  <si>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</si>
  <si>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</si>
  <si>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</si>
  <si>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</si>
  <si>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</si>
  <si>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</si>
  <si>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</si>
  <si>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</si>
  <si>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</si>
  <si>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</si>
  <si>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</si>
  <si>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</si>
  <si>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</si>
  <si>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</si>
  <si>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</si>
  <si>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</si>
  <si>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</si>
  <si>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</si>
  <si>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</si>
  <si>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</si>
  <si>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</si>
  <si>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</si>
  <si>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</si>
  <si>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</si>
  <si>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</si>
  <si>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</si>
  <si>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</si>
  <si>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</si>
  <si>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</si>
  <si>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</si>
  <si>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</si>
  <si>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</si>
  <si>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</si>
  <si>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</si>
  <si>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</si>
  <si>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</si>
  <si>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</si>
  <si>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</si>
  <si>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</si>
  <si>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</si>
  <si>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</si>
  <si>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</si>
  <si>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</si>
  <si>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</si>
  <si>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</si>
  <si>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</si>
  <si>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</si>
  <si>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</si>
  <si>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</si>
  <si>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</si>
  <si>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</si>
  <si>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</si>
  <si>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</si>
  <si>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</si>
  <si>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</si>
  <si>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</si>
  <si>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</si>
  <si>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</si>
  <si>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</si>
  <si>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</si>
  <si>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</si>
  <si>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</si>
  <si>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</si>
  <si>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</si>
  <si>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</si>
  <si>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</si>
  <si>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</si>
  <si>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</si>
  <si>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</si>
  <si>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</si>
  <si>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</si>
  <si>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</si>
  <si>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</si>
  <si>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</si>
  <si>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</si>
  <si>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</si>
  <si>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</si>
  <si>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</si>
  <si>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</si>
  <si>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</si>
  <si>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</si>
  <si>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</si>
  <si>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</si>
  <si>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</si>
  <si>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</si>
  <si>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</si>
  <si>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</si>
  <si>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</si>
  <si>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</si>
  <si>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</si>
  <si>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</si>
  <si>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</si>
  <si>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</si>
  <si>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</si>
  <si>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</si>
  <si>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</si>
  <si>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</si>
  <si>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</si>
  <si>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</si>
  <si>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</si>
  <si>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</si>
  <si>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</si>
  <si>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</si>
  <si>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</si>
  <si>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</si>
  <si>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</si>
  <si>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</si>
  <si>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</si>
  <si>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</si>
  <si>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</si>
  <si>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</si>
  <si>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</si>
  <si>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</si>
  <si>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</si>
  <si>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</si>
  <si>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</si>
  <si>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</si>
  <si>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</si>
  <si>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</si>
  <si>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</si>
  <si>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</si>
  <si>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</si>
  <si>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</si>
  <si>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</si>
  <si>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</si>
  <si>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</si>
  <si>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</si>
  <si>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</si>
  <si>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</si>
  <si>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</si>
  <si>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</si>
  <si>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</si>
  <si>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</si>
  <si>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</si>
  <si>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</si>
  <si>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</si>
  <si>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</si>
  <si>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</si>
  <si>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</si>
  <si>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</si>
  <si>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</si>
  <si>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</si>
  <si>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</si>
  <si>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</si>
  <si>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</si>
  <si>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</si>
  <si>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</si>
  <si>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</si>
  <si>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</si>
  <si>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</si>
  <si>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</si>
  <si>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</si>
  <si>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</si>
  <si>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</si>
  <si>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</si>
  <si>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</si>
  <si>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</si>
  <si>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</si>
  <si>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</si>
  <si>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</si>
  <si>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</si>
  <si>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</si>
  <si>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</si>
  <si>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</si>
  <si>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</si>
  <si>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</si>
  <si>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</si>
  <si>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</si>
  <si>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</si>
  <si>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</si>
  <si>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</si>
  <si>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</si>
  <si>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</si>
  <si>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</si>
  <si>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</si>
  <si>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</si>
  <si>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</si>
  <si>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</si>
  <si>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</si>
  <si>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</si>
  <si>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</si>
  <si>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</si>
  <si>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</si>
  <si>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</si>
  <si>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</si>
  <si>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</si>
  <si>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</si>
  <si>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</si>
  <si>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</si>
  <si>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</si>
  <si>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</si>
  <si>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</si>
  <si>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</si>
  <si>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</si>
  <si>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</si>
  <si>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</si>
  <si>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</si>
  <si>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</si>
  <si>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</si>
  <si>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</si>
  <si>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</si>
  <si>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</si>
  <si>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</si>
  <si>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</si>
  <si>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</si>
  <si>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</si>
  <si>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</si>
  <si>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</si>
  <si>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</si>
  <si>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</si>
  <si>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</si>
  <si>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</si>
  <si>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</si>
  <si>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</si>
  <si>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</si>
  <si>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</si>
  <si>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</si>
  <si>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</si>
  <si>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</si>
  <si>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</si>
  <si>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</si>
  <si>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</si>
  <si>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</si>
  <si>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</si>
  <si>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</si>
  <si>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</si>
  <si>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</si>
  <si>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</si>
  <si>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</si>
  <si>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</si>
  <si>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</si>
  <si>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</si>
  <si>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</si>
  <si>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</si>
  <si>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</si>
  <si>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</si>
  <si>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</si>
  <si>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</si>
  <si>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</si>
  <si>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</si>
  <si>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</si>
  <si>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</si>
  <si>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</si>
  <si>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</si>
  <si>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</si>
  <si>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</si>
  <si>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</si>
  <si>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</si>
  <si>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</si>
  <si>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</si>
  <si>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</si>
  <si>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</si>
  <si>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</si>
  <si>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</si>
  <si>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</si>
  <si>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</si>
  <si>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</si>
  <si>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</si>
  <si>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</si>
  <si>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</si>
  <si>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</si>
  <si>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</si>
  <si>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</si>
  <si>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</si>
  <si>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</si>
  <si>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</si>
  <si>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</si>
  <si>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</si>
  <si>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</si>
  <si>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</si>
  <si>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</si>
  <si>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</si>
  <si>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</si>
  <si>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</si>
  <si>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</si>
  <si>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</si>
  <si>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</si>
  <si>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</si>
  <si>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</si>
  <si>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</si>
  <si>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</si>
  <si>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</si>
  <si>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</si>
  <si>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</si>
  <si>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</si>
  <si>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</si>
  <si>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</si>
  <si>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</si>
  <si>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</si>
  <si>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</si>
  <si>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</si>
  <si>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</si>
  <si>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</si>
  <si>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</si>
  <si>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</si>
  <si>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</si>
  <si>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</si>
  <si>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</si>
  <si>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</si>
  <si>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</si>
  <si>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</si>
  <si>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</si>
  <si>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</si>
  <si>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</si>
  <si>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</si>
  <si>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</si>
  <si>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</si>
  <si>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</si>
  <si>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</si>
  <si>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</si>
  <si>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</si>
  <si>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</si>
  <si>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</si>
  <si>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</si>
  <si>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</si>
  <si>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</si>
  <si>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</si>
  <si>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</si>
  <si>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</si>
  <si>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</si>
  <si>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</si>
  <si>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</si>
  <si>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</si>
  <si>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</si>
  <si>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</si>
  <si>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</si>
  <si>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</si>
  <si>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</si>
  <si>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</si>
  <si>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</si>
  <si>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</si>
  <si>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</si>
  <si>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</si>
  <si>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</si>
  <si>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</si>
  <si>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</si>
  <si>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</si>
  <si>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</si>
  <si>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</si>
  <si>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</si>
  <si>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</si>
  <si>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</si>
  <si>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</si>
  <si>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</si>
  <si>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</si>
  <si>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</si>
  <si>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</si>
  <si>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</si>
  <si>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</si>
  <si>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</si>
  <si>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</si>
  <si>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</si>
  <si>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</si>
  <si>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</si>
  <si>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</si>
  <si>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</si>
  <si>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</si>
  <si>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</si>
  <si>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</si>
  <si>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</si>
  <si>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</si>
  <si>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</si>
  <si>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</si>
  <si>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</si>
  <si>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</si>
  <si>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</si>
  <si>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</si>
  <si>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</si>
  <si>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</si>
  <si>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</si>
  <si>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</si>
  <si>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</si>
  <si>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</si>
  <si>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</si>
  <si>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</si>
  <si>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</si>
  <si>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</si>
  <si>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</si>
  <si>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</si>
  <si>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</si>
  <si>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</si>
  <si>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</si>
  <si>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</si>
  <si>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</si>
  <si>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</si>
  <si>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</si>
  <si>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</si>
  <si>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</si>
  <si>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</si>
  <si>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</si>
  <si>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</si>
  <si>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</si>
  <si>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</si>
  <si>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</si>
  <si>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</si>
  <si>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</si>
  <si>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</si>
  <si>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</si>
  <si>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</si>
  <si>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</si>
  <si>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</si>
  <si>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</si>
  <si>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</si>
  <si>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</si>
  <si>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</si>
  <si>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</si>
  <si>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</si>
  <si>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</si>
  <si>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</si>
  <si>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</si>
  <si>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</si>
  <si>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</si>
  <si>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</si>
  <si>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</si>
  <si>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</si>
  <si>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</si>
  <si>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</si>
  <si>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</si>
  <si>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</si>
  <si>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</si>
  <si>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</si>
  <si>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</si>
  <si>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</si>
  <si>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</si>
  <si>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</si>
  <si>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</si>
  <si>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</si>
  <si>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</si>
  <si>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</si>
  <si>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</si>
  <si>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</si>
  <si>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</si>
  <si>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</si>
  <si>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</si>
  <si>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</si>
  <si>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</si>
  <si>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</si>
  <si>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</si>
  <si>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</si>
  <si>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</si>
  <si>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</si>
  <si>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</si>
  <si>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</si>
  <si>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</si>
  <si>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</si>
  <si>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</si>
  <si>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</si>
  <si>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</si>
  <si>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</si>
  <si>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</si>
  <si>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</si>
  <si>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</si>
  <si>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</si>
  <si>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</si>
  <si>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</si>
  <si>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</si>
  <si>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</si>
  <si>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</si>
  <si>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</si>
  <si>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</si>
  <si>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</si>
  <si>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</si>
  <si>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</si>
  <si>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</si>
  <si>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</si>
  <si>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</si>
  <si>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</si>
  <si>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</si>
  <si>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</si>
  <si>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</si>
  <si>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</si>
  <si>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</si>
  <si>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</si>
  <si>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</si>
  <si>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</si>
  <si>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</si>
  <si>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</si>
  <si>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</si>
  <si>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</si>
  <si>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</si>
  <si>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</si>
  <si>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</si>
  <si>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</si>
  <si>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</si>
  <si>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</si>
  <si>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</si>
  <si>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</si>
  <si>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</si>
  <si>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</si>
  <si>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</si>
  <si>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</si>
  <si>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</si>
  <si>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</si>
  <si>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</si>
  <si>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</si>
  <si>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</si>
  <si>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</si>
  <si>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</si>
  <si>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</si>
  <si>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</si>
  <si>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</si>
  <si>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</si>
  <si>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</si>
  <si>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</si>
  <si>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</si>
  <si>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</si>
  <si>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</si>
  <si>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</si>
  <si>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</si>
  <si>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</si>
  <si>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</si>
  <si>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</si>
  <si>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</si>
  <si>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</si>
  <si>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</si>
  <si>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</si>
  <si>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</si>
  <si>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</si>
  <si>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</si>
  <si>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</si>
  <si>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</si>
  <si>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</si>
  <si>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</si>
  <si>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</si>
  <si>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</si>
  <si>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</si>
  <si>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</si>
  <si>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</si>
  <si>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</si>
  <si>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</si>
  <si>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</si>
  <si>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</si>
  <si>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</si>
  <si>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</si>
  <si>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</si>
  <si>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</si>
  <si>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</si>
  <si>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</si>
  <si>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</si>
  <si>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</si>
  <si>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</si>
  <si>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</si>
  <si>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</si>
  <si>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</si>
  <si>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</si>
  <si>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</si>
  <si>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</si>
  <si>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</si>
  <si>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</si>
  <si>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</si>
  <si>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</si>
  <si>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</si>
  <si>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</si>
  <si>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</si>
  <si>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</si>
  <si>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</si>
  <si>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</si>
  <si>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</si>
  <si>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</si>
  <si>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</si>
  <si>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</si>
  <si>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</si>
  <si>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</si>
  <si>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</si>
  <si>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</si>
  <si>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</si>
  <si>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</si>
  <si>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</si>
  <si>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</si>
  <si>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</si>
  <si>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</si>
  <si>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</si>
  <si>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</si>
  <si>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</si>
  <si>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</si>
  <si>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</si>
  <si>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</si>
  <si>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</si>
  <si>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</si>
  <si>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</si>
  <si>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</si>
  <si>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</si>
  <si>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</si>
  <si>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</si>
  <si>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</si>
  <si>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</si>
  <si>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</si>
  <si>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</si>
  <si>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</si>
  <si>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</si>
  <si>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</si>
  <si>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</si>
  <si>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</si>
  <si>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</si>
  <si>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</si>
  <si>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</si>
  <si>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</si>
  <si>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</si>
  <si>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</si>
  <si>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</si>
  <si>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</si>
  <si>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</si>
  <si>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</si>
  <si>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</si>
  <si>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</si>
  <si>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</si>
  <si>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</si>
  <si>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</si>
  <si>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</si>
  <si>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</si>
  <si>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</si>
  <si>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</si>
  <si>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</si>
  <si>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</si>
  <si>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</si>
  <si>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</si>
  <si>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</si>
  <si>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</si>
  <si>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</si>
  <si>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</si>
  <si>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</si>
  <si>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</si>
  <si>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</si>
  <si>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</si>
  <si>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</si>
  <si>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</si>
  <si>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</si>
  <si>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</si>
  <si>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</si>
  <si>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</si>
  <si>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</si>
  <si>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</si>
  <si>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</si>
  <si>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</si>
  <si>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</si>
  <si>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</si>
  <si>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</si>
  <si>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</si>
  <si>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</si>
  <si>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</si>
  <si>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</si>
  <si>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</si>
  <si>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</si>
  <si>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</si>
  <si>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</si>
  <si>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</si>
  <si>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</si>
  <si>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</si>
  <si>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</si>
  <si>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</si>
  <si>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</si>
  <si>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</si>
  <si>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</si>
  <si>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</si>
  <si>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</si>
  <si>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</si>
  <si>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</si>
  <si>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</si>
  <si>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</si>
  <si>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</si>
  <si>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</si>
  <si>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</si>
  <si>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</si>
  <si>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</si>
  <si>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</si>
  <si>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</si>
  <si>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</si>
  <si>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</si>
  <si>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</si>
  <si>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</si>
  <si>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</si>
  <si>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</si>
  <si>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</si>
  <si>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</si>
  <si>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</si>
  <si>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</si>
  <si>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</si>
  <si>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</si>
  <si>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</si>
  <si>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</si>
  <si>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</si>
  <si>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</si>
  <si>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</si>
  <si>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</si>
  <si>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</si>
  <si>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</si>
  <si>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</si>
  <si>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</si>
  <si>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</si>
  <si>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</si>
  <si>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</si>
  <si>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</si>
  <si>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</si>
  <si>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</si>
  <si>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</si>
  <si>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</si>
  <si>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</si>
  <si>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</si>
  <si>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</si>
  <si>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</si>
  <si>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</si>
  <si>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</si>
  <si>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</si>
  <si>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</si>
  <si>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</si>
  <si>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</si>
  <si>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</si>
  <si>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</si>
  <si>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</si>
  <si>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</si>
  <si>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</si>
  <si>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</si>
  <si>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</si>
  <si>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</si>
  <si>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</si>
  <si>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</si>
  <si>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</si>
  <si>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</si>
  <si>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</si>
  <si>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</si>
  <si>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</si>
  <si>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</si>
  <si>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</si>
  <si>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</si>
  <si>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</si>
  <si>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</si>
  <si>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</si>
  <si>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</si>
  <si>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</si>
  <si>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</si>
  <si>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</si>
  <si>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</si>
  <si>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</si>
  <si>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</si>
  <si>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</si>
  <si>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</si>
  <si>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</si>
  <si>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</si>
  <si>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</si>
  <si>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</si>
  <si>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</si>
  <si>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</si>
  <si>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</si>
  <si>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</si>
  <si>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</si>
  <si>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</si>
  <si>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</si>
  <si>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</si>
  <si>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</si>
  <si>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</si>
  <si>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</si>
  <si>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</si>
  <si>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</si>
  <si>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</si>
  <si>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</si>
  <si>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</si>
  <si>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</si>
  <si>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</si>
  <si>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</si>
  <si>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</si>
  <si>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</si>
  <si>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</si>
  <si>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</si>
  <si>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</si>
  <si>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</si>
  <si>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</si>
  <si>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</si>
  <si>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</si>
  <si>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</si>
  <si>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</si>
  <si>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</si>
  <si>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</si>
  <si>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</si>
  <si>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</si>
  <si>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</si>
  <si>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</si>
  <si>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</si>
  <si>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</si>
  <si>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</si>
  <si>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</si>
  <si>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</si>
  <si>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</si>
  <si>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</si>
  <si>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</si>
  <si>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</si>
  <si>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</si>
  <si>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</si>
  <si>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</si>
  <si>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</si>
  <si>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</si>
  <si>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</si>
  <si>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</si>
  <si>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</si>
  <si>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</si>
  <si>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</si>
  <si>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</si>
  <si>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</si>
  <si>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</si>
  <si>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</si>
  <si>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</si>
  <si>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</si>
  <si>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</si>
  <si>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</si>
  <si>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</si>
  <si>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</si>
  <si>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</si>
  <si>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</si>
  <si>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</si>
  <si>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</si>
  <si>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</si>
  <si>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</si>
  <si>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</si>
  <si>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</si>
  <si>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</si>
  <si>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</si>
  <si>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</si>
  <si>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</si>
  <si>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</si>
  <si>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</si>
  <si>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</si>
  <si>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</si>
  <si>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</si>
  <si>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</si>
  <si>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</si>
  <si>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</si>
  <si>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</si>
  <si>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</si>
  <si>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</si>
  <si>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</si>
  <si>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</si>
  <si>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</si>
  <si>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</si>
  <si>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</si>
  <si>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</si>
  <si>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</si>
  <si>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</si>
  <si>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</si>
  <si>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</si>
  <si>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</si>
  <si>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</si>
  <si>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</si>
  <si>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</si>
  <si>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</si>
  <si>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</si>
  <si>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</si>
  <si>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</si>
  <si>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</si>
  <si>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</si>
  <si>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</si>
  <si>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</si>
  <si>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</si>
  <si>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</si>
  <si>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</si>
  <si>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</si>
  <si>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</si>
  <si>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</si>
  <si>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</si>
  <si>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</si>
  <si>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</si>
  <si>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</si>
  <si>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</si>
  <si>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</si>
  <si>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</si>
  <si>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</si>
  <si>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</si>
  <si>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</si>
  <si>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</si>
  <si>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</si>
  <si>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</si>
  <si>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</si>
  <si>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</si>
  <si>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</si>
  <si>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</si>
  <si>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</si>
  <si>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</si>
  <si>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</si>
  <si>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</si>
  <si>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</si>
  <si>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</si>
  <si>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</si>
  <si>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</si>
  <si>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</si>
  <si>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</si>
  <si>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</si>
  <si>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</si>
  <si>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</si>
  <si>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</si>
  <si>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</si>
  <si>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</si>
  <si>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</si>
  <si>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</si>
  <si>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</si>
  <si>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</si>
  <si>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</si>
  <si>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</si>
  <si>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</si>
  <si>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</si>
  <si>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</si>
  <si>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</si>
  <si>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</si>
  <si>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</si>
  <si>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</si>
  <si>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</si>
  <si>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</si>
  <si>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</si>
  <si>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</si>
  <si>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</si>
  <si>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</si>
  <si>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</si>
  <si>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</si>
  <si>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</si>
  <si>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</si>
  <si>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</si>
  <si>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</si>
  <si>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</si>
  <si>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</si>
  <si>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</si>
  <si>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</si>
  <si>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</si>
  <si>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</si>
  <si>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</si>
  <si>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</si>
  <si>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</si>
  <si>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</si>
  <si>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</si>
  <si>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</si>
  <si>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</si>
  <si>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</si>
  <si>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</si>
  <si>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</si>
  <si>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</si>
  <si>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</si>
  <si>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</si>
  <si>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</si>
  <si>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</si>
  <si>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</si>
  <si>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</si>
  <si>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</si>
  <si>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</si>
  <si>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</si>
  <si>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</si>
  <si>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</si>
  <si>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</si>
  <si>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</si>
  <si>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</si>
  <si>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</si>
  <si>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</si>
  <si>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</si>
  <si>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</si>
  <si>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</si>
  <si>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</si>
  <si>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</si>
  <si>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</si>
  <si>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</si>
  <si>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</si>
  <si>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</si>
  <si>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</si>
  <si>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</si>
  <si>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</si>
  <si>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</si>
  <si>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</si>
  <si>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</si>
  <si>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</si>
  <si>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</si>
  <si>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</si>
  <si>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</si>
  <si>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</si>
  <si>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</si>
  <si>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</si>
  <si>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</si>
  <si>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</si>
  <si>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</si>
  <si>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</si>
  <si>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</si>
  <si>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</si>
  <si>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</si>
  <si>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</si>
  <si>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</si>
  <si>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</si>
  <si>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</si>
  <si>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</si>
  <si>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</si>
  <si>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</si>
  <si>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</si>
  <si>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</si>
  <si>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</si>
  <si>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</si>
  <si>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</si>
  <si>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</si>
  <si>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</si>
  <si>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</si>
  <si>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</si>
  <si>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</si>
  <si>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</si>
  <si>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</si>
  <si>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</si>
  <si>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</si>
  <si>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</si>
  <si>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</si>
  <si>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</si>
  <si>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</si>
  <si>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</si>
  <si>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</si>
  <si>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</si>
  <si>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</si>
  <si>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</si>
  <si>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</si>
  <si>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</si>
  <si>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</si>
  <si>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</si>
  <si>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</si>
  <si>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</si>
  <si>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</si>
  <si>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</si>
  <si>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</si>
  <si>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</si>
  <si>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</si>
  <si>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</si>
  <si>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</si>
  <si>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</si>
  <si>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</si>
  <si>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</si>
  <si>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</si>
  <si>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</si>
  <si>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</si>
  <si>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</si>
  <si>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</si>
  <si>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</si>
  <si>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</si>
  <si>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</si>
  <si>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</si>
  <si>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</si>
  <si>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</si>
  <si>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</si>
  <si>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</si>
  <si>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</si>
  <si>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</si>
  <si>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</si>
  <si>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</si>
  <si>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</si>
  <si>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</si>
  <si>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</si>
  <si>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</si>
  <si>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</si>
  <si>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</si>
  <si>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</si>
  <si>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</si>
  <si>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</si>
  <si>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</si>
  <si>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</si>
  <si>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</si>
  <si>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</si>
  <si>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</si>
  <si>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</si>
  <si>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</si>
  <si>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</si>
  <si>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</si>
  <si>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</si>
  <si>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</si>
  <si>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</si>
  <si>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</si>
  <si>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</si>
  <si>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</si>
  <si>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</si>
  <si>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</si>
  <si>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</si>
  <si>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</si>
  <si>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</si>
  <si>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</si>
  <si>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</si>
  <si>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</si>
  <si>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</si>
  <si>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</si>
  <si>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</si>
  <si>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</si>
  <si>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</si>
  <si>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</si>
  <si>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</si>
  <si>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</si>
  <si>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</si>
  <si>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</si>
  <si>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</si>
  <si>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</si>
  <si>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</si>
  <si>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</si>
  <si>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</si>
  <si>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</si>
  <si>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</si>
  <si>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</si>
  <si>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</si>
  <si>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</si>
  <si>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</si>
  <si>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</si>
  <si>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</si>
  <si>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</si>
  <si>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</si>
  <si>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</si>
  <si>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</si>
  <si>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</si>
  <si>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</si>
  <si>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</si>
  <si>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</si>
  <si>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</si>
  <si>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</si>
  <si>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</si>
  <si>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</si>
  <si>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</si>
  <si>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</si>
  <si>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</si>
  <si>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</si>
  <si>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</si>
  <si>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</si>
  <si>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</si>
  <si>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</si>
  <si>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</si>
  <si>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</si>
  <si>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</si>
  <si>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</si>
  <si>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</si>
  <si>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</si>
  <si>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</si>
  <si>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</si>
  <si>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</si>
  <si>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</si>
  <si>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</si>
  <si>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</si>
  <si>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</si>
  <si>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</si>
  <si>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</si>
  <si>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</si>
  <si>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</si>
  <si>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</si>
  <si>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</si>
  <si>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</si>
  <si>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</si>
  <si>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</si>
  <si>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</si>
  <si>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</si>
  <si>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</si>
  <si>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</si>
  <si>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</si>
  <si>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</si>
  <si>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</si>
  <si>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</si>
  <si>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</si>
  <si>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</si>
  <si>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</si>
  <si>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</si>
  <si>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</si>
  <si>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</si>
  <si>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</si>
  <si>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</si>
  <si>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</si>
  <si>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</si>
  <si>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</si>
  <si>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</si>
  <si>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</si>
  <si>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</si>
  <si>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</si>
  <si>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</si>
  <si>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</si>
  <si>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</si>
  <si>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</si>
  <si>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</si>
  <si>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</si>
  <si>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</si>
  <si>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</si>
  <si>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</si>
  <si>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</si>
  <si>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</si>
  <si>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</si>
  <si>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</si>
  <si>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</si>
  <si>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</si>
  <si>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</si>
  <si>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</si>
  <si>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</si>
  <si>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</si>
  <si>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</si>
  <si>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</si>
  <si>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</si>
  <si>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</si>
  <si>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</si>
  <si>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</si>
  <si>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</si>
  <si>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</si>
  <si>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</si>
  <si>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</si>
  <si>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</si>
  <si>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</si>
  <si>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</si>
  <si>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</si>
  <si>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</si>
  <si>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</si>
  <si>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</si>
  <si>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</si>
  <si>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</si>
  <si>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</si>
  <si>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</si>
  <si>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</si>
  <si>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</si>
  <si>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</si>
  <si>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</si>
  <si>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</si>
  <si>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</si>
  <si>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</si>
  <si>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</si>
  <si>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</si>
  <si>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</si>
  <si>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</si>
  <si>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</si>
  <si>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</si>
  <si>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</si>
  <si>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</si>
  <si>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</si>
  <si>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</si>
  <si>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</si>
  <si>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</si>
  <si>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</si>
  <si>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</si>
  <si>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</si>
  <si>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</si>
  <si>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</si>
  <si>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</si>
  <si>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</si>
  <si>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</si>
  <si>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</si>
  <si>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</si>
  <si>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</si>
  <si>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</si>
  <si>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</si>
  <si>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</si>
  <si>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</si>
  <si>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</si>
  <si>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</si>
  <si>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</si>
  <si>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</si>
  <si>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</si>
  <si>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</si>
  <si>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</si>
  <si>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</si>
  <si>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</si>
  <si>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</si>
  <si>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</si>
  <si>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</si>
  <si>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</si>
  <si>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</si>
  <si>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</si>
  <si>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</si>
  <si>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</si>
  <si>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</si>
  <si>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</si>
  <si>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</si>
  <si>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</si>
  <si>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</si>
  <si>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</si>
  <si>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</si>
  <si>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</si>
  <si>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</si>
  <si>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</si>
  <si>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</si>
  <si>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</si>
  <si>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</si>
  <si>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</si>
  <si>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</si>
  <si>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</si>
  <si>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</si>
  <si>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</si>
  <si>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</si>
  <si>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</si>
  <si>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</si>
  <si>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</si>
  <si>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</si>
  <si>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</si>
  <si>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</si>
  <si>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</si>
  <si>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</si>
  <si>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</si>
  <si>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</si>
  <si>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</si>
  <si>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</si>
  <si>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</si>
  <si>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</si>
  <si>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</si>
  <si>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</si>
  <si>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</si>
  <si>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</si>
  <si>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</si>
  <si>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</si>
  <si>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</si>
  <si>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</si>
  <si>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</si>
  <si>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</si>
  <si>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</si>
  <si>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</si>
  <si>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</si>
  <si>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</si>
  <si>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</si>
  <si>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</si>
  <si>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</si>
  <si>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</si>
  <si>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</si>
  <si>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</si>
  <si>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</si>
  <si>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</si>
  <si>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</si>
  <si>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</si>
  <si>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</si>
  <si>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</si>
  <si>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</si>
  <si>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</si>
  <si>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</si>
  <si>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</si>
  <si>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</si>
  <si>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</si>
  <si>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</si>
  <si>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</si>
  <si>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</si>
  <si>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</si>
  <si>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</si>
  <si>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</si>
  <si>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</si>
  <si>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</si>
  <si>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</si>
  <si>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</si>
  <si>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</si>
  <si>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</si>
  <si>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</si>
  <si>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</si>
  <si>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</si>
  <si>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</si>
  <si>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</si>
  <si>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</si>
  <si>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</si>
  <si>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</si>
  <si>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</si>
  <si>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</si>
  <si>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</si>
  <si>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</si>
  <si>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</si>
  <si>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</si>
  <si>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</si>
  <si>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</si>
  <si>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</si>
  <si>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</si>
  <si>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</si>
  <si>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</si>
  <si>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</si>
  <si>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</si>
  <si>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</si>
  <si>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</si>
  <si>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</si>
  <si>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</si>
  <si>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</si>
  <si>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</si>
  <si>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</si>
  <si>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</si>
  <si>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</si>
  <si>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</si>
  <si>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</si>
  <si>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</si>
  <si>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</si>
  <si>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</si>
  <si>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</si>
  <si>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</si>
  <si>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</si>
  <si>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</si>
  <si>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</si>
  <si>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</si>
  <si>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</si>
  <si>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</si>
  <si>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</si>
  <si>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</si>
  <si>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</si>
  <si>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</si>
  <si>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</si>
  <si>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</si>
  <si>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</si>
  <si>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</si>
  <si>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</si>
  <si>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</si>
  <si>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</si>
  <si>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</si>
  <si>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</si>
  <si>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</si>
  <si>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</si>
  <si>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</si>
  <si>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</si>
  <si>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</si>
  <si>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</si>
  <si>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</si>
  <si>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</si>
  <si>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</si>
  <si>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</si>
  <si>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</si>
  <si>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</si>
  <si>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</si>
  <si>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</si>
  <si>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</si>
  <si>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</si>
  <si>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</si>
  <si>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</si>
  <si>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</si>
  <si>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</si>
  <si>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</si>
  <si>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</si>
  <si>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</si>
  <si>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</si>
  <si>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</si>
  <si>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</si>
  <si>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</si>
  <si>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</si>
  <si>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</si>
  <si>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</si>
  <si>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</si>
  <si>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</si>
  <si>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</si>
  <si>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</si>
  <si>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</si>
  <si>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</si>
  <si>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</si>
  <si>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</si>
  <si>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</si>
  <si>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</si>
  <si>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</si>
  <si>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</si>
  <si>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</si>
  <si>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</si>
  <si>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</si>
  <si>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</si>
  <si>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</si>
  <si>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</si>
  <si>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</si>
  <si>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</si>
  <si>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</si>
  <si>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</si>
  <si>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</si>
  <si>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</si>
  <si>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</si>
  <si>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</si>
  <si>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</si>
  <si>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</si>
  <si>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</si>
  <si>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</si>
  <si>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</si>
  <si>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</si>
  <si>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</si>
  <si>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</si>
  <si>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</si>
  <si>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</si>
  <si>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</si>
  <si>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</si>
  <si>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</si>
  <si>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</si>
  <si>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</si>
  <si>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</si>
  <si>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</si>
  <si>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</si>
  <si>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</si>
  <si>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</si>
  <si>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</si>
  <si>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</si>
  <si>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</si>
  <si>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</si>
  <si>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</si>
  <si>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</si>
  <si>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</si>
  <si>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</si>
  <si>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</si>
  <si>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</si>
  <si>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</si>
  <si>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</si>
  <si>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</si>
  <si>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</si>
  <si>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</si>
  <si>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</si>
  <si>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</si>
  <si>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</si>
  <si>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</si>
  <si>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</si>
  <si>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</si>
  <si>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</si>
  <si>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</si>
  <si>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</si>
  <si>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</si>
  <si>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</si>
  <si>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</si>
  <si>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</si>
  <si>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</si>
  <si>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</si>
  <si>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</si>
  <si>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</si>
  <si>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</si>
  <si>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</si>
  <si>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</si>
  <si>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</si>
  <si>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</si>
  <si>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</si>
  <si>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</si>
  <si>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</si>
  <si>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</si>
  <si>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</si>
  <si>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</si>
  <si>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</si>
  <si>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</si>
  <si>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</si>
  <si>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</si>
  <si>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</si>
  <si>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</si>
  <si>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</si>
  <si>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</si>
  <si>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</si>
  <si>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</si>
  <si>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</si>
  <si>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</si>
  <si>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</si>
  <si>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</si>
  <si>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</si>
  <si>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</si>
  <si>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</si>
  <si>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</si>
  <si>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</si>
  <si>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</si>
  <si>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</si>
  <si>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</si>
  <si>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</si>
  <si>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</si>
  <si>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</si>
  <si>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</si>
  <si>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</si>
  <si>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</si>
  <si>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</si>
  <si>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</si>
  <si>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</si>
  <si>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</si>
  <si>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</si>
  <si>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</si>
  <si>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</si>
  <si>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</si>
  <si>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</si>
  <si>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</si>
  <si>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</si>
  <si>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</si>
  <si>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</si>
  <si>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</si>
  <si>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</si>
  <si>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</si>
  <si>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</si>
  <si>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</si>
  <si>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</si>
  <si>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</si>
  <si>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</si>
  <si>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</si>
  <si>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</si>
  <si>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</si>
  <si>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</si>
  <si>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</si>
  <si>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</si>
  <si>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</si>
  <si>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</si>
  <si>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</si>
  <si>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</si>
  <si>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</si>
  <si>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</si>
  <si>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</si>
  <si>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</si>
  <si>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</si>
  <si>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</si>
  <si>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</si>
  <si>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</si>
  <si>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</si>
  <si>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</si>
  <si>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</si>
  <si>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</si>
  <si>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</si>
  <si>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</si>
  <si>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</si>
  <si>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</si>
  <si>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</si>
  <si>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</si>
  <si>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</si>
  <si>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</si>
  <si>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</si>
  <si>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</si>
  <si>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</si>
  <si>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</si>
  <si>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</si>
  <si>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</si>
  <si>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</si>
  <si>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</si>
  <si>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</si>
  <si>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</si>
  <si>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</si>
  <si>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</si>
  <si>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</si>
  <si>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</si>
  <si>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</si>
  <si>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</si>
  <si>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</si>
  <si>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</si>
  <si>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</si>
  <si>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</si>
  <si>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</si>
  <si>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</si>
  <si>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</si>
  <si>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</si>
  <si>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</si>
  <si>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</si>
  <si>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</si>
  <si>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</si>
  <si>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</si>
  <si>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</si>
  <si>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</si>
  <si>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</si>
  <si>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</si>
  <si>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</si>
  <si>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</si>
  <si>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</si>
  <si>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</si>
  <si>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</si>
  <si>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</si>
  <si>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</si>
  <si>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</si>
  <si>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</si>
  <si>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</si>
  <si>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</si>
  <si>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</si>
  <si>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</si>
  <si>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</si>
  <si>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</si>
  <si>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</si>
  <si>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</si>
  <si>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</si>
  <si>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</si>
  <si>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</si>
  <si>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</si>
  <si>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</si>
  <si>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</si>
  <si>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</si>
  <si>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</si>
  <si>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</si>
  <si>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</si>
  <si>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</si>
  <si>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</si>
  <si>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</si>
  <si>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</si>
  <si>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</si>
  <si>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</si>
  <si>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</si>
  <si>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</si>
  <si>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</si>
  <si>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</si>
  <si>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</si>
  <si>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</si>
  <si>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</si>
  <si>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</si>
  <si>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</si>
  <si>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</si>
  <si>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</si>
  <si>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</si>
  <si>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</si>
  <si>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</si>
  <si>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</si>
  <si>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</si>
  <si>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</si>
  <si>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</si>
  <si>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</si>
  <si>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</si>
  <si>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</si>
  <si>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</si>
  <si>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</si>
  <si>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</si>
  <si>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</si>
  <si>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</si>
  <si>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</si>
  <si>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</si>
  <si>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</si>
  <si>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</si>
  <si>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</si>
  <si>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</si>
  <si>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</si>
  <si>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</si>
  <si>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</si>
  <si>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</si>
  <si>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</si>
  <si>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</si>
  <si>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</si>
  <si>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</si>
  <si>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</si>
  <si>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</si>
  <si>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</si>
  <si>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</si>
  <si>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</si>
  <si>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</si>
  <si>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</si>
  <si>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</si>
  <si>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</si>
  <si>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</si>
  <si>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</si>
  <si>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</si>
  <si>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</si>
  <si>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</si>
  <si>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</si>
  <si>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</si>
  <si>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</si>
  <si>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</si>
  <si>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</si>
  <si>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</si>
  <si>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</si>
  <si>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</si>
  <si>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</si>
  <si>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</si>
  <si>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</si>
  <si>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</si>
  <si>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</si>
  <si>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</si>
  <si>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</si>
  <si>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</si>
  <si>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</si>
  <si>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</si>
  <si>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</si>
  <si>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</si>
  <si>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</si>
  <si>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</si>
  <si>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</si>
  <si>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</si>
  <si>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</si>
  <si>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</si>
  <si>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</si>
  <si>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</si>
  <si>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</si>
  <si>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</si>
  <si>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</si>
  <si>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</si>
  <si>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</si>
  <si>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</si>
  <si>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</si>
  <si>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</si>
  <si>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</si>
  <si>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</si>
  <si>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</si>
  <si>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</si>
  <si>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</si>
  <si>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</si>
  <si>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</si>
  <si>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</si>
  <si>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</si>
  <si>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</si>
  <si>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</si>
  <si>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</si>
  <si>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</si>
  <si>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</si>
  <si>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</si>
  <si>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</si>
  <si>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</si>
  <si>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</si>
  <si>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</si>
  <si>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</si>
  <si>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</si>
  <si>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</si>
  <si>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</si>
  <si>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</si>
  <si>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</si>
  <si>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</si>
  <si>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</si>
  <si>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</si>
  <si>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</si>
  <si>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</si>
  <si>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</si>
  <si>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</si>
  <si>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</si>
  <si>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</si>
  <si>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</si>
  <si>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</si>
  <si>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</si>
  <si>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</si>
  <si>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</si>
  <si>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</si>
  <si>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</si>
  <si>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</si>
  <si>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</si>
  <si>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</si>
  <si>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</si>
  <si>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</si>
  <si>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</si>
  <si>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</si>
  <si>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</si>
  <si>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</si>
  <si>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</si>
  <si>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</si>
  <si>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</si>
  <si>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</si>
  <si>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</si>
  <si>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</si>
  <si>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</si>
  <si>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</si>
  <si>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</si>
  <si>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</si>
  <si>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</si>
  <si>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</si>
  <si>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</si>
  <si>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</si>
  <si>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</si>
  <si>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</si>
  <si>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</si>
  <si>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</si>
  <si>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</si>
  <si>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</si>
  <si>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</si>
  <si>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</si>
  <si>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</si>
  <si>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</si>
  <si>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</si>
  <si>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</si>
  <si>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</si>
  <si>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</si>
  <si>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</si>
  <si>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</si>
  <si>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</si>
  <si>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</si>
  <si>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</si>
  <si>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</si>
  <si>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</si>
  <si>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</si>
  <si>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</si>
  <si>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</si>
  <si>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</si>
  <si>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</si>
  <si>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</si>
  <si>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</si>
  <si>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</si>
  <si>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</si>
  <si>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</si>
  <si>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</si>
  <si>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</si>
  <si>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</si>
  <si>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</si>
  <si>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</si>
  <si>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</si>
  <si>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</si>
  <si>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</si>
  <si>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</si>
  <si>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</si>
  <si>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</si>
  <si>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</si>
  <si>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</si>
  <si>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</si>
  <si>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</si>
  <si>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</si>
  <si>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</si>
  <si>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</si>
  <si>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</si>
  <si>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</si>
  <si>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</si>
  <si>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</si>
  <si>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</si>
  <si>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</si>
  <si>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</si>
  <si>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</si>
  <si>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</si>
  <si>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</si>
  <si>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</si>
  <si>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</si>
  <si>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</si>
  <si>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</si>
  <si>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</si>
  <si>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</si>
  <si>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</si>
  <si>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</si>
  <si>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</si>
  <si>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</si>
  <si>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</si>
  <si>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</si>
  <si>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</si>
  <si>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</si>
  <si>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</si>
  <si>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</si>
  <si>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</si>
  <si>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</si>
  <si>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</si>
  <si>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</si>
  <si>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</si>
  <si>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</si>
  <si>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</si>
  <si>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</si>
  <si>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</si>
  <si>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</si>
  <si>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</si>
  <si>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</si>
  <si>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</si>
  <si>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</si>
  <si>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</si>
  <si>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</si>
  <si>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</si>
  <si>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</si>
  <si>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</si>
  <si>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</si>
  <si>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</si>
  <si>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</si>
  <si>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</si>
  <si>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</si>
  <si>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</si>
  <si>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</si>
  <si>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</si>
  <si>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</si>
  <si>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</si>
  <si>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</si>
  <si>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</si>
  <si>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</si>
  <si>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</si>
  <si>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</si>
  <si>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</si>
  <si>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</si>
  <si>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</si>
  <si>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</si>
  <si>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</si>
  <si>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</si>
  <si>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</si>
  <si>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</si>
  <si>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</si>
  <si>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</si>
  <si>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</si>
  <si>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</si>
  <si>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</si>
  <si>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</si>
  <si>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</si>
  <si>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</si>
  <si>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</si>
  <si>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</si>
  <si>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</si>
  <si>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</si>
  <si>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</si>
  <si>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</si>
  <si>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</si>
  <si>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</si>
  <si>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</si>
  <si>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</si>
  <si>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</si>
  <si>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</si>
  <si>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</si>
  <si>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</si>
  <si>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</si>
  <si>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</si>
  <si>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</si>
  <si>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</si>
  <si>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</si>
  <si>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</si>
  <si>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</si>
  <si>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</si>
  <si>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</si>
  <si>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</si>
  <si>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</si>
  <si>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</si>
  <si>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</si>
  <si>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</si>
  <si>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</si>
  <si>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</si>
  <si>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</si>
  <si>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</si>
  <si>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</si>
  <si>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</si>
  <si>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</si>
  <si>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</si>
  <si>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</si>
  <si>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</si>
  <si>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</si>
  <si>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</si>
  <si>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</si>
  <si>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</si>
  <si>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</si>
  <si>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</si>
  <si>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</si>
  <si>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</si>
  <si>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</si>
  <si>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</si>
  <si>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</si>
  <si>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</si>
  <si>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</si>
  <si>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</si>
  <si>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</si>
  <si>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</si>
  <si>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</si>
  <si>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</si>
  <si>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</si>
  <si>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</si>
  <si>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</si>
  <si>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</si>
  <si>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</si>
  <si>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</si>
  <si>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</si>
  <si>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</si>
  <si>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</si>
  <si>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</si>
  <si>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</si>
  <si>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</si>
  <si>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</si>
  <si>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</si>
  <si>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</si>
  <si>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</si>
  <si>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</si>
  <si>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</si>
  <si>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</si>
  <si>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</si>
  <si>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</si>
  <si>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</si>
  <si>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</si>
  <si>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</si>
  <si>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</si>
  <si>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</si>
  <si>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</si>
  <si>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</si>
  <si>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</si>
  <si>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</si>
  <si>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</si>
  <si>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</si>
  <si>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</si>
  <si>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</si>
  <si>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</si>
  <si>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</si>
  <si>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</si>
  <si>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</si>
  <si>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</si>
  <si>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</si>
  <si>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</si>
  <si>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</si>
  <si>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</si>
  <si>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</si>
  <si>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</si>
  <si>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</si>
  <si>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</si>
  <si>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</si>
  <si>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</si>
  <si>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</si>
  <si>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</si>
  <si>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</si>
  <si>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</si>
  <si>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</si>
  <si>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</si>
  <si>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</si>
  <si>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</si>
  <si>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</si>
  <si>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</si>
  <si>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</si>
  <si>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</si>
  <si>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</si>
  <si>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</si>
  <si>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</si>
  <si>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</si>
  <si>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</si>
  <si>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</si>
  <si>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</si>
  <si>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</si>
  <si>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</si>
  <si>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</si>
  <si>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</si>
  <si>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</si>
  <si>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</si>
  <si>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</si>
  <si>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</si>
  <si>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</si>
  <si>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</si>
  <si>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</si>
  <si>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</si>
  <si>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</si>
  <si>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</si>
  <si>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</si>
  <si>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</si>
  <si>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</si>
  <si>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</si>
  <si>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</si>
  <si>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</si>
  <si>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</si>
  <si>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</si>
  <si>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</si>
  <si>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</si>
  <si>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</si>
  <si>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</si>
  <si>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</si>
  <si>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</si>
  <si>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</si>
  <si>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</si>
  <si>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</si>
  <si>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</si>
  <si>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</si>
  <si>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</si>
  <si>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</si>
  <si>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</si>
  <si>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</si>
  <si>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</si>
  <si>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</si>
  <si>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</si>
  <si>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</si>
  <si>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</si>
  <si>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</si>
  <si>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</si>
  <si>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</si>
  <si>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</si>
  <si>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</si>
  <si>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</si>
  <si>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</si>
  <si>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</si>
  <si>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</si>
  <si>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</si>
  <si>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</si>
  <si>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</si>
  <si>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</si>
  <si>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</si>
  <si>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</si>
  <si>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</si>
  <si>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</si>
  <si>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</si>
  <si>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</si>
  <si>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</si>
  <si>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</si>
  <si>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</si>
  <si>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</si>
  <si>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</si>
  <si>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</si>
  <si>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</si>
  <si>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</si>
  <si>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</si>
  <si>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</si>
  <si>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</si>
  <si>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</si>
  <si>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</si>
  <si>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</si>
  <si>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</si>
  <si>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</si>
  <si>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</si>
  <si>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</si>
  <si>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</si>
  <si>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</si>
  <si>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</si>
  <si>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</si>
  <si>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</si>
  <si>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</si>
  <si>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</si>
  <si>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</si>
  <si>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</si>
  <si>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</si>
  <si>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</si>
  <si>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</si>
  <si>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</si>
  <si>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</si>
  <si>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</si>
  <si>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</si>
  <si>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</si>
  <si>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</si>
  <si>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</si>
  <si>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</si>
  <si>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</si>
  <si>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</si>
  <si>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</si>
  <si>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</si>
  <si>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</si>
  <si>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</si>
  <si>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</si>
  <si>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</si>
  <si>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</si>
  <si>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</si>
  <si>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</si>
  <si>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</si>
  <si>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</si>
  <si>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</si>
  <si>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</si>
  <si>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</si>
  <si>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</si>
  <si>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</si>
  <si>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</si>
  <si>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</si>
  <si>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</si>
  <si>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</si>
  <si>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</si>
  <si>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</si>
  <si>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</si>
  <si>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</si>
  <si>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</si>
  <si>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</si>
  <si>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</si>
  <si>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</si>
  <si>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</si>
  <si>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</si>
  <si>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</si>
  <si>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</si>
  <si>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</si>
  <si>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</si>
  <si>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</si>
  <si>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</si>
  <si>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</si>
  <si>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</si>
  <si>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</si>
  <si>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</si>
  <si>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</si>
  <si>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</si>
  <si>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</si>
  <si>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</si>
  <si>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</si>
  <si>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</si>
  <si>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</si>
  <si>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</si>
  <si>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</si>
  <si>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</si>
  <si>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</si>
  <si>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</si>
  <si>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</si>
  <si>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</si>
  <si>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</si>
  <si>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</si>
  <si>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</si>
  <si>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</si>
  <si>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</si>
  <si>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</si>
  <si>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</si>
  <si>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</si>
  <si>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</si>
  <si>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</si>
  <si>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</si>
  <si>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</si>
  <si>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</si>
  <si>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</si>
  <si>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</si>
  <si>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</si>
  <si>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</si>
  <si>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</si>
  <si>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</si>
  <si>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</si>
  <si>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</si>
  <si>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</si>
  <si>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</si>
  <si>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</si>
  <si>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</si>
  <si>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</si>
  <si>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</si>
  <si>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</si>
  <si>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</si>
  <si>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</si>
  <si>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</si>
  <si>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</si>
  <si>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</si>
  <si>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</si>
  <si>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</si>
  <si>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</si>
  <si>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</si>
  <si>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</si>
  <si>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</si>
  <si>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</si>
  <si>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</si>
  <si>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</si>
  <si>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</si>
  <si>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</si>
  <si>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</si>
  <si>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</si>
  <si>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</si>
  <si>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</si>
  <si>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</si>
  <si>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</si>
  <si>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</si>
  <si>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</si>
  <si>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</si>
  <si>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</si>
  <si>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</si>
  <si>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</si>
  <si>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</si>
  <si>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</si>
  <si>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</si>
  <si>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</si>
  <si>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</si>
  <si>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</si>
  <si>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</si>
  <si>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</si>
  <si>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</si>
  <si>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</si>
  <si>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</si>
  <si>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</si>
  <si>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</si>
  <si>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</si>
  <si>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</si>
  <si>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</si>
  <si>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</si>
  <si>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</si>
  <si>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</si>
  <si>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</si>
  <si>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</si>
  <si>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</si>
  <si>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</si>
  <si>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</si>
  <si>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</si>
  <si>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</si>
  <si>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</si>
  <si>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</si>
  <si>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</si>
  <si>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</si>
  <si>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</si>
  <si>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</si>
  <si>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</si>
  <si>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</si>
  <si>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</si>
  <si>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</si>
  <si>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</si>
  <si>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</si>
  <si>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</si>
  <si>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</si>
  <si>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</si>
  <si>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</si>
  <si>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</si>
  <si>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</si>
  <si>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</si>
  <si>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</si>
  <si>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</si>
  <si>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</si>
  <si>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</si>
  <si>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</si>
  <si>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</si>
  <si>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</si>
  <si>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</si>
  <si>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</si>
  <si>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</si>
  <si>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</si>
  <si>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</si>
  <si>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</si>
  <si>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</si>
  <si>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</si>
  <si>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</si>
  <si>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</si>
  <si>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</si>
  <si>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</si>
  <si>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</si>
  <si>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</si>
  <si>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</si>
  <si>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</si>
  <si>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</si>
  <si>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</si>
  <si>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</si>
  <si>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</si>
  <si>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</si>
  <si>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</si>
  <si>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</si>
  <si>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</si>
  <si>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</si>
  <si>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</si>
  <si>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</si>
  <si>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</si>
  <si>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</si>
  <si>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</si>
  <si>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</si>
  <si>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</si>
  <si>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</si>
  <si>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</si>
  <si>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</si>
  <si>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</si>
  <si>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</si>
  <si>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</si>
  <si>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</si>
  <si>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</si>
  <si>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</si>
  <si>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</si>
  <si>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</si>
  <si>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</si>
  <si>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</si>
  <si>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</si>
  <si>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</si>
  <si>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</si>
  <si>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</si>
  <si>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</si>
  <si>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</si>
  <si>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</si>
  <si>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</si>
  <si>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</si>
  <si>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</si>
  <si>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</si>
  <si>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</si>
  <si>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</si>
  <si>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</si>
  <si>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</si>
  <si>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</si>
  <si>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</si>
  <si>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</si>
  <si>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</si>
  <si>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</si>
  <si>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</si>
  <si>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</si>
  <si>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</si>
  <si>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</si>
  <si>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</si>
  <si>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</si>
  <si>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</si>
  <si>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</si>
  <si>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</si>
  <si>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</si>
  <si>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</si>
  <si>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</si>
  <si>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</si>
  <si>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</si>
  <si>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</si>
  <si>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</si>
  <si>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</si>
  <si>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</si>
  <si>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</si>
  <si>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</si>
  <si>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</si>
  <si>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</si>
  <si>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</si>
  <si>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</si>
  <si>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</si>
  <si>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</si>
  <si>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</si>
  <si>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</si>
  <si>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</si>
  <si>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</si>
  <si>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</si>
  <si>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</si>
  <si>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</si>
  <si>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</si>
  <si>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</si>
  <si>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</si>
  <si>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</si>
  <si>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</si>
  <si>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</si>
  <si>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</si>
  <si>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</si>
  <si>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</si>
  <si>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</si>
  <si>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</si>
  <si>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</si>
  <si>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</si>
  <si>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</si>
  <si>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</si>
  <si>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</si>
  <si>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</si>
  <si>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</si>
  <si>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</si>
  <si>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</si>
  <si>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</si>
  <si>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</si>
  <si>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</si>
  <si>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</si>
  <si>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</si>
  <si>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</si>
  <si>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</si>
  <si>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</si>
  <si>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</si>
  <si>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</si>
  <si>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</si>
  <si>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</si>
  <si>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</si>
  <si>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</si>
  <si>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</si>
  <si>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</si>
  <si>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</si>
  <si>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</si>
  <si>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</si>
  <si>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</si>
  <si>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</si>
  <si>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</si>
  <si>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</si>
  <si>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</si>
  <si>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</si>
  <si>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</si>
  <si>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</si>
  <si>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</si>
  <si>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</si>
  <si>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</si>
  <si>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</si>
  <si>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</si>
  <si>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</si>
  <si>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</si>
  <si>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</si>
  <si>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</si>
  <si>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</si>
  <si>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</si>
  <si>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</si>
  <si>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</si>
  <si>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</si>
  <si>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</si>
  <si>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</si>
  <si>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</si>
  <si>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</si>
  <si>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</si>
  <si>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</si>
  <si>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</si>
  <si>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</si>
  <si>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</si>
  <si>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</si>
  <si>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</si>
  <si>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</si>
  <si>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</si>
  <si>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</si>
  <si>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</si>
  <si>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</si>
  <si>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</si>
  <si>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</si>
  <si>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</si>
  <si>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</si>
  <si>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</si>
  <si>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</si>
  <si>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</si>
  <si>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</si>
  <si>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</si>
  <si>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</si>
  <si>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</si>
  <si>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</si>
  <si>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</si>
  <si>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</si>
  <si>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</si>
  <si>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</si>
  <si>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</si>
  <si>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</si>
  <si>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</si>
  <si>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</si>
  <si>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</si>
  <si>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</si>
  <si>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</si>
  <si>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</si>
  <si>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</si>
  <si>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</si>
  <si>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</si>
  <si>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</si>
  <si>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</si>
  <si>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</si>
  <si>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</si>
  <si>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</si>
  <si>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</si>
  <si>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</si>
  <si>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</si>
  <si>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</si>
  <si>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</si>
  <si>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</si>
  <si>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</si>
  <si>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</si>
  <si>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</si>
  <si>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</si>
  <si>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</si>
  <si>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</si>
  <si>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</si>
  <si>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</si>
  <si>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</si>
  <si>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</si>
  <si>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</si>
  <si>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</si>
  <si>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</si>
  <si>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</si>
  <si>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</si>
  <si>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</si>
  <si>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</si>
  <si>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</si>
  <si>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</si>
  <si>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</si>
  <si>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</si>
  <si>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</si>
  <si>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</si>
  <si>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</si>
  <si>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</si>
  <si>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</si>
  <si>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</si>
  <si>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</si>
  <si>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</si>
  <si>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</si>
  <si>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</si>
  <si>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</si>
  <si>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</si>
  <si>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</si>
  <si>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</si>
  <si>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</si>
  <si>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</si>
  <si>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</si>
  <si>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</si>
  <si>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</si>
  <si>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</si>
  <si>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</si>
  <si>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</si>
  <si>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</si>
  <si>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</si>
  <si>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</si>
  <si>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</si>
  <si>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</si>
  <si>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</si>
  <si>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</si>
  <si>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</si>
  <si>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</si>
  <si>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</si>
  <si>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</si>
  <si>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</si>
  <si>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</si>
  <si>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</si>
  <si>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</si>
  <si>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</si>
  <si>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</si>
  <si>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</si>
  <si>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</si>
  <si>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</si>
  <si>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</si>
  <si>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</si>
  <si>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</si>
  <si>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</si>
  <si>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</si>
  <si>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</si>
  <si>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</si>
  <si>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</si>
  <si>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</si>
  <si>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</si>
  <si>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</si>
  <si>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</si>
  <si>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</si>
  <si>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</si>
  <si>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</si>
  <si>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</si>
  <si>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</si>
  <si>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</si>
  <si>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</si>
  <si>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</si>
  <si>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</si>
  <si>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</si>
  <si>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</si>
  <si>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</si>
  <si>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</si>
  <si>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</si>
  <si>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</si>
  <si>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</si>
  <si>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</si>
  <si>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</si>
  <si>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</si>
  <si>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</si>
  <si>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</si>
  <si>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</si>
  <si>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</si>
  <si>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</si>
  <si>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</si>
  <si>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</si>
  <si>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</si>
  <si>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</si>
  <si>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</si>
  <si>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</si>
  <si>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</si>
  <si>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</si>
  <si>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</si>
  <si>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</si>
  <si>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</si>
  <si>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</si>
  <si>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</si>
  <si>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</si>
  <si>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</si>
  <si>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</si>
  <si>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</si>
  <si>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</si>
  <si>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</si>
  <si>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</si>
  <si>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</si>
  <si>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</si>
  <si>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</si>
  <si>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</si>
  <si>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</si>
  <si>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</si>
  <si>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</si>
  <si>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</si>
  <si>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</si>
  <si>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</si>
  <si>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</si>
  <si>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</si>
  <si>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</si>
  <si>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</si>
  <si>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</si>
  <si>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</si>
  <si>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</si>
  <si>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</si>
  <si>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</si>
  <si>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</si>
  <si>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</si>
  <si>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</si>
  <si>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</si>
  <si>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</si>
  <si>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</si>
  <si>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</si>
  <si>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</si>
  <si>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</si>
  <si>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</si>
  <si>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</si>
  <si>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</si>
  <si>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</si>
  <si>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</si>
  <si>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</si>
  <si>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</si>
  <si>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</si>
  <si>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</si>
  <si>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</si>
  <si>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</si>
  <si>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</si>
  <si>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</si>
  <si>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</si>
  <si>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</si>
  <si>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</si>
  <si>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</si>
  <si>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</si>
  <si>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</si>
  <si>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</si>
  <si>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</si>
  <si>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</si>
  <si>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</si>
  <si>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</si>
  <si>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</si>
  <si>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</si>
  <si>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</si>
  <si>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</si>
  <si>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</si>
  <si>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</si>
  <si>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</si>
  <si>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</si>
  <si>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</si>
  <si>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</si>
  <si>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</si>
  <si>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</si>
  <si>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</si>
  <si>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</si>
  <si>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</si>
  <si>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</si>
  <si>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</si>
  <si>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</si>
  <si>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</si>
  <si>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</si>
  <si>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</si>
  <si>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</si>
  <si>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</si>
  <si>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</si>
  <si>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</si>
  <si>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</si>
  <si>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</si>
  <si>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</si>
  <si>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</si>
  <si>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</si>
  <si>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</si>
  <si>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</si>
  <si>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</si>
  <si>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</si>
  <si>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</si>
  <si>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</si>
  <si>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</si>
  <si>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</si>
  <si>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</si>
  <si>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</si>
  <si>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</si>
  <si>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</si>
  <si>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</si>
  <si>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</si>
  <si>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</si>
  <si>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</si>
  <si>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</si>
  <si>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</si>
  <si>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</si>
  <si>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</si>
  <si>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</si>
  <si>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</si>
  <si>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</si>
  <si>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</si>
  <si>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</si>
  <si>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</si>
  <si>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</si>
  <si>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</si>
  <si>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</si>
  <si>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</si>
  <si>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</si>
  <si>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</si>
  <si>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</si>
  <si>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</si>
  <si>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</si>
  <si>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</si>
  <si>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</si>
  <si>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</si>
  <si>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</si>
  <si>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</si>
  <si>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</si>
  <si>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</si>
  <si>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</si>
  <si>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</si>
  <si>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</si>
  <si>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</si>
  <si>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</si>
  <si>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</si>
  <si>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</si>
  <si>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</si>
  <si>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</si>
  <si>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</si>
  <si>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</si>
  <si>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</si>
  <si>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</si>
  <si>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</si>
  <si>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</si>
  <si>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</si>
  <si>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</si>
  <si>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</si>
  <si>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</si>
  <si>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</si>
  <si>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</si>
  <si>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</si>
  <si>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</si>
  <si>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</si>
  <si>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</si>
  <si>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</si>
  <si>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</si>
  <si>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</si>
  <si>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</si>
  <si>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</si>
  <si>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</si>
  <si>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</si>
  <si>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</si>
  <si>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</si>
  <si>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</si>
  <si>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</si>
  <si>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</si>
  <si>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</si>
  <si>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</si>
  <si>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</si>
  <si>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</si>
  <si>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</si>
  <si>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</si>
  <si>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</si>
  <si>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</si>
  <si>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</si>
  <si>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</si>
  <si>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</si>
  <si>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</si>
  <si>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</si>
  <si>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</si>
  <si>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</si>
  <si>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</si>
  <si>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</si>
  <si>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</si>
  <si>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</si>
  <si>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</si>
  <si>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</si>
  <si>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</si>
  <si>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</si>
  <si>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</si>
  <si>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</si>
  <si>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</si>
  <si>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</si>
  <si>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</si>
  <si>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</si>
  <si>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</si>
  <si>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</si>
  <si>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</si>
  <si>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</si>
  <si>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</si>
  <si>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</si>
  <si>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</si>
  <si>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</si>
  <si>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</si>
  <si>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</si>
  <si>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</si>
  <si>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</si>
  <si>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</si>
  <si>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</si>
  <si>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</si>
  <si>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</si>
  <si>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</si>
  <si>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</si>
  <si>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</si>
  <si>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</si>
  <si>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</si>
  <si>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</si>
  <si>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</si>
  <si>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</si>
  <si>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</si>
  <si>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</si>
  <si>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</si>
  <si>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</si>
  <si>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</si>
  <si>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</si>
  <si>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</si>
  <si>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</si>
  <si>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</si>
  <si>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</si>
  <si>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</si>
  <si>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</si>
  <si>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</si>
  <si>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</si>
  <si>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</si>
  <si>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</si>
  <si>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</si>
  <si>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</si>
  <si>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</si>
  <si>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</si>
  <si>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</si>
  <si>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</si>
  <si>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</si>
  <si>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</si>
  <si>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</si>
  <si>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</si>
  <si>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</si>
  <si>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</si>
  <si>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</si>
  <si>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</si>
  <si>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</si>
  <si>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</si>
  <si>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</si>
  <si>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</si>
  <si>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</si>
  <si>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</si>
  <si>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</si>
  <si>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</si>
  <si>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</si>
  <si>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</si>
  <si>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</si>
  <si>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</si>
  <si>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</si>
  <si>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</si>
  <si>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</si>
  <si>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</si>
  <si>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</si>
  <si>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</si>
  <si>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</si>
  <si>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</si>
  <si>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</si>
  <si>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</si>
  <si>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</si>
  <si>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</si>
  <si>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</si>
  <si>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</si>
  <si>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</si>
  <si>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</si>
  <si>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</si>
  <si>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</si>
  <si>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</si>
  <si>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</si>
  <si>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</si>
  <si>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</si>
  <si>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</si>
  <si>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</si>
  <si>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</si>
  <si>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</si>
  <si>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</si>
  <si>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</si>
  <si>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</si>
  <si>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</si>
  <si>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</si>
  <si>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</si>
  <si>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</si>
  <si>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</si>
  <si>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</si>
  <si>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</si>
  <si>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</si>
  <si>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</si>
  <si>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</si>
  <si>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</si>
  <si>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</si>
  <si>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</si>
  <si>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</si>
  <si>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</si>
  <si>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</si>
  <si>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</si>
  <si>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</si>
  <si>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</si>
  <si>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</si>
  <si>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</si>
  <si>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</si>
  <si>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</si>
  <si>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</si>
  <si>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</si>
  <si>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</si>
  <si>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</si>
  <si>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</si>
  <si>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</si>
  <si>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</si>
  <si>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</si>
  <si>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</si>
  <si>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</si>
  <si>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</si>
  <si>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</si>
  <si>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</si>
  <si>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</si>
  <si>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</si>
  <si>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</si>
  <si>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</si>
  <si>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</si>
  <si>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</si>
  <si>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</si>
  <si>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</si>
  <si>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</si>
  <si>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</si>
  <si>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</si>
  <si>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</si>
  <si>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</si>
  <si>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</si>
  <si>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</si>
  <si>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</si>
  <si>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</si>
  <si>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</si>
  <si>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</si>
  <si>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</si>
  <si>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</si>
  <si>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</si>
  <si>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</si>
  <si>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</si>
  <si>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</si>
  <si>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</si>
  <si>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</si>
  <si>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</si>
  <si>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</si>
  <si>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</si>
  <si>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</si>
  <si>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</si>
  <si>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</si>
  <si>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</si>
  <si>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</si>
  <si>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</si>
  <si>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</si>
  <si>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</si>
  <si>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</si>
  <si>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</si>
  <si>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</si>
  <si>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</si>
  <si>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</si>
  <si>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</si>
  <si>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</si>
  <si>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</si>
  <si>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</si>
  <si>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</si>
  <si>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</si>
  <si>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</si>
  <si>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</si>
  <si>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</si>
  <si>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</si>
  <si>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</si>
  <si>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</si>
  <si>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</si>
  <si>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</si>
  <si>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</si>
  <si>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</si>
  <si>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</si>
  <si>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</si>
  <si>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</si>
  <si>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</si>
  <si>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</si>
  <si>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</si>
  <si>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</si>
  <si>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</si>
  <si>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</si>
  <si>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</si>
  <si>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</si>
  <si>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</si>
  <si>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</si>
  <si>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</si>
  <si>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</si>
  <si>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</si>
  <si>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</si>
  <si>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</si>
  <si>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</si>
  <si>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</si>
  <si>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</si>
  <si>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</si>
  <si>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</si>
  <si>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</si>
  <si>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</si>
  <si>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</si>
  <si>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</si>
  <si>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</si>
  <si>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</si>
  <si>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</si>
  <si>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</si>
  <si>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</si>
  <si>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</si>
  <si>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</si>
  <si>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</si>
  <si>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</si>
  <si>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</si>
  <si>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</si>
  <si>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</si>
  <si>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</si>
  <si>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</si>
  <si>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</si>
  <si>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</si>
  <si>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</si>
  <si>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</si>
  <si>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</si>
  <si>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</si>
  <si>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</si>
  <si>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</si>
  <si>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</si>
  <si>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</si>
  <si>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</si>
  <si>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</si>
  <si>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</si>
  <si>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</si>
  <si>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</si>
  <si>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</si>
  <si>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</si>
  <si>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</si>
  <si>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</si>
  <si>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</si>
  <si>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</si>
  <si>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</si>
  <si>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</si>
  <si>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</si>
  <si>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</si>
  <si>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</si>
  <si>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</si>
  <si>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</si>
  <si>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</si>
  <si>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</si>
  <si>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</si>
  <si>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</si>
  <si>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</si>
  <si>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</si>
  <si>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</si>
  <si>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</si>
  <si>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</si>
  <si>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</si>
  <si>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</si>
  <si>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</si>
  <si>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</si>
  <si>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</si>
  <si>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</si>
  <si>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</si>
  <si>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</si>
  <si>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</si>
  <si>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</si>
  <si>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</si>
  <si>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</si>
  <si>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</si>
  <si>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</si>
  <si>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</si>
  <si>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</si>
  <si>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</si>
  <si>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</si>
  <si>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</si>
  <si>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</si>
  <si>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</si>
  <si>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</si>
  <si>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</si>
  <si>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</si>
  <si>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</si>
  <si>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</si>
  <si>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</si>
  <si>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</si>
  <si>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</si>
  <si>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</si>
  <si>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</si>
  <si>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</si>
  <si>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</si>
  <si>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</si>
  <si>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</si>
  <si>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</si>
  <si>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</si>
  <si>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</si>
  <si>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</si>
  <si>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</si>
  <si>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</si>
  <si>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</si>
  <si>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</si>
  <si>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</si>
  <si>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</si>
  <si>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</si>
  <si>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</si>
  <si>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</si>
  <si>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</si>
  <si>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</si>
  <si>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</si>
  <si>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</si>
  <si>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</si>
  <si>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</si>
  <si>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</si>
  <si>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</si>
  <si>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</si>
  <si>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</si>
  <si>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</si>
  <si>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</si>
  <si>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</si>
  <si>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</si>
  <si>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</si>
  <si>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</si>
  <si>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</si>
  <si>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</si>
  <si>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</si>
  <si>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</si>
  <si>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</si>
  <si>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</si>
  <si>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</si>
  <si>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</si>
  <si>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</si>
  <si>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</si>
  <si>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</si>
  <si>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</si>
  <si>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</si>
  <si>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</si>
  <si>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</si>
  <si>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</si>
  <si>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</si>
  <si>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</si>
  <si>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</si>
  <si>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</si>
  <si>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</si>
  <si>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</si>
  <si>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</si>
  <si>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</si>
  <si>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</si>
  <si>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</si>
  <si>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</si>
  <si>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</si>
  <si>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</si>
  <si>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</si>
  <si>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</si>
  <si>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</si>
  <si>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</si>
  <si>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</si>
  <si>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</si>
  <si>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</si>
  <si>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</si>
  <si>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</si>
  <si>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</si>
  <si>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</si>
  <si>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</si>
  <si>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</si>
  <si>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</si>
  <si>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</si>
  <si>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</si>
  <si>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</si>
  <si>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</si>
  <si>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</si>
  <si>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</si>
  <si>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</si>
  <si>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</si>
  <si>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</si>
  <si>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</si>
  <si>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</si>
  <si>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</si>
  <si>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</si>
  <si>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</si>
  <si>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</si>
  <si>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</si>
  <si>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</si>
  <si>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</si>
  <si>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</si>
  <si>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</si>
  <si>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</si>
  <si>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</si>
  <si>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</si>
  <si>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</si>
  <si>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</si>
  <si>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</si>
  <si>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</si>
  <si>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</si>
  <si>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</si>
  <si>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</si>
  <si>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</si>
  <si>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</si>
  <si>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</si>
  <si>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</si>
  <si>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</si>
  <si>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</si>
  <si>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</si>
  <si>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</si>
  <si>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</si>
  <si>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</si>
  <si>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</si>
  <si>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</si>
  <si>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</si>
  <si>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</si>
  <si>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</si>
  <si>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</si>
  <si>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</si>
  <si>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</si>
  <si>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</si>
  <si>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</si>
  <si>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</si>
  <si>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</si>
  <si>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</si>
  <si>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</si>
  <si>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</si>
  <si>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</si>
  <si>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</si>
  <si>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</si>
  <si>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</si>
  <si>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</si>
  <si>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</si>
  <si>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</si>
  <si>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</si>
  <si>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</si>
  <si>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</si>
  <si>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</si>
  <si>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</si>
  <si>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</si>
  <si>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</si>
  <si>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</si>
  <si>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</si>
  <si>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</si>
  <si>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</si>
  <si>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</si>
  <si>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</si>
  <si>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</si>
  <si>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</si>
  <si>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</si>
  <si>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</si>
  <si>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</si>
  <si>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</si>
  <si>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</si>
  <si>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</si>
  <si>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</si>
  <si>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</si>
  <si>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</si>
  <si>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</si>
  <si>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</si>
  <si>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</si>
  <si>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</si>
  <si>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</si>
  <si>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</si>
  <si>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</si>
  <si>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</si>
  <si>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</si>
  <si>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</si>
  <si>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</si>
  <si>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</si>
  <si>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</si>
  <si>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</si>
  <si>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</si>
  <si>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</si>
  <si>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</si>
  <si>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</si>
  <si>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</si>
  <si>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</si>
  <si>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</si>
  <si>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</si>
  <si>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</si>
  <si>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</si>
  <si>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</si>
  <si>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</si>
  <si>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</si>
  <si>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</si>
  <si>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</si>
  <si>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</si>
  <si>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</si>
  <si>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</si>
  <si>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</si>
  <si>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</si>
  <si>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</si>
  <si>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</si>
  <si>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</si>
  <si>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</si>
  <si>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</si>
  <si>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</si>
  <si>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</si>
  <si>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</si>
  <si>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</si>
  <si>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</si>
  <si>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</si>
  <si>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</si>
  <si>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</si>
  <si>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</si>
  <si>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</si>
  <si>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</si>
  <si>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</si>
  <si>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</si>
  <si>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</si>
  <si>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</si>
  <si>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</si>
  <si>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</si>
  <si>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</si>
  <si>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</si>
  <si>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</si>
  <si>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</si>
  <si>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</si>
  <si>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</si>
  <si>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</si>
  <si>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</si>
  <si>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</si>
  <si>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</si>
  <si>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</si>
  <si>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</si>
  <si>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</si>
  <si>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</si>
  <si>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</si>
  <si>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</si>
  <si>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</si>
  <si>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</si>
  <si>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</si>
  <si>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</si>
  <si>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</si>
  <si>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</si>
  <si>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</si>
  <si>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</si>
  <si>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</si>
  <si>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</si>
  <si>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</si>
  <si>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</si>
  <si>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</si>
  <si>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</si>
  <si>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</si>
  <si>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</si>
  <si>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</si>
  <si>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</si>
  <si>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</si>
  <si>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</si>
  <si>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</si>
  <si>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</si>
  <si>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</si>
  <si>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</si>
  <si>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</si>
  <si>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</si>
  <si>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</si>
  <si>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</si>
  <si>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</si>
  <si>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</si>
  <si>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</si>
  <si>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</si>
  <si>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</si>
  <si>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</si>
  <si>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</si>
  <si>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</si>
  <si>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</si>
  <si>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</si>
  <si>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</si>
  <si>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</si>
  <si>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</si>
  <si>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</si>
  <si>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</si>
  <si>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</si>
  <si>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</si>
  <si>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</si>
  <si>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</si>
  <si>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</si>
  <si>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</si>
  <si>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</si>
  <si>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</si>
  <si>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</si>
  <si>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</si>
  <si>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</si>
  <si>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</si>
  <si>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</si>
  <si>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</si>
  <si>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</si>
  <si>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</si>
  <si>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</si>
  <si>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</si>
  <si>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</si>
  <si>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</si>
  <si>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</si>
  <si>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</si>
  <si>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</si>
  <si>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</si>
  <si>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</si>
  <si>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</si>
  <si>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</si>
  <si>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</si>
  <si>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</si>
  <si>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</si>
  <si>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</si>
  <si>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</si>
  <si>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</si>
  <si>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</si>
  <si>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</si>
  <si>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</si>
  <si>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</si>
  <si>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</si>
  <si>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</si>
  <si>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</si>
  <si>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</si>
  <si>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</si>
  <si>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</si>
  <si>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</si>
  <si>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</si>
  <si>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</si>
  <si>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</si>
  <si>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</si>
  <si>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</si>
  <si>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</si>
  <si>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</si>
  <si>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</si>
  <si>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</si>
  <si>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</si>
  <si>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</si>
  <si>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</si>
  <si>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</si>
  <si>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</si>
  <si>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</si>
  <si>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</si>
  <si>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</si>
  <si>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</si>
  <si>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</si>
  <si>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</si>
  <si>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</si>
  <si>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</si>
  <si>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</si>
  <si>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</si>
  <si>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</si>
  <si>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</si>
  <si>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</si>
  <si>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</si>
  <si>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</si>
  <si>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</si>
  <si>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</si>
  <si>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</si>
  <si>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</si>
  <si>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</si>
  <si>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</si>
  <si>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</si>
  <si>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</si>
  <si>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</si>
  <si>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</si>
  <si>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</si>
  <si>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</si>
  <si>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</si>
  <si>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</si>
  <si>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</si>
  <si>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</si>
  <si>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</si>
  <si>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</si>
  <si>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</si>
  <si>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</si>
  <si>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</si>
  <si>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</si>
  <si>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</si>
  <si>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</si>
  <si>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</si>
  <si>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</si>
  <si>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</si>
  <si>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</si>
  <si>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</si>
  <si>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</si>
  <si>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</si>
  <si>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</si>
  <si>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</si>
  <si>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</si>
  <si>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</si>
  <si>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</si>
  <si>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</si>
  <si>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</si>
  <si>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</si>
  <si>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</si>
  <si>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</si>
  <si>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</si>
  <si>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</si>
  <si>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</si>
  <si>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</si>
  <si>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</si>
  <si>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</si>
  <si>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</si>
  <si>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</si>
  <si>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</si>
  <si>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</si>
  <si>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</si>
  <si>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</si>
  <si>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</si>
  <si>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</si>
  <si>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</si>
  <si>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</si>
  <si>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</si>
  <si>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</si>
  <si>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</si>
  <si>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</si>
  <si>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</si>
  <si>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</si>
  <si>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</si>
  <si>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</si>
  <si>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</si>
  <si>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</si>
  <si>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</si>
  <si>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</si>
  <si>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</si>
  <si>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</si>
  <si>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</si>
  <si>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</si>
  <si>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</si>
  <si>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</si>
  <si>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</si>
  <si>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</si>
  <si>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</si>
  <si>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</si>
  <si>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</si>
  <si>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</si>
  <si>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</si>
  <si>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</si>
  <si>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</si>
  <si>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</si>
  <si>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</si>
  <si>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</si>
  <si>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</si>
  <si>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</si>
  <si>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</si>
  <si>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</si>
  <si>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</si>
  <si>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</si>
  <si>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</si>
  <si>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</si>
  <si>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</si>
  <si>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min salary</t>
  </si>
  <si>
    <t>max salary</t>
  </si>
  <si>
    <t>number_of_accounts</t>
  </si>
  <si>
    <t>Revenue</t>
  </si>
  <si>
    <t>%of quota</t>
  </si>
  <si>
    <t>quote tier</t>
  </si>
  <si>
    <t>Employee Information</t>
  </si>
  <si>
    <t>Compensation information</t>
  </si>
  <si>
    <t>Benchmark Data</t>
  </si>
  <si>
    <t>Job Title</t>
  </si>
  <si>
    <t>2018 Base Salary</t>
  </si>
  <si>
    <t>Commission</t>
  </si>
  <si>
    <t>Total Pay</t>
  </si>
  <si>
    <t>Benchmark Base Salary</t>
  </si>
  <si>
    <t>Name</t>
  </si>
  <si>
    <t>Employee Number</t>
  </si>
  <si>
    <t>Total Commission</t>
  </si>
  <si>
    <t>Total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</si>
</sst>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_(&quot;$&quot;* #,##0_);_(&quot;$&quot;* \(#,##0\);_(&quot;$&quot;* &quot;-&quot;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Fill="1"/>
    <xf numFmtId="0" fontId="0" fillId="0" borderId="0" xfId="0" applyFill="1" applyBorder="1"/>
    <xf numFmtId="164" fontId="0" fillId="0" borderId="0" xfId="1" applyNumberFormat="1" applyFont="1" applyFill="1" applyBorder="1"/>
    <xf numFmtId="0" fontId="0" fillId="0" borderId="0" xfId="2" applyNumberFormat="1" applyFont="1" applyFill="1" applyBorder="1"/>
    <xf numFmtId="164" fontId="0" fillId="0" borderId="0" xfId="1" applyNumberFormat="1" applyFont="1"/>
    <xf numFmtId="164" fontId="0" fillId="0" borderId="0" xfId="1" applyNumberFormat="1" applyFont="1" applyFill="1"/>
    <xf numFmtId="9" fontId="0" fillId="0" borderId="0" xfId="0" applyNumberFormat="1"/>
    <xf numFmtId="165" fontId="0" fillId="0" borderId="0" xfId="0" applyNumberFormat="1"/>
    <xf numFmtId="164" fontId="0" fillId="0" borderId="0" xfId="0" applyNumberFormat="1"/>
    <xf numFmtId="9" fontId="0" fillId="0" borderId="0" xfId="2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Sheet2!$C$2:$C$3</c:f>
              <c:strCache>
                <c:ptCount val="2"/>
                <c:pt idx="0">
                  <c:v>Foster Smith</c:v>
                </c:pt>
                <c:pt idx="1">
                  <c:v>Account Executive 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Sheet2!$B$4:$B$10</c:f>
              <c:strCache>
                <c:ptCount val="7"/>
                <c:pt idx="0">
                  <c:v>2018 Base Salary</c:v>
                </c:pt>
                <c:pt idx="1">
                  <c:v>Commission</c:v>
                </c:pt>
                <c:pt idx="2">
                  <c:v>Total Pay</c:v>
                </c:pt>
                <c:pt idx="4">
                  <c:v>Benchmark Base Salary</c:v>
                </c:pt>
                <c:pt idx="5">
                  <c:v>Benchmark Commission</c:v>
                </c:pt>
                <c:pt idx="6">
                  <c:v>Benchmark Total Pay</c:v>
                </c:pt>
              </c:strCache>
            </c:strRef>
          </c:cat>
          <c:val>
            <c:numRef>
              <c:f>Sheet2!$C$4:$C$10</c:f>
              <c:numCache>
                <c:formatCode>_("$"* #,##0_);_("$"* \(#,##0\);_("$"* "-"??_);_(@_)</c:formatCode>
                <c:ptCount val="7"/>
                <c:pt idx="0">
                  <c:v>63106</c:v>
                </c:pt>
                <c:pt idx="1">
                  <c:v>71813.55</c:v>
                </c:pt>
                <c:pt idx="2">
                  <c:v>261131.55</c:v>
                </c:pt>
                <c:pt idx="4">
                  <c:v>50000</c:v>
                </c:pt>
                <c:pt idx="5">
                  <c:v>75000</c:v>
                </c:pt>
                <c:pt idx="6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F-4F45-9961-57523049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40744"/>
        <c:axId val="554243368"/>
      </c:barChart>
      <c:catAx>
        <c:axId val="55424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3368"/>
        <c:crosses val="autoZero"/>
        <c:auto val="1"/>
        <c:lblAlgn val="ctr"/>
        <c:lblOffset val="100"/>
        <c:noMultiLvlLbl val="0"/>
      </c:catAx>
      <c:valAx>
        <c:axId val="55424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28575</xdr:rowOff>
    </xdr:from>
    <xdr:to>
      <xdr:col>15</xdr:col>
      <xdr:colOff>438150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45B19-36DC-4FCD-876A-63B2D8207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culat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1"/>
  <sheetViews>
    <sheetView workbookViewId="0">
      <selection activeCellId="1" sqref="K2 A1:XFD1048576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22324</v>
      </c>
      <c r="G1" s="1" t="s">
        <v>22323</v>
      </c>
      <c r="I1" t="s">
        <v>22325</v>
      </c>
      <c r="K1" t="s">
        <v>22337</v>
      </c>
    </row>
    <row r="2" spans="1:11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VLOOKUP(D2,'2018_commission_structure'!$A$2:$C$4,3,FALSE)</f>
        <v>65000</v>
      </c>
      <c r="G2">
        <f>VLOOKUP(D2,'2018_commission_structure'!$A$2:$C$4,2,FALSE)</f>
        <v>30000</v>
      </c>
      <c r="H2">
        <f>IF(AND(E2&gt;=G2,E2&lt;=F2),0,1)</f>
        <v>0</v>
      </c>
      <c r="I2">
        <f>COUNTIF(deals_closed!D:D, A2)</f>
        <v>19</v>
      </c>
      <c r="J2">
        <f>SUMIF(deals_closed!D:D, [1]calculations!A2, deals_closed!C:C)</f>
        <v>0</v>
      </c>
      <c r="K2" t="str">
        <f>_xlfn.CONCAT(B2, " ",C2)</f>
        <v>Elva Hamsher</v>
      </c>
    </row>
    <row r="3" spans="1:11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VLOOKUP(D3,'2018_commission_structure'!$A$2:$C$4,3,FALSE)</f>
        <v>125000</v>
      </c>
      <c r="G3">
        <f>VLOOKUP(D3,'2018_commission_structure'!$A$2:$C$4,2,FALSE)</f>
        <v>75000</v>
      </c>
      <c r="H3">
        <f t="shared" ref="H3:H66" si="0">IF(AND(E3&gt;=G3,E3&lt;=F3),0,1)</f>
        <v>0</v>
      </c>
      <c r="I3">
        <f>COUNTIF(deals_closed!D:D, A3)</f>
        <v>27</v>
      </c>
      <c r="K3" t="str">
        <f>_xlfn.CONCAT(B3, " ",C3)</f>
        <v>Bertie Turpey</v>
      </c>
    </row>
    <row r="4" spans="1:11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VLOOKUP(D4,'2018_commission_structure'!$A$2:$C$4,3,FALSE)</f>
        <v>125000</v>
      </c>
      <c r="G4">
        <f>VLOOKUP(D4,'2018_commission_structure'!$A$2:$C$4,2,FALSE)</f>
        <v>75000</v>
      </c>
      <c r="H4">
        <f t="shared" si="0"/>
        <v>0</v>
      </c>
      <c r="I4">
        <f>COUNTIF(deals_closed!D:D, A4)</f>
        <v>20</v>
      </c>
      <c r="K4" t="str">
        <f>_xlfn.CONCAT(B4, " ",C4)</f>
        <v>Belita Kroll</v>
      </c>
    </row>
    <row r="5" spans="1:11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VLOOKUP(D5,'2018_commission_structure'!$A$2:$C$4,3,FALSE)</f>
        <v>125000</v>
      </c>
      <c r="G5">
        <f>VLOOKUP(D5,'2018_commission_structure'!$A$2:$C$4,2,FALSE)</f>
        <v>75000</v>
      </c>
      <c r="H5">
        <f t="shared" si="0"/>
        <v>0</v>
      </c>
      <c r="I5">
        <f>COUNTIF(deals_closed!D:D, A5)</f>
        <v>20</v>
      </c>
      <c r="K5" t="str">
        <f>_xlfn.CONCAT(B5, " ",C5)</f>
        <v>Gothart Alven</v>
      </c>
    </row>
    <row r="6" spans="1:11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VLOOKUP(D6,'2018_commission_structure'!$A$2:$C$4,3,FALSE)</f>
        <v>125000</v>
      </c>
      <c r="G6">
        <f>VLOOKUP(D6,'2018_commission_structure'!$A$2:$C$4,2,FALSE)</f>
        <v>75000</v>
      </c>
      <c r="H6">
        <f t="shared" si="0"/>
        <v>0</v>
      </c>
      <c r="I6">
        <f>COUNTIF(deals_closed!D:D, A6)</f>
        <v>22</v>
      </c>
      <c r="K6" t="str">
        <f>_xlfn.CONCAT(B6, " ",C6)</f>
        <v>Orland Gommery</v>
      </c>
    </row>
    <row r="7" spans="1:11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VLOOKUP(D7,'2018_commission_structure'!$A$2:$C$4,3,FALSE)</f>
        <v>125000</v>
      </c>
      <c r="G7">
        <f>VLOOKUP(D7,'2018_commission_structure'!$A$2:$C$4,2,FALSE)</f>
        <v>75000</v>
      </c>
      <c r="H7">
        <f t="shared" si="0"/>
        <v>0</v>
      </c>
      <c r="I7">
        <f>COUNTIF(deals_closed!D:D, A7)</f>
        <v>13</v>
      </c>
      <c r="K7" t="str">
        <f>_xlfn.CONCAT(B7, " ",C7)</f>
        <v>Tobe Standen</v>
      </c>
    </row>
    <row r="8" spans="1:11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VLOOKUP(D8,'2018_commission_structure'!$A$2:$C$4,3,FALSE)</f>
        <v>65000</v>
      </c>
      <c r="G8">
        <f>VLOOKUP(D8,'2018_commission_structure'!$A$2:$C$4,2,FALSE)</f>
        <v>30000</v>
      </c>
      <c r="H8">
        <f t="shared" si="0"/>
        <v>0</v>
      </c>
      <c r="I8">
        <f>COUNTIF(deals_closed!D:D, A8)</f>
        <v>22</v>
      </c>
      <c r="K8" t="str">
        <f>_xlfn.CONCAT(B8, " ",C8)</f>
        <v>Foster Smith</v>
      </c>
    </row>
    <row r="9" spans="1:11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VLOOKUP(D9,'2018_commission_structure'!$A$2:$C$4,3,FALSE)</f>
        <v>125000</v>
      </c>
      <c r="G9">
        <f>VLOOKUP(D9,'2018_commission_structure'!$A$2:$C$4,2,FALSE)</f>
        <v>75000</v>
      </c>
      <c r="H9">
        <f t="shared" si="0"/>
        <v>0</v>
      </c>
      <c r="I9">
        <f>COUNTIF(deals_closed!D:D, A9)</f>
        <v>22</v>
      </c>
      <c r="K9" t="str">
        <f>_xlfn.CONCAT(B9, " ",C9)</f>
        <v>Salomi Rosenhaus</v>
      </c>
    </row>
    <row r="10" spans="1:11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VLOOKUP(D10,'2018_commission_structure'!$A$2:$C$4,3,FALSE)</f>
        <v>125000</v>
      </c>
      <c r="G10">
        <f>VLOOKUP(D10,'2018_commission_structure'!$A$2:$C$4,2,FALSE)</f>
        <v>75000</v>
      </c>
      <c r="H10">
        <f t="shared" si="0"/>
        <v>0</v>
      </c>
      <c r="I10">
        <f>COUNTIF(deals_closed!D:D, A10)</f>
        <v>19</v>
      </c>
      <c r="K10" t="str">
        <f>_xlfn.CONCAT(B10, " ",C10)</f>
        <v>Andria Zimmermanns</v>
      </c>
    </row>
    <row r="11" spans="1:11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VLOOKUP(D11,'2018_commission_structure'!$A$2:$C$4,3,FALSE)</f>
        <v>125000</v>
      </c>
      <c r="G11">
        <f>VLOOKUP(D11,'2018_commission_structure'!$A$2:$C$4,2,FALSE)</f>
        <v>75000</v>
      </c>
      <c r="H11">
        <f t="shared" si="0"/>
        <v>0</v>
      </c>
      <c r="I11">
        <f>COUNTIF(deals_closed!D:D, A11)</f>
        <v>17</v>
      </c>
      <c r="K11" t="str">
        <f>_xlfn.CONCAT(B11, " ",C11)</f>
        <v>Caddric Armytage</v>
      </c>
    </row>
    <row r="12" spans="1:11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VLOOKUP(D12,'2018_commission_structure'!$A$2:$C$4,3,FALSE)</f>
        <v>80000</v>
      </c>
      <c r="G12">
        <f>VLOOKUP(D12,'2018_commission_structure'!$A$2:$C$4,2,FALSE)</f>
        <v>50000</v>
      </c>
      <c r="H12">
        <f t="shared" si="0"/>
        <v>0</v>
      </c>
      <c r="I12">
        <f>COUNTIF(deals_closed!D:D, A12)</f>
        <v>23</v>
      </c>
      <c r="K12" t="str">
        <f>_xlfn.CONCAT(B12, " ",C12)</f>
        <v>Baird Hayhow</v>
      </c>
    </row>
    <row r="13" spans="1:11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VLOOKUP(D13,'2018_commission_structure'!$A$2:$C$4,3,FALSE)</f>
        <v>125000</v>
      </c>
      <c r="G13">
        <f>VLOOKUP(D13,'2018_commission_structure'!$A$2:$C$4,2,FALSE)</f>
        <v>75000</v>
      </c>
      <c r="H13">
        <f t="shared" si="0"/>
        <v>0</v>
      </c>
      <c r="I13">
        <f>COUNTIF(deals_closed!D:D, A13)</f>
        <v>21</v>
      </c>
      <c r="K13" t="str">
        <f>_xlfn.CONCAT(B13, " ",C13)</f>
        <v>Granger Norsworthy</v>
      </c>
    </row>
    <row r="14" spans="1:11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VLOOKUP(D14,'2018_commission_structure'!$A$2:$C$4,3,FALSE)</f>
        <v>125000</v>
      </c>
      <c r="G14">
        <f>VLOOKUP(D14,'2018_commission_structure'!$A$2:$C$4,2,FALSE)</f>
        <v>75000</v>
      </c>
      <c r="H14">
        <f t="shared" si="0"/>
        <v>0</v>
      </c>
      <c r="I14">
        <f>COUNTIF(deals_closed!D:D, A14)</f>
        <v>22</v>
      </c>
      <c r="K14" t="str">
        <f>_xlfn.CONCAT(B14, " ",C14)</f>
        <v>Doralynne Lexa</v>
      </c>
    </row>
    <row r="15" spans="1:11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VLOOKUP(D15,'2018_commission_structure'!$A$2:$C$4,3,FALSE)</f>
        <v>65000</v>
      </c>
      <c r="G15">
        <f>VLOOKUP(D15,'2018_commission_structure'!$A$2:$C$4,2,FALSE)</f>
        <v>30000</v>
      </c>
      <c r="H15">
        <f t="shared" si="0"/>
        <v>0</v>
      </c>
      <c r="I15">
        <f>COUNTIF(deals_closed!D:D, A15)</f>
        <v>20</v>
      </c>
      <c r="K15" t="str">
        <f>_xlfn.CONCAT(B15, " ",C15)</f>
        <v>Danit Fosserd</v>
      </c>
    </row>
    <row r="16" spans="1:11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VLOOKUP(D16,'2018_commission_structure'!$A$2:$C$4,3,FALSE)</f>
        <v>125000</v>
      </c>
      <c r="G16">
        <f>VLOOKUP(D16,'2018_commission_structure'!$A$2:$C$4,2,FALSE)</f>
        <v>75000</v>
      </c>
      <c r="H16">
        <f t="shared" si="0"/>
        <v>0</v>
      </c>
      <c r="I16">
        <f>COUNTIF(deals_closed!D:D, A16)</f>
        <v>17</v>
      </c>
      <c r="K16" t="str">
        <f>_xlfn.CONCAT(B16, " ",C16)</f>
        <v>Court Brightwell</v>
      </c>
    </row>
    <row r="17" spans="1:11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VLOOKUP(D17,'2018_commission_structure'!$A$2:$C$4,3,FALSE)</f>
        <v>65000</v>
      </c>
      <c r="G17">
        <f>VLOOKUP(D17,'2018_commission_structure'!$A$2:$C$4,2,FALSE)</f>
        <v>30000</v>
      </c>
      <c r="H17">
        <f t="shared" si="0"/>
        <v>0</v>
      </c>
      <c r="I17">
        <f>COUNTIF(deals_closed!D:D, A17)</f>
        <v>21</v>
      </c>
      <c r="K17" t="str">
        <f>_xlfn.CONCAT(B17, " ",C17)</f>
        <v>Sandor D'Ambrogi</v>
      </c>
    </row>
    <row r="18" spans="1:11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VLOOKUP(D18,'2018_commission_structure'!$A$2:$C$4,3,FALSE)</f>
        <v>125000</v>
      </c>
      <c r="G18">
        <f>VLOOKUP(D18,'2018_commission_structure'!$A$2:$C$4,2,FALSE)</f>
        <v>75000</v>
      </c>
      <c r="H18">
        <f t="shared" si="0"/>
        <v>0</v>
      </c>
      <c r="I18">
        <f>COUNTIF(deals_closed!D:D, A18)</f>
        <v>14</v>
      </c>
      <c r="K18" t="str">
        <f>_xlfn.CONCAT(B18, " ",C18)</f>
        <v>Read Muxworthy</v>
      </c>
    </row>
    <row r="19" spans="1:11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VLOOKUP(D19,'2018_commission_structure'!$A$2:$C$4,3,FALSE)</f>
        <v>65000</v>
      </c>
      <c r="G19">
        <f>VLOOKUP(D19,'2018_commission_structure'!$A$2:$C$4,2,FALSE)</f>
        <v>30000</v>
      </c>
      <c r="H19">
        <f t="shared" si="0"/>
        <v>0</v>
      </c>
      <c r="I19">
        <f>COUNTIF(deals_closed!D:D, A19)</f>
        <v>16</v>
      </c>
      <c r="K19" t="str">
        <f>_xlfn.CONCAT(B19, " ",C19)</f>
        <v>Brantley Cristofolini</v>
      </c>
    </row>
    <row r="20" spans="1:11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VLOOKUP(D20,'2018_commission_structure'!$A$2:$C$4,3,FALSE)</f>
        <v>65000</v>
      </c>
      <c r="G20">
        <f>VLOOKUP(D20,'2018_commission_structure'!$A$2:$C$4,2,FALSE)</f>
        <v>30000</v>
      </c>
      <c r="H20">
        <f t="shared" si="0"/>
        <v>0</v>
      </c>
      <c r="I20">
        <f>COUNTIF(deals_closed!D:D, A20)</f>
        <v>28</v>
      </c>
      <c r="K20" t="str">
        <f>_xlfn.CONCAT(B20, " ",C20)</f>
        <v>Rodrigo Rourke</v>
      </c>
    </row>
    <row r="21" spans="1:11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VLOOKUP(D21,'2018_commission_structure'!$A$2:$C$4,3,FALSE)</f>
        <v>65000</v>
      </c>
      <c r="G21">
        <f>VLOOKUP(D21,'2018_commission_structure'!$A$2:$C$4,2,FALSE)</f>
        <v>30000</v>
      </c>
      <c r="H21">
        <f t="shared" si="0"/>
        <v>0</v>
      </c>
      <c r="I21">
        <f>COUNTIF(deals_closed!D:D, A21)</f>
        <v>20</v>
      </c>
      <c r="K21" t="str">
        <f>_xlfn.CONCAT(B21, " ",C21)</f>
        <v>Giles Fardy</v>
      </c>
    </row>
    <row r="22" spans="1:11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VLOOKUP(D22,'2018_commission_structure'!$A$2:$C$4,3,FALSE)</f>
        <v>125000</v>
      </c>
      <c r="G22">
        <f>VLOOKUP(D22,'2018_commission_structure'!$A$2:$C$4,2,FALSE)</f>
        <v>75000</v>
      </c>
      <c r="H22">
        <f t="shared" si="0"/>
        <v>0</v>
      </c>
      <c r="I22">
        <f>COUNTIF(deals_closed!D:D, A22)</f>
        <v>19</v>
      </c>
      <c r="K22" t="str">
        <f>_xlfn.CONCAT(B22, " ",C22)</f>
        <v>Agretha Pevreal</v>
      </c>
    </row>
    <row r="23" spans="1:11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VLOOKUP(D23,'2018_commission_structure'!$A$2:$C$4,3,FALSE)</f>
        <v>125000</v>
      </c>
      <c r="G23">
        <f>VLOOKUP(D23,'2018_commission_structure'!$A$2:$C$4,2,FALSE)</f>
        <v>75000</v>
      </c>
      <c r="H23">
        <f t="shared" si="0"/>
        <v>0</v>
      </c>
      <c r="I23">
        <f>COUNTIF(deals_closed!D:D, A23)</f>
        <v>20</v>
      </c>
      <c r="K23" t="str">
        <f>_xlfn.CONCAT(B23, " ",C23)</f>
        <v>Adelice Baudinet</v>
      </c>
    </row>
    <row r="24" spans="1:11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VLOOKUP(D24,'2018_commission_structure'!$A$2:$C$4,3,FALSE)</f>
        <v>80000</v>
      </c>
      <c r="G24">
        <f>VLOOKUP(D24,'2018_commission_structure'!$A$2:$C$4,2,FALSE)</f>
        <v>50000</v>
      </c>
      <c r="H24">
        <f t="shared" si="0"/>
        <v>0</v>
      </c>
      <c r="I24">
        <f>COUNTIF(deals_closed!D:D, A24)</f>
        <v>12</v>
      </c>
      <c r="K24" t="str">
        <f>_xlfn.CONCAT(B24, " ",C24)</f>
        <v>Latrina Shropsheir</v>
      </c>
    </row>
    <row r="25" spans="1:11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VLOOKUP(D25,'2018_commission_structure'!$A$2:$C$4,3,FALSE)</f>
        <v>125000</v>
      </c>
      <c r="G25">
        <f>VLOOKUP(D25,'2018_commission_structure'!$A$2:$C$4,2,FALSE)</f>
        <v>75000</v>
      </c>
      <c r="H25">
        <f t="shared" si="0"/>
        <v>0</v>
      </c>
      <c r="I25">
        <f>COUNTIF(deals_closed!D:D, A25)</f>
        <v>24</v>
      </c>
      <c r="K25" t="str">
        <f>_xlfn.CONCAT(B25, " ",C25)</f>
        <v>Pet Tellenbrook</v>
      </c>
    </row>
    <row r="26" spans="1:11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VLOOKUP(D26,'2018_commission_structure'!$A$2:$C$4,3,FALSE)</f>
        <v>65000</v>
      </c>
      <c r="G26">
        <f>VLOOKUP(D26,'2018_commission_structure'!$A$2:$C$4,2,FALSE)</f>
        <v>30000</v>
      </c>
      <c r="H26">
        <f t="shared" si="0"/>
        <v>0</v>
      </c>
      <c r="I26">
        <f>COUNTIF(deals_closed!D:D, A26)</f>
        <v>13</v>
      </c>
      <c r="K26" t="str">
        <f>_xlfn.CONCAT(B26, " ",C26)</f>
        <v>Rory Hadwick</v>
      </c>
    </row>
    <row r="27" spans="1:11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VLOOKUP(D27,'2018_commission_structure'!$A$2:$C$4,3,FALSE)</f>
        <v>125000</v>
      </c>
      <c r="G27">
        <f>VLOOKUP(D27,'2018_commission_structure'!$A$2:$C$4,2,FALSE)</f>
        <v>75000</v>
      </c>
      <c r="H27">
        <f t="shared" si="0"/>
        <v>0</v>
      </c>
      <c r="I27">
        <f>COUNTIF(deals_closed!D:D, A27)</f>
        <v>14</v>
      </c>
      <c r="K27" t="str">
        <f>_xlfn.CONCAT(B27, " ",C27)</f>
        <v>Gabriela McVicker</v>
      </c>
    </row>
    <row r="28" spans="1:11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VLOOKUP(D28,'2018_commission_structure'!$A$2:$C$4,3,FALSE)</f>
        <v>80000</v>
      </c>
      <c r="G28">
        <f>VLOOKUP(D28,'2018_commission_structure'!$A$2:$C$4,2,FALSE)</f>
        <v>50000</v>
      </c>
      <c r="H28">
        <f t="shared" si="0"/>
        <v>0</v>
      </c>
      <c r="I28">
        <f>COUNTIF(deals_closed!D:D, A28)</f>
        <v>13</v>
      </c>
      <c r="K28" t="str">
        <f>_xlfn.CONCAT(B28, " ",C28)</f>
        <v>Tracey Phelip</v>
      </c>
    </row>
    <row r="29" spans="1:11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VLOOKUP(D29,'2018_commission_structure'!$A$2:$C$4,3,FALSE)</f>
        <v>80000</v>
      </c>
      <c r="G29">
        <f>VLOOKUP(D29,'2018_commission_structure'!$A$2:$C$4,2,FALSE)</f>
        <v>50000</v>
      </c>
      <c r="H29">
        <f t="shared" si="0"/>
        <v>0</v>
      </c>
      <c r="I29">
        <f>COUNTIF(deals_closed!D:D, A29)</f>
        <v>17</v>
      </c>
      <c r="K29" t="str">
        <f>_xlfn.CONCAT(B29, " ",C29)</f>
        <v>Birdie Jesper</v>
      </c>
    </row>
    <row r="30" spans="1:11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VLOOKUP(D30,'2018_commission_structure'!$A$2:$C$4,3,FALSE)</f>
        <v>125000</v>
      </c>
      <c r="G30">
        <f>VLOOKUP(D30,'2018_commission_structure'!$A$2:$C$4,2,FALSE)</f>
        <v>75000</v>
      </c>
      <c r="H30">
        <f t="shared" si="0"/>
        <v>0</v>
      </c>
      <c r="I30">
        <f>COUNTIF(deals_closed!D:D, A30)</f>
        <v>30</v>
      </c>
      <c r="K30" t="str">
        <f>_xlfn.CONCAT(B30, " ",C30)</f>
        <v>Mil Tichelaar</v>
      </c>
    </row>
    <row r="31" spans="1:11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VLOOKUP(D31,'2018_commission_structure'!$A$2:$C$4,3,FALSE)</f>
        <v>65000</v>
      </c>
      <c r="G31">
        <f>VLOOKUP(D31,'2018_commission_structure'!$A$2:$C$4,2,FALSE)</f>
        <v>30000</v>
      </c>
      <c r="H31">
        <f t="shared" si="0"/>
        <v>0</v>
      </c>
      <c r="I31">
        <f>COUNTIF(deals_closed!D:D, A31)</f>
        <v>22</v>
      </c>
      <c r="K31" t="str">
        <f>_xlfn.CONCAT(B31, " ",C31)</f>
        <v>Harlan Mein</v>
      </c>
    </row>
    <row r="32" spans="1:11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VLOOKUP(D32,'2018_commission_structure'!$A$2:$C$4,3,FALSE)</f>
        <v>65000</v>
      </c>
      <c r="G32">
        <f>VLOOKUP(D32,'2018_commission_structure'!$A$2:$C$4,2,FALSE)</f>
        <v>30000</v>
      </c>
      <c r="H32">
        <f t="shared" si="0"/>
        <v>0</v>
      </c>
      <c r="I32">
        <f>COUNTIF(deals_closed!D:D, A32)</f>
        <v>23</v>
      </c>
      <c r="K32" t="str">
        <f>_xlfn.CONCAT(B32, " ",C32)</f>
        <v>Rasla Shutte</v>
      </c>
    </row>
    <row r="33" spans="1:11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VLOOKUP(D33,'2018_commission_structure'!$A$2:$C$4,3,FALSE)</f>
        <v>80000</v>
      </c>
      <c r="G33">
        <f>VLOOKUP(D33,'2018_commission_structure'!$A$2:$C$4,2,FALSE)</f>
        <v>50000</v>
      </c>
      <c r="H33">
        <f t="shared" si="0"/>
        <v>0</v>
      </c>
      <c r="I33">
        <f>COUNTIF(deals_closed!D:D, A33)</f>
        <v>18</v>
      </c>
      <c r="K33" t="str">
        <f>_xlfn.CONCAT(B33, " ",C33)</f>
        <v>Garrot Redrup</v>
      </c>
    </row>
    <row r="34" spans="1:11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VLOOKUP(D34,'2018_commission_structure'!$A$2:$C$4,3,FALSE)</f>
        <v>80000</v>
      </c>
      <c r="G34">
        <f>VLOOKUP(D34,'2018_commission_structure'!$A$2:$C$4,2,FALSE)</f>
        <v>50000</v>
      </c>
      <c r="H34">
        <f t="shared" si="0"/>
        <v>0</v>
      </c>
      <c r="I34">
        <f>COUNTIF(deals_closed!D:D, A34)</f>
        <v>13</v>
      </c>
      <c r="K34" t="str">
        <f>_xlfn.CONCAT(B34, " ",C34)</f>
        <v>Odell Matterdace</v>
      </c>
    </row>
    <row r="35" spans="1:11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VLOOKUP(D35,'2018_commission_structure'!$A$2:$C$4,3,FALSE)</f>
        <v>125000</v>
      </c>
      <c r="G35">
        <f>VLOOKUP(D35,'2018_commission_structure'!$A$2:$C$4,2,FALSE)</f>
        <v>75000</v>
      </c>
      <c r="H35">
        <f t="shared" si="0"/>
        <v>0</v>
      </c>
      <c r="I35">
        <f>COUNTIF(deals_closed!D:D, A35)</f>
        <v>15</v>
      </c>
      <c r="K35" t="str">
        <f>_xlfn.CONCAT(B35, " ",C35)</f>
        <v>Arlette Blinder</v>
      </c>
    </row>
    <row r="36" spans="1:11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VLOOKUP(D36,'2018_commission_structure'!$A$2:$C$4,3,FALSE)</f>
        <v>125000</v>
      </c>
      <c r="G36">
        <f>VLOOKUP(D36,'2018_commission_structure'!$A$2:$C$4,2,FALSE)</f>
        <v>75000</v>
      </c>
      <c r="H36">
        <f t="shared" si="0"/>
        <v>0</v>
      </c>
      <c r="I36">
        <f>COUNTIF(deals_closed!D:D, A36)</f>
        <v>24</v>
      </c>
      <c r="K36" t="str">
        <f>_xlfn.CONCAT(B36, " ",C36)</f>
        <v>Dorothea Gheeraert</v>
      </c>
    </row>
    <row r="37" spans="1:11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VLOOKUP(D37,'2018_commission_structure'!$A$2:$C$4,3,FALSE)</f>
        <v>80000</v>
      </c>
      <c r="G37">
        <f>VLOOKUP(D37,'2018_commission_structure'!$A$2:$C$4,2,FALSE)</f>
        <v>50000</v>
      </c>
      <c r="H37">
        <f t="shared" si="0"/>
        <v>0</v>
      </c>
      <c r="I37">
        <f>COUNTIF(deals_closed!D:D, A37)</f>
        <v>16</v>
      </c>
      <c r="K37" t="str">
        <f>_xlfn.CONCAT(B37, " ",C37)</f>
        <v>Chancey Yarrell</v>
      </c>
    </row>
    <row r="38" spans="1:11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VLOOKUP(D38,'2018_commission_structure'!$A$2:$C$4,3,FALSE)</f>
        <v>80000</v>
      </c>
      <c r="G38">
        <f>VLOOKUP(D38,'2018_commission_structure'!$A$2:$C$4,2,FALSE)</f>
        <v>50000</v>
      </c>
      <c r="H38">
        <f t="shared" si="0"/>
        <v>0</v>
      </c>
      <c r="I38">
        <f>COUNTIF(deals_closed!D:D, A38)</f>
        <v>16</v>
      </c>
      <c r="K38" t="str">
        <f>_xlfn.CONCAT(B38, " ",C38)</f>
        <v>Elva Delepine</v>
      </c>
    </row>
    <row r="39" spans="1:11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VLOOKUP(D39,'2018_commission_structure'!$A$2:$C$4,3,FALSE)</f>
        <v>80000</v>
      </c>
      <c r="G39">
        <f>VLOOKUP(D39,'2018_commission_structure'!$A$2:$C$4,2,FALSE)</f>
        <v>50000</v>
      </c>
      <c r="H39">
        <f t="shared" si="0"/>
        <v>0</v>
      </c>
      <c r="I39">
        <f>COUNTIF(deals_closed!D:D, A39)</f>
        <v>23</v>
      </c>
      <c r="K39" t="str">
        <f>_xlfn.CONCAT(B39, " ",C39)</f>
        <v>Eddy Van Arsdale</v>
      </c>
    </row>
    <row r="40" spans="1:11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VLOOKUP(D40,'2018_commission_structure'!$A$2:$C$4,3,FALSE)</f>
        <v>80000</v>
      </c>
      <c r="G40">
        <f>VLOOKUP(D40,'2018_commission_structure'!$A$2:$C$4,2,FALSE)</f>
        <v>50000</v>
      </c>
      <c r="H40">
        <f t="shared" si="0"/>
        <v>0</v>
      </c>
      <c r="I40">
        <f>COUNTIF(deals_closed!D:D, A40)</f>
        <v>21</v>
      </c>
      <c r="K40" t="str">
        <f>_xlfn.CONCAT(B40, " ",C40)</f>
        <v>Robinette Speller</v>
      </c>
    </row>
    <row r="41" spans="1:11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VLOOKUP(D41,'2018_commission_structure'!$A$2:$C$4,3,FALSE)</f>
        <v>125000</v>
      </c>
      <c r="G41">
        <f>VLOOKUP(D41,'2018_commission_structure'!$A$2:$C$4,2,FALSE)</f>
        <v>75000</v>
      </c>
      <c r="H41">
        <f t="shared" si="0"/>
        <v>0</v>
      </c>
      <c r="I41">
        <f>COUNTIF(deals_closed!D:D, A41)</f>
        <v>22</v>
      </c>
      <c r="K41" t="str">
        <f>_xlfn.CONCAT(B41, " ",C41)</f>
        <v>Aluino Sheerin</v>
      </c>
    </row>
    <row r="42" spans="1:11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VLOOKUP(D42,'2018_commission_structure'!$A$2:$C$4,3,FALSE)</f>
        <v>125000</v>
      </c>
      <c r="G42">
        <f>VLOOKUP(D42,'2018_commission_structure'!$A$2:$C$4,2,FALSE)</f>
        <v>75000</v>
      </c>
      <c r="H42">
        <f t="shared" si="0"/>
        <v>0</v>
      </c>
      <c r="I42">
        <f>COUNTIF(deals_closed!D:D, A42)</f>
        <v>15</v>
      </c>
      <c r="K42" t="str">
        <f>_xlfn.CONCAT(B42, " ",C42)</f>
        <v>Hermina Bowditch</v>
      </c>
    </row>
    <row r="43" spans="1:11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VLOOKUP(D43,'2018_commission_structure'!$A$2:$C$4,3,FALSE)</f>
        <v>65000</v>
      </c>
      <c r="G43">
        <f>VLOOKUP(D43,'2018_commission_structure'!$A$2:$C$4,2,FALSE)</f>
        <v>30000</v>
      </c>
      <c r="H43">
        <f t="shared" si="0"/>
        <v>0</v>
      </c>
      <c r="I43">
        <f>COUNTIF(deals_closed!D:D, A43)</f>
        <v>15</v>
      </c>
      <c r="K43" t="str">
        <f>_xlfn.CONCAT(B43, " ",C43)</f>
        <v>Danny Snoddin</v>
      </c>
    </row>
    <row r="44" spans="1:11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VLOOKUP(D44,'2018_commission_structure'!$A$2:$C$4,3,FALSE)</f>
        <v>80000</v>
      </c>
      <c r="G44">
        <f>VLOOKUP(D44,'2018_commission_structure'!$A$2:$C$4,2,FALSE)</f>
        <v>50000</v>
      </c>
      <c r="H44">
        <f t="shared" si="0"/>
        <v>0</v>
      </c>
      <c r="I44">
        <f>COUNTIF(deals_closed!D:D, A44)</f>
        <v>17</v>
      </c>
      <c r="K44" t="str">
        <f>_xlfn.CONCAT(B44, " ",C44)</f>
        <v>Benedikt Leisk</v>
      </c>
    </row>
    <row r="45" spans="1:11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VLOOKUP(D45,'2018_commission_structure'!$A$2:$C$4,3,FALSE)</f>
        <v>80000</v>
      </c>
      <c r="G45">
        <f>VLOOKUP(D45,'2018_commission_structure'!$A$2:$C$4,2,FALSE)</f>
        <v>50000</v>
      </c>
      <c r="H45">
        <f t="shared" si="0"/>
        <v>0</v>
      </c>
      <c r="I45">
        <f>COUNTIF(deals_closed!D:D, A45)</f>
        <v>27</v>
      </c>
      <c r="K45" t="str">
        <f>_xlfn.CONCAT(B45, " ",C45)</f>
        <v>Arden Lackner</v>
      </c>
    </row>
    <row r="46" spans="1:11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VLOOKUP(D46,'2018_commission_structure'!$A$2:$C$4,3,FALSE)</f>
        <v>65000</v>
      </c>
      <c r="G46">
        <f>VLOOKUP(D46,'2018_commission_structure'!$A$2:$C$4,2,FALSE)</f>
        <v>30000</v>
      </c>
      <c r="H46">
        <f t="shared" si="0"/>
        <v>0</v>
      </c>
      <c r="I46">
        <f>COUNTIF(deals_closed!D:D, A46)</f>
        <v>23</v>
      </c>
      <c r="K46" t="str">
        <f>_xlfn.CONCAT(B46, " ",C46)</f>
        <v>Murielle Jorez</v>
      </c>
    </row>
    <row r="47" spans="1:11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VLOOKUP(D47,'2018_commission_structure'!$A$2:$C$4,3,FALSE)</f>
        <v>80000</v>
      </c>
      <c r="G47">
        <f>VLOOKUP(D47,'2018_commission_structure'!$A$2:$C$4,2,FALSE)</f>
        <v>50000</v>
      </c>
      <c r="H47">
        <f t="shared" si="0"/>
        <v>0</v>
      </c>
      <c r="I47">
        <f>COUNTIF(deals_closed!D:D, A47)</f>
        <v>28</v>
      </c>
      <c r="K47" t="str">
        <f>_xlfn.CONCAT(B47, " ",C47)</f>
        <v>Clarke Hemphall</v>
      </c>
    </row>
    <row r="48" spans="1:11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VLOOKUP(D48,'2018_commission_structure'!$A$2:$C$4,3,FALSE)</f>
        <v>65000</v>
      </c>
      <c r="G48">
        <f>VLOOKUP(D48,'2018_commission_structure'!$A$2:$C$4,2,FALSE)</f>
        <v>30000</v>
      </c>
      <c r="H48">
        <f t="shared" si="0"/>
        <v>0</v>
      </c>
      <c r="I48">
        <f>COUNTIF(deals_closed!D:D, A48)</f>
        <v>25</v>
      </c>
      <c r="K48" t="str">
        <f>_xlfn.CONCAT(B48, " ",C48)</f>
        <v>Nelly Prando</v>
      </c>
    </row>
    <row r="49" spans="1:11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VLOOKUP(D49,'2018_commission_structure'!$A$2:$C$4,3,FALSE)</f>
        <v>65000</v>
      </c>
      <c r="G49">
        <f>VLOOKUP(D49,'2018_commission_structure'!$A$2:$C$4,2,FALSE)</f>
        <v>30000</v>
      </c>
      <c r="H49">
        <f t="shared" si="0"/>
        <v>0</v>
      </c>
      <c r="I49">
        <f>COUNTIF(deals_closed!D:D, A49)</f>
        <v>19</v>
      </c>
      <c r="K49" t="str">
        <f>_xlfn.CONCAT(B49, " ",C49)</f>
        <v>Baudoin Normanville</v>
      </c>
    </row>
    <row r="50" spans="1:11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VLOOKUP(D50,'2018_commission_structure'!$A$2:$C$4,3,FALSE)</f>
        <v>65000</v>
      </c>
      <c r="G50">
        <f>VLOOKUP(D50,'2018_commission_structure'!$A$2:$C$4,2,FALSE)</f>
        <v>30000</v>
      </c>
      <c r="H50">
        <f t="shared" si="0"/>
        <v>0</v>
      </c>
      <c r="I50">
        <f>COUNTIF(deals_closed!D:D, A50)</f>
        <v>16</v>
      </c>
      <c r="K50" t="str">
        <f>_xlfn.CONCAT(B50, " ",C50)</f>
        <v>Shanan St Clair</v>
      </c>
    </row>
    <row r="51" spans="1:11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VLOOKUP(D51,'2018_commission_structure'!$A$2:$C$4,3,FALSE)</f>
        <v>80000</v>
      </c>
      <c r="G51">
        <f>VLOOKUP(D51,'2018_commission_structure'!$A$2:$C$4,2,FALSE)</f>
        <v>50000</v>
      </c>
      <c r="H51">
        <f t="shared" si="0"/>
        <v>0</v>
      </c>
      <c r="I51">
        <f>COUNTIF(deals_closed!D:D, A51)</f>
        <v>21</v>
      </c>
      <c r="K51" t="str">
        <f>_xlfn.CONCAT(B51, " ",C51)</f>
        <v>Ashli Clynter</v>
      </c>
    </row>
    <row r="52" spans="1:11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VLOOKUP(D52,'2018_commission_structure'!$A$2:$C$4,3,FALSE)</f>
        <v>65000</v>
      </c>
      <c r="G52">
        <f>VLOOKUP(D52,'2018_commission_structure'!$A$2:$C$4,2,FALSE)</f>
        <v>30000</v>
      </c>
      <c r="H52">
        <f t="shared" si="0"/>
        <v>0</v>
      </c>
      <c r="I52">
        <f>COUNTIF(deals_closed!D:D, A52)</f>
        <v>26</v>
      </c>
      <c r="K52" t="str">
        <f>_xlfn.CONCAT(B52, " ",C52)</f>
        <v>Carmen Ferrick</v>
      </c>
    </row>
    <row r="53" spans="1:11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VLOOKUP(D53,'2018_commission_structure'!$A$2:$C$4,3,FALSE)</f>
        <v>80000</v>
      </c>
      <c r="G53">
        <f>VLOOKUP(D53,'2018_commission_structure'!$A$2:$C$4,2,FALSE)</f>
        <v>50000</v>
      </c>
      <c r="H53">
        <f t="shared" si="0"/>
        <v>0</v>
      </c>
      <c r="I53">
        <f>COUNTIF(deals_closed!D:D, A53)</f>
        <v>25</v>
      </c>
      <c r="K53" t="str">
        <f>_xlfn.CONCAT(B53, " ",C53)</f>
        <v>Derry Staniforth</v>
      </c>
    </row>
    <row r="54" spans="1:11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VLOOKUP(D54,'2018_commission_structure'!$A$2:$C$4,3,FALSE)</f>
        <v>65000</v>
      </c>
      <c r="G54">
        <f>VLOOKUP(D54,'2018_commission_structure'!$A$2:$C$4,2,FALSE)</f>
        <v>30000</v>
      </c>
      <c r="H54">
        <f t="shared" si="0"/>
        <v>0</v>
      </c>
      <c r="I54">
        <f>COUNTIF(deals_closed!D:D, A54)</f>
        <v>18</v>
      </c>
      <c r="K54" t="str">
        <f>_xlfn.CONCAT(B54, " ",C54)</f>
        <v>Manya Orbell</v>
      </c>
    </row>
    <row r="55" spans="1:11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VLOOKUP(D55,'2018_commission_structure'!$A$2:$C$4,3,FALSE)</f>
        <v>65000</v>
      </c>
      <c r="G55">
        <f>VLOOKUP(D55,'2018_commission_structure'!$A$2:$C$4,2,FALSE)</f>
        <v>30000</v>
      </c>
      <c r="H55">
        <f t="shared" si="0"/>
        <v>0</v>
      </c>
      <c r="I55">
        <f>COUNTIF(deals_closed!D:D, A55)</f>
        <v>27</v>
      </c>
      <c r="K55" t="str">
        <f>_xlfn.CONCAT(B55, " ",C55)</f>
        <v>Bryn Tomas</v>
      </c>
    </row>
    <row r="56" spans="1:11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VLOOKUP(D56,'2018_commission_structure'!$A$2:$C$4,3,FALSE)</f>
        <v>65000</v>
      </c>
      <c r="G56">
        <f>VLOOKUP(D56,'2018_commission_structure'!$A$2:$C$4,2,FALSE)</f>
        <v>30000</v>
      </c>
      <c r="H56">
        <f t="shared" si="0"/>
        <v>0</v>
      </c>
      <c r="I56">
        <f>COUNTIF(deals_closed!D:D, A56)</f>
        <v>17</v>
      </c>
      <c r="K56" t="str">
        <f>_xlfn.CONCAT(B56, " ",C56)</f>
        <v>Genni Glader</v>
      </c>
    </row>
    <row r="57" spans="1:11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VLOOKUP(D57,'2018_commission_structure'!$A$2:$C$4,3,FALSE)</f>
        <v>80000</v>
      </c>
      <c r="G57">
        <f>VLOOKUP(D57,'2018_commission_structure'!$A$2:$C$4,2,FALSE)</f>
        <v>50000</v>
      </c>
      <c r="H57">
        <f t="shared" si="0"/>
        <v>0</v>
      </c>
      <c r="I57">
        <f>COUNTIF(deals_closed!D:D, A57)</f>
        <v>23</v>
      </c>
      <c r="K57" t="str">
        <f>_xlfn.CONCAT(B57, " ",C57)</f>
        <v>Becki Grigorini</v>
      </c>
    </row>
    <row r="58" spans="1:11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VLOOKUP(D58,'2018_commission_structure'!$A$2:$C$4,3,FALSE)</f>
        <v>125000</v>
      </c>
      <c r="G58">
        <f>VLOOKUP(D58,'2018_commission_structure'!$A$2:$C$4,2,FALSE)</f>
        <v>75000</v>
      </c>
      <c r="H58">
        <f t="shared" si="0"/>
        <v>0</v>
      </c>
      <c r="I58">
        <f>COUNTIF(deals_closed!D:D, A58)</f>
        <v>20</v>
      </c>
      <c r="K58" t="str">
        <f>_xlfn.CONCAT(B58, " ",C58)</f>
        <v>Golda Devigne</v>
      </c>
    </row>
    <row r="59" spans="1:11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VLOOKUP(D59,'2018_commission_structure'!$A$2:$C$4,3,FALSE)</f>
        <v>80000</v>
      </c>
      <c r="G59">
        <f>VLOOKUP(D59,'2018_commission_structure'!$A$2:$C$4,2,FALSE)</f>
        <v>50000</v>
      </c>
      <c r="H59">
        <f t="shared" si="0"/>
        <v>0</v>
      </c>
      <c r="I59">
        <f>COUNTIF(deals_closed!D:D, A59)</f>
        <v>19</v>
      </c>
      <c r="K59" t="str">
        <f>_xlfn.CONCAT(B59, " ",C59)</f>
        <v>Ruthi Torrance</v>
      </c>
    </row>
    <row r="60" spans="1:11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VLOOKUP(D60,'2018_commission_structure'!$A$2:$C$4,3,FALSE)</f>
        <v>65000</v>
      </c>
      <c r="G60">
        <f>VLOOKUP(D60,'2018_commission_structure'!$A$2:$C$4,2,FALSE)</f>
        <v>30000</v>
      </c>
      <c r="H60">
        <f t="shared" si="0"/>
        <v>0</v>
      </c>
      <c r="I60">
        <f>COUNTIF(deals_closed!D:D, A60)</f>
        <v>23</v>
      </c>
      <c r="K60" t="str">
        <f>_xlfn.CONCAT(B60, " ",C60)</f>
        <v>Georgiana Nutten</v>
      </c>
    </row>
    <row r="61" spans="1:11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VLOOKUP(D61,'2018_commission_structure'!$A$2:$C$4,3,FALSE)</f>
        <v>125000</v>
      </c>
      <c r="G61">
        <f>VLOOKUP(D61,'2018_commission_structure'!$A$2:$C$4,2,FALSE)</f>
        <v>75000</v>
      </c>
      <c r="H61">
        <f t="shared" si="0"/>
        <v>0</v>
      </c>
      <c r="I61">
        <f>COUNTIF(deals_closed!D:D, A61)</f>
        <v>20</v>
      </c>
      <c r="K61" t="str">
        <f>_xlfn.CONCAT(B61, " ",C61)</f>
        <v>Diane Corben</v>
      </c>
    </row>
    <row r="62" spans="1:11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VLOOKUP(D62,'2018_commission_structure'!$A$2:$C$4,3,FALSE)</f>
        <v>65000</v>
      </c>
      <c r="G62">
        <f>VLOOKUP(D62,'2018_commission_structure'!$A$2:$C$4,2,FALSE)</f>
        <v>30000</v>
      </c>
      <c r="H62">
        <f t="shared" si="0"/>
        <v>0</v>
      </c>
      <c r="I62">
        <f>COUNTIF(deals_closed!D:D, A62)</f>
        <v>22</v>
      </c>
      <c r="K62" t="str">
        <f>_xlfn.CONCAT(B62, " ",C62)</f>
        <v>Joletta Lounds</v>
      </c>
    </row>
    <row r="63" spans="1:11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VLOOKUP(D63,'2018_commission_structure'!$A$2:$C$4,3,FALSE)</f>
        <v>65000</v>
      </c>
      <c r="G63">
        <f>VLOOKUP(D63,'2018_commission_structure'!$A$2:$C$4,2,FALSE)</f>
        <v>30000</v>
      </c>
      <c r="H63">
        <f t="shared" si="0"/>
        <v>0</v>
      </c>
      <c r="I63">
        <f>COUNTIF(deals_closed!D:D, A63)</f>
        <v>24</v>
      </c>
      <c r="K63" t="str">
        <f>_xlfn.CONCAT(B63, " ",C63)</f>
        <v>Rochella Galland</v>
      </c>
    </row>
    <row r="64" spans="1:11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VLOOKUP(D64,'2018_commission_structure'!$A$2:$C$4,3,FALSE)</f>
        <v>80000</v>
      </c>
      <c r="G64">
        <f>VLOOKUP(D64,'2018_commission_structure'!$A$2:$C$4,2,FALSE)</f>
        <v>50000</v>
      </c>
      <c r="H64">
        <f t="shared" si="0"/>
        <v>0</v>
      </c>
      <c r="I64">
        <f>COUNTIF(deals_closed!D:D, A64)</f>
        <v>24</v>
      </c>
      <c r="K64" t="str">
        <f>_xlfn.CONCAT(B64, " ",C64)</f>
        <v>Timmie Howis</v>
      </c>
    </row>
    <row r="65" spans="1:11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VLOOKUP(D65,'2018_commission_structure'!$A$2:$C$4,3,FALSE)</f>
        <v>80000</v>
      </c>
      <c r="G65">
        <f>VLOOKUP(D65,'2018_commission_structure'!$A$2:$C$4,2,FALSE)</f>
        <v>50000</v>
      </c>
      <c r="H65">
        <f t="shared" si="0"/>
        <v>0</v>
      </c>
      <c r="I65">
        <f>COUNTIF(deals_closed!D:D, A65)</f>
        <v>24</v>
      </c>
      <c r="K65" t="str">
        <f>_xlfn.CONCAT(B65, " ",C65)</f>
        <v>Yolanthe Ingrey</v>
      </c>
    </row>
    <row r="66" spans="1:11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VLOOKUP(D66,'2018_commission_structure'!$A$2:$C$4,3,FALSE)</f>
        <v>80000</v>
      </c>
      <c r="G66">
        <f>VLOOKUP(D66,'2018_commission_structure'!$A$2:$C$4,2,FALSE)</f>
        <v>50000</v>
      </c>
      <c r="H66">
        <f t="shared" si="0"/>
        <v>0</v>
      </c>
      <c r="I66">
        <f>COUNTIF(deals_closed!D:D, A66)</f>
        <v>14</v>
      </c>
      <c r="K66" t="str">
        <f>_xlfn.CONCAT(B66, " ",C66)</f>
        <v>Beatrice Watkin</v>
      </c>
    </row>
    <row r="67" spans="1:11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VLOOKUP(D67,'2018_commission_structure'!$A$2:$C$4,3,FALSE)</f>
        <v>80000</v>
      </c>
      <c r="G67">
        <f>VLOOKUP(D67,'2018_commission_structure'!$A$2:$C$4,2,FALSE)</f>
        <v>50000</v>
      </c>
      <c r="H67">
        <f t="shared" ref="H67:H130" si="1">IF(AND(E67&gt;=G67,E67&lt;=F67),0,1)</f>
        <v>0</v>
      </c>
      <c r="I67">
        <f>COUNTIF(deals_closed!D:D, A67)</f>
        <v>9</v>
      </c>
      <c r="K67" t="str">
        <f>_xlfn.CONCAT(B67, " ",C67)</f>
        <v>Jaquenetta Gorelli</v>
      </c>
    </row>
    <row r="68" spans="1:11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VLOOKUP(D68,'2018_commission_structure'!$A$2:$C$4,3,FALSE)</f>
        <v>125000</v>
      </c>
      <c r="G68">
        <f>VLOOKUP(D68,'2018_commission_structure'!$A$2:$C$4,2,FALSE)</f>
        <v>75000</v>
      </c>
      <c r="H68">
        <f t="shared" si="1"/>
        <v>0</v>
      </c>
      <c r="I68">
        <f>COUNTIF(deals_closed!D:D, A68)</f>
        <v>25</v>
      </c>
      <c r="K68" t="str">
        <f>_xlfn.CONCAT(B68, " ",C68)</f>
        <v>Titus Murray</v>
      </c>
    </row>
    <row r="69" spans="1:11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VLOOKUP(D69,'2018_commission_structure'!$A$2:$C$4,3,FALSE)</f>
        <v>80000</v>
      </c>
      <c r="G69">
        <f>VLOOKUP(D69,'2018_commission_structure'!$A$2:$C$4,2,FALSE)</f>
        <v>50000</v>
      </c>
      <c r="H69">
        <f t="shared" si="1"/>
        <v>0</v>
      </c>
      <c r="I69">
        <f>COUNTIF(deals_closed!D:D, A69)</f>
        <v>17</v>
      </c>
      <c r="K69" t="str">
        <f>_xlfn.CONCAT(B69, " ",C69)</f>
        <v>Konstance Iacovelli</v>
      </c>
    </row>
    <row r="70" spans="1:11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VLOOKUP(D70,'2018_commission_structure'!$A$2:$C$4,3,FALSE)</f>
        <v>80000</v>
      </c>
      <c r="G70">
        <f>VLOOKUP(D70,'2018_commission_structure'!$A$2:$C$4,2,FALSE)</f>
        <v>50000</v>
      </c>
      <c r="H70">
        <f t="shared" si="1"/>
        <v>0</v>
      </c>
      <c r="I70">
        <f>COUNTIF(deals_closed!D:D, A70)</f>
        <v>28</v>
      </c>
      <c r="K70" t="str">
        <f>_xlfn.CONCAT(B70, " ",C70)</f>
        <v>Culley Bernardotti</v>
      </c>
    </row>
    <row r="71" spans="1:11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VLOOKUP(D71,'2018_commission_structure'!$A$2:$C$4,3,FALSE)</f>
        <v>125000</v>
      </c>
      <c r="G71">
        <f>VLOOKUP(D71,'2018_commission_structure'!$A$2:$C$4,2,FALSE)</f>
        <v>75000</v>
      </c>
      <c r="H71">
        <f t="shared" si="1"/>
        <v>0</v>
      </c>
      <c r="I71">
        <f>COUNTIF(deals_closed!D:D, A71)</f>
        <v>18</v>
      </c>
      <c r="K71" t="str">
        <f>_xlfn.CONCAT(B71, " ",C71)</f>
        <v>Vladamir Van Castele</v>
      </c>
    </row>
    <row r="72" spans="1:11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VLOOKUP(D72,'2018_commission_structure'!$A$2:$C$4,3,FALSE)</f>
        <v>125000</v>
      </c>
      <c r="G72">
        <f>VLOOKUP(D72,'2018_commission_structure'!$A$2:$C$4,2,FALSE)</f>
        <v>75000</v>
      </c>
      <c r="H72">
        <f t="shared" si="1"/>
        <v>0</v>
      </c>
      <c r="I72">
        <f>COUNTIF(deals_closed!D:D, A72)</f>
        <v>17</v>
      </c>
      <c r="K72" t="str">
        <f>_xlfn.CONCAT(B72, " ",C72)</f>
        <v>Katya Sheaf</v>
      </c>
    </row>
    <row r="73" spans="1:11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VLOOKUP(D73,'2018_commission_structure'!$A$2:$C$4,3,FALSE)</f>
        <v>65000</v>
      </c>
      <c r="G73">
        <f>VLOOKUP(D73,'2018_commission_structure'!$A$2:$C$4,2,FALSE)</f>
        <v>30000</v>
      </c>
      <c r="H73">
        <f t="shared" si="1"/>
        <v>0</v>
      </c>
      <c r="I73">
        <f>COUNTIF(deals_closed!D:D, A73)</f>
        <v>19</v>
      </c>
      <c r="K73" t="str">
        <f>_xlfn.CONCAT(B73, " ",C73)</f>
        <v>Kristal Guitonneau</v>
      </c>
    </row>
    <row r="74" spans="1:11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VLOOKUP(D74,'2018_commission_structure'!$A$2:$C$4,3,FALSE)</f>
        <v>65000</v>
      </c>
      <c r="G74">
        <f>VLOOKUP(D74,'2018_commission_structure'!$A$2:$C$4,2,FALSE)</f>
        <v>30000</v>
      </c>
      <c r="H74">
        <f t="shared" si="1"/>
        <v>0</v>
      </c>
      <c r="I74">
        <f>COUNTIF(deals_closed!D:D, A74)</f>
        <v>11</v>
      </c>
      <c r="K74" t="str">
        <f>_xlfn.CONCAT(B74, " ",C74)</f>
        <v>Drake Rawlison</v>
      </c>
    </row>
    <row r="75" spans="1:11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VLOOKUP(D75,'2018_commission_structure'!$A$2:$C$4,3,FALSE)</f>
        <v>65000</v>
      </c>
      <c r="G75">
        <f>VLOOKUP(D75,'2018_commission_structure'!$A$2:$C$4,2,FALSE)</f>
        <v>30000</v>
      </c>
      <c r="H75">
        <f t="shared" si="1"/>
        <v>0</v>
      </c>
      <c r="I75">
        <f>COUNTIF(deals_closed!D:D, A75)</f>
        <v>15</v>
      </c>
      <c r="K75" t="str">
        <f>_xlfn.CONCAT(B75, " ",C75)</f>
        <v>Denney Whetland</v>
      </c>
    </row>
    <row r="76" spans="1:11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VLOOKUP(D76,'2018_commission_structure'!$A$2:$C$4,3,FALSE)</f>
        <v>65000</v>
      </c>
      <c r="G76">
        <f>VLOOKUP(D76,'2018_commission_structure'!$A$2:$C$4,2,FALSE)</f>
        <v>30000</v>
      </c>
      <c r="H76">
        <f t="shared" si="1"/>
        <v>0</v>
      </c>
      <c r="I76">
        <f>COUNTIF(deals_closed!D:D, A76)</f>
        <v>19</v>
      </c>
      <c r="K76" t="str">
        <f>_xlfn.CONCAT(B76, " ",C76)</f>
        <v>Zachariah Lared</v>
      </c>
    </row>
    <row r="77" spans="1:11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VLOOKUP(D77,'2018_commission_structure'!$A$2:$C$4,3,FALSE)</f>
        <v>125000</v>
      </c>
      <c r="G77">
        <f>VLOOKUP(D77,'2018_commission_structure'!$A$2:$C$4,2,FALSE)</f>
        <v>75000</v>
      </c>
      <c r="H77">
        <f t="shared" si="1"/>
        <v>0</v>
      </c>
      <c r="I77">
        <f>COUNTIF(deals_closed!D:D, A77)</f>
        <v>29</v>
      </c>
      <c r="K77" t="str">
        <f>_xlfn.CONCAT(B77, " ",C77)</f>
        <v>Neil Doctor</v>
      </c>
    </row>
    <row r="78" spans="1:11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VLOOKUP(D78,'2018_commission_structure'!$A$2:$C$4,3,FALSE)</f>
        <v>65000</v>
      </c>
      <c r="G78">
        <f>VLOOKUP(D78,'2018_commission_structure'!$A$2:$C$4,2,FALSE)</f>
        <v>30000</v>
      </c>
      <c r="H78">
        <f t="shared" si="1"/>
        <v>0</v>
      </c>
      <c r="I78">
        <f>COUNTIF(deals_closed!D:D, A78)</f>
        <v>19</v>
      </c>
      <c r="K78" t="str">
        <f>_xlfn.CONCAT(B78, " ",C78)</f>
        <v>Brewer Torres</v>
      </c>
    </row>
    <row r="79" spans="1:11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VLOOKUP(D79,'2018_commission_structure'!$A$2:$C$4,3,FALSE)</f>
        <v>65000</v>
      </c>
      <c r="G79">
        <f>VLOOKUP(D79,'2018_commission_structure'!$A$2:$C$4,2,FALSE)</f>
        <v>30000</v>
      </c>
      <c r="H79">
        <f t="shared" si="1"/>
        <v>0</v>
      </c>
      <c r="I79">
        <f>COUNTIF(deals_closed!D:D, A79)</f>
        <v>14</v>
      </c>
      <c r="K79" t="str">
        <f>_xlfn.CONCAT(B79, " ",C79)</f>
        <v>Leticia Szymanzyk</v>
      </c>
    </row>
    <row r="80" spans="1:11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VLOOKUP(D80,'2018_commission_structure'!$A$2:$C$4,3,FALSE)</f>
        <v>80000</v>
      </c>
      <c r="G80">
        <f>VLOOKUP(D80,'2018_commission_structure'!$A$2:$C$4,2,FALSE)</f>
        <v>50000</v>
      </c>
      <c r="H80">
        <f t="shared" si="1"/>
        <v>0</v>
      </c>
      <c r="I80">
        <f>COUNTIF(deals_closed!D:D, A80)</f>
        <v>20</v>
      </c>
      <c r="K80" t="str">
        <f>_xlfn.CONCAT(B80, " ",C80)</f>
        <v>Constantin Laurisch</v>
      </c>
    </row>
    <row r="81" spans="1:11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VLOOKUP(D81,'2018_commission_structure'!$A$2:$C$4,3,FALSE)</f>
        <v>125000</v>
      </c>
      <c r="G81">
        <f>VLOOKUP(D81,'2018_commission_structure'!$A$2:$C$4,2,FALSE)</f>
        <v>75000</v>
      </c>
      <c r="H81">
        <f t="shared" si="1"/>
        <v>0</v>
      </c>
      <c r="I81">
        <f>COUNTIF(deals_closed!D:D, A81)</f>
        <v>15</v>
      </c>
      <c r="K81" t="str">
        <f>_xlfn.CONCAT(B81, " ",C81)</f>
        <v>Bonny Oxteby</v>
      </c>
    </row>
    <row r="82" spans="1:11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VLOOKUP(D82,'2018_commission_structure'!$A$2:$C$4,3,FALSE)</f>
        <v>125000</v>
      </c>
      <c r="G82">
        <f>VLOOKUP(D82,'2018_commission_structure'!$A$2:$C$4,2,FALSE)</f>
        <v>75000</v>
      </c>
      <c r="H82">
        <f t="shared" si="1"/>
        <v>0</v>
      </c>
      <c r="I82">
        <f>COUNTIF(deals_closed!D:D, A82)</f>
        <v>21</v>
      </c>
      <c r="K82" t="str">
        <f>_xlfn.CONCAT(B82, " ",C82)</f>
        <v>Newton Shillabear</v>
      </c>
    </row>
    <row r="83" spans="1:11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VLOOKUP(D83,'2018_commission_structure'!$A$2:$C$4,3,FALSE)</f>
        <v>125000</v>
      </c>
      <c r="G83">
        <f>VLOOKUP(D83,'2018_commission_structure'!$A$2:$C$4,2,FALSE)</f>
        <v>75000</v>
      </c>
      <c r="H83">
        <f t="shared" si="1"/>
        <v>0</v>
      </c>
      <c r="I83">
        <f>COUNTIF(deals_closed!D:D, A83)</f>
        <v>18</v>
      </c>
      <c r="K83" t="str">
        <f>_xlfn.CONCAT(B83, " ",C83)</f>
        <v>Dyane Rival</v>
      </c>
    </row>
    <row r="84" spans="1:11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VLOOKUP(D84,'2018_commission_structure'!$A$2:$C$4,3,FALSE)</f>
        <v>80000</v>
      </c>
      <c r="G84">
        <f>VLOOKUP(D84,'2018_commission_structure'!$A$2:$C$4,2,FALSE)</f>
        <v>50000</v>
      </c>
      <c r="H84">
        <f t="shared" si="1"/>
        <v>0</v>
      </c>
      <c r="I84">
        <f>COUNTIF(deals_closed!D:D, A84)</f>
        <v>24</v>
      </c>
      <c r="K84" t="str">
        <f>_xlfn.CONCAT(B84, " ",C84)</f>
        <v>Cindy Pentecost</v>
      </c>
    </row>
    <row r="85" spans="1:11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VLOOKUP(D85,'2018_commission_structure'!$A$2:$C$4,3,FALSE)</f>
        <v>65000</v>
      </c>
      <c r="G85">
        <f>VLOOKUP(D85,'2018_commission_structure'!$A$2:$C$4,2,FALSE)</f>
        <v>30000</v>
      </c>
      <c r="H85">
        <f t="shared" si="1"/>
        <v>0</v>
      </c>
      <c r="I85">
        <f>COUNTIF(deals_closed!D:D, A85)</f>
        <v>19</v>
      </c>
      <c r="K85" t="str">
        <f>_xlfn.CONCAT(B85, " ",C85)</f>
        <v>Arlene Charlin</v>
      </c>
    </row>
    <row r="86" spans="1:11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VLOOKUP(D86,'2018_commission_structure'!$A$2:$C$4,3,FALSE)</f>
        <v>65000</v>
      </c>
      <c r="G86">
        <f>VLOOKUP(D86,'2018_commission_structure'!$A$2:$C$4,2,FALSE)</f>
        <v>30000</v>
      </c>
      <c r="H86">
        <f t="shared" si="1"/>
        <v>0</v>
      </c>
      <c r="I86">
        <f>COUNTIF(deals_closed!D:D, A86)</f>
        <v>26</v>
      </c>
      <c r="K86" t="str">
        <f>_xlfn.CONCAT(B86, " ",C86)</f>
        <v>Loree Bertelet</v>
      </c>
    </row>
    <row r="87" spans="1:11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VLOOKUP(D87,'2018_commission_structure'!$A$2:$C$4,3,FALSE)</f>
        <v>80000</v>
      </c>
      <c r="G87">
        <f>VLOOKUP(D87,'2018_commission_structure'!$A$2:$C$4,2,FALSE)</f>
        <v>50000</v>
      </c>
      <c r="H87">
        <f t="shared" si="1"/>
        <v>0</v>
      </c>
      <c r="I87">
        <f>COUNTIF(deals_closed!D:D, A87)</f>
        <v>15</v>
      </c>
      <c r="K87" t="str">
        <f>_xlfn.CONCAT(B87, " ",C87)</f>
        <v>Pepillo Keaysell</v>
      </c>
    </row>
    <row r="88" spans="1:11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VLOOKUP(D88,'2018_commission_structure'!$A$2:$C$4,3,FALSE)</f>
        <v>65000</v>
      </c>
      <c r="G88">
        <f>VLOOKUP(D88,'2018_commission_structure'!$A$2:$C$4,2,FALSE)</f>
        <v>30000</v>
      </c>
      <c r="H88">
        <f t="shared" si="1"/>
        <v>0</v>
      </c>
      <c r="I88">
        <f>COUNTIF(deals_closed!D:D, A88)</f>
        <v>21</v>
      </c>
      <c r="K88" t="str">
        <f>_xlfn.CONCAT(B88, " ",C88)</f>
        <v>Giordano Rubie</v>
      </c>
    </row>
    <row r="89" spans="1:11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VLOOKUP(D89,'2018_commission_structure'!$A$2:$C$4,3,FALSE)</f>
        <v>65000</v>
      </c>
      <c r="G89">
        <f>VLOOKUP(D89,'2018_commission_structure'!$A$2:$C$4,2,FALSE)</f>
        <v>30000</v>
      </c>
      <c r="H89">
        <f t="shared" si="1"/>
        <v>0</v>
      </c>
      <c r="I89">
        <f>COUNTIF(deals_closed!D:D, A89)</f>
        <v>21</v>
      </c>
      <c r="K89" t="str">
        <f>_xlfn.CONCAT(B89, " ",C89)</f>
        <v>Trisha Hinchshaw</v>
      </c>
    </row>
    <row r="90" spans="1:11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VLOOKUP(D90,'2018_commission_structure'!$A$2:$C$4,3,FALSE)</f>
        <v>65000</v>
      </c>
      <c r="G90">
        <f>VLOOKUP(D90,'2018_commission_structure'!$A$2:$C$4,2,FALSE)</f>
        <v>30000</v>
      </c>
      <c r="H90">
        <f t="shared" si="1"/>
        <v>0</v>
      </c>
      <c r="I90">
        <f>COUNTIF(deals_closed!D:D, A90)</f>
        <v>35</v>
      </c>
      <c r="K90" t="str">
        <f>_xlfn.CONCAT(B90, " ",C90)</f>
        <v>Nathalie Bowerbank</v>
      </c>
    </row>
    <row r="91" spans="1:11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VLOOKUP(D91,'2018_commission_structure'!$A$2:$C$4,3,FALSE)</f>
        <v>125000</v>
      </c>
      <c r="G91">
        <f>VLOOKUP(D91,'2018_commission_structure'!$A$2:$C$4,2,FALSE)</f>
        <v>75000</v>
      </c>
      <c r="H91">
        <f t="shared" si="1"/>
        <v>0</v>
      </c>
      <c r="I91">
        <f>COUNTIF(deals_closed!D:D, A91)</f>
        <v>12</v>
      </c>
      <c r="K91" t="str">
        <f>_xlfn.CONCAT(B91, " ",C91)</f>
        <v>Carlin Vivash</v>
      </c>
    </row>
    <row r="92" spans="1:11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VLOOKUP(D92,'2018_commission_structure'!$A$2:$C$4,3,FALSE)</f>
        <v>80000</v>
      </c>
      <c r="G92">
        <f>VLOOKUP(D92,'2018_commission_structure'!$A$2:$C$4,2,FALSE)</f>
        <v>50000</v>
      </c>
      <c r="H92">
        <f t="shared" si="1"/>
        <v>0</v>
      </c>
      <c r="I92">
        <f>COUNTIF(deals_closed!D:D, A92)</f>
        <v>20</v>
      </c>
      <c r="K92" t="str">
        <f>_xlfn.CONCAT(B92, " ",C92)</f>
        <v>Duane Geoghegan</v>
      </c>
    </row>
    <row r="93" spans="1:11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VLOOKUP(D93,'2018_commission_structure'!$A$2:$C$4,3,FALSE)</f>
        <v>125000</v>
      </c>
      <c r="G93">
        <f>VLOOKUP(D93,'2018_commission_structure'!$A$2:$C$4,2,FALSE)</f>
        <v>75000</v>
      </c>
      <c r="H93">
        <f t="shared" si="1"/>
        <v>0</v>
      </c>
      <c r="I93">
        <f>COUNTIF(deals_closed!D:D, A93)</f>
        <v>21</v>
      </c>
      <c r="K93" t="str">
        <f>_xlfn.CONCAT(B93, " ",C93)</f>
        <v>Carey Bennellick</v>
      </c>
    </row>
    <row r="94" spans="1:11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VLOOKUP(D94,'2018_commission_structure'!$A$2:$C$4,3,FALSE)</f>
        <v>125000</v>
      </c>
      <c r="G94">
        <f>VLOOKUP(D94,'2018_commission_structure'!$A$2:$C$4,2,FALSE)</f>
        <v>75000</v>
      </c>
      <c r="H94">
        <f t="shared" si="1"/>
        <v>0</v>
      </c>
      <c r="I94">
        <f>COUNTIF(deals_closed!D:D, A94)</f>
        <v>21</v>
      </c>
      <c r="K94" t="str">
        <f>_xlfn.CONCAT(B94, " ",C94)</f>
        <v>Bobine Congrave</v>
      </c>
    </row>
    <row r="95" spans="1:11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VLOOKUP(D95,'2018_commission_structure'!$A$2:$C$4,3,FALSE)</f>
        <v>65000</v>
      </c>
      <c r="G95">
        <f>VLOOKUP(D95,'2018_commission_structure'!$A$2:$C$4,2,FALSE)</f>
        <v>30000</v>
      </c>
      <c r="H95">
        <f t="shared" si="1"/>
        <v>0</v>
      </c>
      <c r="I95">
        <f>COUNTIF(deals_closed!D:D, A95)</f>
        <v>27</v>
      </c>
      <c r="K95" t="str">
        <f>_xlfn.CONCAT(B95, " ",C95)</f>
        <v>Arvy Phittiplace</v>
      </c>
    </row>
    <row r="96" spans="1:11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VLOOKUP(D96,'2018_commission_structure'!$A$2:$C$4,3,FALSE)</f>
        <v>125000</v>
      </c>
      <c r="G96">
        <f>VLOOKUP(D96,'2018_commission_structure'!$A$2:$C$4,2,FALSE)</f>
        <v>75000</v>
      </c>
      <c r="H96">
        <f t="shared" si="1"/>
        <v>0</v>
      </c>
      <c r="I96">
        <f>COUNTIF(deals_closed!D:D, A96)</f>
        <v>18</v>
      </c>
      <c r="K96" t="str">
        <f>_xlfn.CONCAT(B96, " ",C96)</f>
        <v>Beatrice MacRorie</v>
      </c>
    </row>
    <row r="97" spans="1:11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VLOOKUP(D97,'2018_commission_structure'!$A$2:$C$4,3,FALSE)</f>
        <v>65000</v>
      </c>
      <c r="G97">
        <f>VLOOKUP(D97,'2018_commission_structure'!$A$2:$C$4,2,FALSE)</f>
        <v>30000</v>
      </c>
      <c r="H97">
        <f t="shared" si="1"/>
        <v>0</v>
      </c>
      <c r="I97">
        <f>COUNTIF(deals_closed!D:D, A97)</f>
        <v>26</v>
      </c>
      <c r="K97" t="str">
        <f>_xlfn.CONCAT(B97, " ",C97)</f>
        <v>Thoma Worcester</v>
      </c>
    </row>
    <row r="98" spans="1:11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VLOOKUP(D98,'2018_commission_structure'!$A$2:$C$4,3,FALSE)</f>
        <v>80000</v>
      </c>
      <c r="G98">
        <f>VLOOKUP(D98,'2018_commission_structure'!$A$2:$C$4,2,FALSE)</f>
        <v>50000</v>
      </c>
      <c r="H98">
        <f t="shared" si="1"/>
        <v>0</v>
      </c>
      <c r="I98">
        <f>COUNTIF(deals_closed!D:D, A98)</f>
        <v>19</v>
      </c>
      <c r="K98" t="str">
        <f>_xlfn.CONCAT(B98, " ",C98)</f>
        <v>Tessie Farre</v>
      </c>
    </row>
    <row r="99" spans="1:11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VLOOKUP(D99,'2018_commission_structure'!$A$2:$C$4,3,FALSE)</f>
        <v>80000</v>
      </c>
      <c r="G99">
        <f>VLOOKUP(D99,'2018_commission_structure'!$A$2:$C$4,2,FALSE)</f>
        <v>50000</v>
      </c>
      <c r="H99">
        <f t="shared" si="1"/>
        <v>0</v>
      </c>
      <c r="I99">
        <f>COUNTIF(deals_closed!D:D, A99)</f>
        <v>16</v>
      </c>
      <c r="K99" t="str">
        <f>_xlfn.CONCAT(B99, " ",C99)</f>
        <v>Stanislas Colleer</v>
      </c>
    </row>
    <row r="100" spans="1:11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VLOOKUP(D100,'2018_commission_structure'!$A$2:$C$4,3,FALSE)</f>
        <v>125000</v>
      </c>
      <c r="G100">
        <f>VLOOKUP(D100,'2018_commission_structure'!$A$2:$C$4,2,FALSE)</f>
        <v>75000</v>
      </c>
      <c r="H100">
        <f t="shared" si="1"/>
        <v>0</v>
      </c>
      <c r="I100">
        <f>COUNTIF(deals_closed!D:D, A100)</f>
        <v>18</v>
      </c>
      <c r="K100" t="str">
        <f>_xlfn.CONCAT(B100, " ",C100)</f>
        <v>Berk Remnant</v>
      </c>
    </row>
    <row r="101" spans="1:11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VLOOKUP(D101,'2018_commission_structure'!$A$2:$C$4,3,FALSE)</f>
        <v>65000</v>
      </c>
      <c r="G101">
        <f>VLOOKUP(D101,'2018_commission_structure'!$A$2:$C$4,2,FALSE)</f>
        <v>30000</v>
      </c>
      <c r="H101">
        <f t="shared" si="1"/>
        <v>0</v>
      </c>
      <c r="I101">
        <f>COUNTIF(deals_closed!D:D, A101)</f>
        <v>17</v>
      </c>
      <c r="K101" t="str">
        <f>_xlfn.CONCAT(B101, " ",C101)</f>
        <v>Yehudit Dawdary</v>
      </c>
    </row>
    <row r="102" spans="1:11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VLOOKUP(D102,'2018_commission_structure'!$A$2:$C$4,3,FALSE)</f>
        <v>65000</v>
      </c>
      <c r="G102">
        <f>VLOOKUP(D102,'2018_commission_structure'!$A$2:$C$4,2,FALSE)</f>
        <v>30000</v>
      </c>
      <c r="H102">
        <f t="shared" si="1"/>
        <v>0</v>
      </c>
      <c r="I102">
        <f>COUNTIF(deals_closed!D:D, A102)</f>
        <v>20</v>
      </c>
      <c r="K102" t="str">
        <f>_xlfn.CONCAT(B102, " ",C102)</f>
        <v>Melina Shapter</v>
      </c>
    </row>
    <row r="103" spans="1:11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VLOOKUP(D103,'2018_commission_structure'!$A$2:$C$4,3,FALSE)</f>
        <v>65000</v>
      </c>
      <c r="G103">
        <f>VLOOKUP(D103,'2018_commission_structure'!$A$2:$C$4,2,FALSE)</f>
        <v>30000</v>
      </c>
      <c r="H103">
        <f t="shared" si="1"/>
        <v>0</v>
      </c>
      <c r="I103">
        <f>COUNTIF(deals_closed!D:D, A103)</f>
        <v>21</v>
      </c>
      <c r="K103" t="str">
        <f>_xlfn.CONCAT(B103, " ",C103)</f>
        <v>Jaimie Lisimore</v>
      </c>
    </row>
    <row r="104" spans="1:11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VLOOKUP(D104,'2018_commission_structure'!$A$2:$C$4,3,FALSE)</f>
        <v>65000</v>
      </c>
      <c r="G104">
        <f>VLOOKUP(D104,'2018_commission_structure'!$A$2:$C$4,2,FALSE)</f>
        <v>30000</v>
      </c>
      <c r="H104">
        <f t="shared" si="1"/>
        <v>0</v>
      </c>
      <c r="I104">
        <f>COUNTIF(deals_closed!D:D, A104)</f>
        <v>18</v>
      </c>
      <c r="K104" t="str">
        <f>_xlfn.CONCAT(B104, " ",C104)</f>
        <v>Cymbre Giampietro</v>
      </c>
    </row>
    <row r="105" spans="1:11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VLOOKUP(D105,'2018_commission_structure'!$A$2:$C$4,3,FALSE)</f>
        <v>80000</v>
      </c>
      <c r="G105">
        <f>VLOOKUP(D105,'2018_commission_structure'!$A$2:$C$4,2,FALSE)</f>
        <v>50000</v>
      </c>
      <c r="H105">
        <f t="shared" si="1"/>
        <v>0</v>
      </c>
      <c r="I105">
        <f>COUNTIF(deals_closed!D:D, A105)</f>
        <v>16</v>
      </c>
      <c r="K105" t="str">
        <f>_xlfn.CONCAT(B105, " ",C105)</f>
        <v>Hunt Bachura</v>
      </c>
    </row>
    <row r="106" spans="1:11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VLOOKUP(D106,'2018_commission_structure'!$A$2:$C$4,3,FALSE)</f>
        <v>125000</v>
      </c>
      <c r="G106">
        <f>VLOOKUP(D106,'2018_commission_structure'!$A$2:$C$4,2,FALSE)</f>
        <v>75000</v>
      </c>
      <c r="H106">
        <f t="shared" si="1"/>
        <v>0</v>
      </c>
      <c r="I106">
        <f>COUNTIF(deals_closed!D:D, A106)</f>
        <v>15</v>
      </c>
      <c r="K106" t="str">
        <f>_xlfn.CONCAT(B106, " ",C106)</f>
        <v>Jae Reihm</v>
      </c>
    </row>
    <row r="107" spans="1:11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VLOOKUP(D107,'2018_commission_structure'!$A$2:$C$4,3,FALSE)</f>
        <v>125000</v>
      </c>
      <c r="G107">
        <f>VLOOKUP(D107,'2018_commission_structure'!$A$2:$C$4,2,FALSE)</f>
        <v>75000</v>
      </c>
      <c r="H107">
        <f t="shared" si="1"/>
        <v>0</v>
      </c>
      <c r="I107">
        <f>COUNTIF(deals_closed!D:D, A107)</f>
        <v>19</v>
      </c>
      <c r="K107" t="str">
        <f>_xlfn.CONCAT(B107, " ",C107)</f>
        <v>Obadiah Swinnard</v>
      </c>
    </row>
    <row r="108" spans="1:11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VLOOKUP(D108,'2018_commission_structure'!$A$2:$C$4,3,FALSE)</f>
        <v>80000</v>
      </c>
      <c r="G108">
        <f>VLOOKUP(D108,'2018_commission_structure'!$A$2:$C$4,2,FALSE)</f>
        <v>50000</v>
      </c>
      <c r="H108">
        <f t="shared" si="1"/>
        <v>0</v>
      </c>
      <c r="I108">
        <f>COUNTIF(deals_closed!D:D, A108)</f>
        <v>22</v>
      </c>
      <c r="K108" t="str">
        <f>_xlfn.CONCAT(B108, " ",C108)</f>
        <v>Meredith Samudio</v>
      </c>
    </row>
    <row r="109" spans="1:11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VLOOKUP(D109,'2018_commission_structure'!$A$2:$C$4,3,FALSE)</f>
        <v>65000</v>
      </c>
      <c r="G109">
        <f>VLOOKUP(D109,'2018_commission_structure'!$A$2:$C$4,2,FALSE)</f>
        <v>30000</v>
      </c>
      <c r="H109">
        <f t="shared" si="1"/>
        <v>0</v>
      </c>
      <c r="I109">
        <f>COUNTIF(deals_closed!D:D, A109)</f>
        <v>20</v>
      </c>
      <c r="K109" t="str">
        <f>_xlfn.CONCAT(B109, " ",C109)</f>
        <v>Rudolfo Yanyushkin</v>
      </c>
    </row>
    <row r="110" spans="1:11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VLOOKUP(D110,'2018_commission_structure'!$A$2:$C$4,3,FALSE)</f>
        <v>125000</v>
      </c>
      <c r="G110">
        <f>VLOOKUP(D110,'2018_commission_structure'!$A$2:$C$4,2,FALSE)</f>
        <v>75000</v>
      </c>
      <c r="H110">
        <f t="shared" si="1"/>
        <v>0</v>
      </c>
      <c r="I110">
        <f>COUNTIF(deals_closed!D:D, A110)</f>
        <v>29</v>
      </c>
      <c r="K110" t="str">
        <f>_xlfn.CONCAT(B110, " ",C110)</f>
        <v>Emanuele Garfitt</v>
      </c>
    </row>
    <row r="111" spans="1:11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VLOOKUP(D111,'2018_commission_structure'!$A$2:$C$4,3,FALSE)</f>
        <v>65000</v>
      </c>
      <c r="G111">
        <f>VLOOKUP(D111,'2018_commission_structure'!$A$2:$C$4,2,FALSE)</f>
        <v>30000</v>
      </c>
      <c r="H111">
        <f t="shared" si="1"/>
        <v>0</v>
      </c>
      <c r="I111">
        <f>COUNTIF(deals_closed!D:D, A111)</f>
        <v>18</v>
      </c>
      <c r="K111" t="str">
        <f>_xlfn.CONCAT(B111, " ",C111)</f>
        <v>Clem Girth</v>
      </c>
    </row>
    <row r="112" spans="1:11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VLOOKUP(D112,'2018_commission_structure'!$A$2:$C$4,3,FALSE)</f>
        <v>125000</v>
      </c>
      <c r="G112">
        <f>VLOOKUP(D112,'2018_commission_structure'!$A$2:$C$4,2,FALSE)</f>
        <v>75000</v>
      </c>
      <c r="H112">
        <f t="shared" si="1"/>
        <v>0</v>
      </c>
      <c r="I112">
        <f>COUNTIF(deals_closed!D:D, A112)</f>
        <v>22</v>
      </c>
      <c r="K112" t="str">
        <f>_xlfn.CONCAT(B112, " ",C112)</f>
        <v>Yuri Tampin</v>
      </c>
    </row>
    <row r="113" spans="1:11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VLOOKUP(D113,'2018_commission_structure'!$A$2:$C$4,3,FALSE)</f>
        <v>80000</v>
      </c>
      <c r="G113">
        <f>VLOOKUP(D113,'2018_commission_structure'!$A$2:$C$4,2,FALSE)</f>
        <v>50000</v>
      </c>
      <c r="H113">
        <f t="shared" si="1"/>
        <v>0</v>
      </c>
      <c r="I113">
        <f>COUNTIF(deals_closed!D:D, A113)</f>
        <v>21</v>
      </c>
      <c r="K113" t="str">
        <f>_xlfn.CONCAT(B113, " ",C113)</f>
        <v>Robbyn Didball</v>
      </c>
    </row>
    <row r="114" spans="1:11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VLOOKUP(D114,'2018_commission_structure'!$A$2:$C$4,3,FALSE)</f>
        <v>125000</v>
      </c>
      <c r="G114">
        <f>VLOOKUP(D114,'2018_commission_structure'!$A$2:$C$4,2,FALSE)</f>
        <v>75000</v>
      </c>
      <c r="H114">
        <f t="shared" si="1"/>
        <v>0</v>
      </c>
      <c r="I114">
        <f>COUNTIF(deals_closed!D:D, A114)</f>
        <v>22</v>
      </c>
      <c r="K114" t="str">
        <f>_xlfn.CONCAT(B114, " ",C114)</f>
        <v>Kelsey Hassur</v>
      </c>
    </row>
    <row r="115" spans="1:11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VLOOKUP(D115,'2018_commission_structure'!$A$2:$C$4,3,FALSE)</f>
        <v>65000</v>
      </c>
      <c r="G115">
        <f>VLOOKUP(D115,'2018_commission_structure'!$A$2:$C$4,2,FALSE)</f>
        <v>30000</v>
      </c>
      <c r="H115">
        <f t="shared" si="1"/>
        <v>0</v>
      </c>
      <c r="I115">
        <f>COUNTIF(deals_closed!D:D, A115)</f>
        <v>25</v>
      </c>
      <c r="K115" t="str">
        <f>_xlfn.CONCAT(B115, " ",C115)</f>
        <v>Celine Ennew</v>
      </c>
    </row>
    <row r="116" spans="1:11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VLOOKUP(D116,'2018_commission_structure'!$A$2:$C$4,3,FALSE)</f>
        <v>80000</v>
      </c>
      <c r="G116">
        <f>VLOOKUP(D116,'2018_commission_structure'!$A$2:$C$4,2,FALSE)</f>
        <v>50000</v>
      </c>
      <c r="H116">
        <f t="shared" si="1"/>
        <v>0</v>
      </c>
      <c r="I116">
        <f>COUNTIF(deals_closed!D:D, A116)</f>
        <v>19</v>
      </c>
      <c r="K116" t="str">
        <f>_xlfn.CONCAT(B116, " ",C116)</f>
        <v>Vally Pinel</v>
      </c>
    </row>
    <row r="117" spans="1:11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VLOOKUP(D117,'2018_commission_structure'!$A$2:$C$4,3,FALSE)</f>
        <v>125000</v>
      </c>
      <c r="G117">
        <f>VLOOKUP(D117,'2018_commission_structure'!$A$2:$C$4,2,FALSE)</f>
        <v>75000</v>
      </c>
      <c r="H117">
        <f t="shared" si="1"/>
        <v>0</v>
      </c>
      <c r="I117">
        <f>COUNTIF(deals_closed!D:D, A117)</f>
        <v>16</v>
      </c>
      <c r="K117" t="str">
        <f>_xlfn.CONCAT(B117, " ",C117)</f>
        <v>Alleen Pymar</v>
      </c>
    </row>
    <row r="118" spans="1:11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VLOOKUP(D118,'2018_commission_structure'!$A$2:$C$4,3,FALSE)</f>
        <v>125000</v>
      </c>
      <c r="G118">
        <f>VLOOKUP(D118,'2018_commission_structure'!$A$2:$C$4,2,FALSE)</f>
        <v>75000</v>
      </c>
      <c r="H118">
        <f t="shared" si="1"/>
        <v>0</v>
      </c>
      <c r="I118">
        <f>COUNTIF(deals_closed!D:D, A118)</f>
        <v>11</v>
      </c>
      <c r="K118" t="str">
        <f>_xlfn.CONCAT(B118, " ",C118)</f>
        <v>Rickert Fairley</v>
      </c>
    </row>
    <row r="119" spans="1:11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VLOOKUP(D119,'2018_commission_structure'!$A$2:$C$4,3,FALSE)</f>
        <v>65000</v>
      </c>
      <c r="G119">
        <f>VLOOKUP(D119,'2018_commission_structure'!$A$2:$C$4,2,FALSE)</f>
        <v>30000</v>
      </c>
      <c r="H119">
        <f t="shared" si="1"/>
        <v>0</v>
      </c>
      <c r="I119">
        <f>COUNTIF(deals_closed!D:D, A119)</f>
        <v>18</v>
      </c>
      <c r="K119" t="str">
        <f>_xlfn.CONCAT(B119, " ",C119)</f>
        <v>Lavinia Chasier</v>
      </c>
    </row>
    <row r="120" spans="1:11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VLOOKUP(D120,'2018_commission_structure'!$A$2:$C$4,3,FALSE)</f>
        <v>125000</v>
      </c>
      <c r="G120">
        <f>VLOOKUP(D120,'2018_commission_structure'!$A$2:$C$4,2,FALSE)</f>
        <v>75000</v>
      </c>
      <c r="H120">
        <f t="shared" si="1"/>
        <v>0</v>
      </c>
      <c r="I120">
        <f>COUNTIF(deals_closed!D:D, A120)</f>
        <v>30</v>
      </c>
      <c r="K120" t="str">
        <f>_xlfn.CONCAT(B120, " ",C120)</f>
        <v>Aristotle Vibert</v>
      </c>
    </row>
    <row r="121" spans="1:11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VLOOKUP(D121,'2018_commission_structure'!$A$2:$C$4,3,FALSE)</f>
        <v>80000</v>
      </c>
      <c r="G121">
        <f>VLOOKUP(D121,'2018_commission_structure'!$A$2:$C$4,2,FALSE)</f>
        <v>50000</v>
      </c>
      <c r="H121">
        <f t="shared" si="1"/>
        <v>0</v>
      </c>
      <c r="I121">
        <f>COUNTIF(deals_closed!D:D, A121)</f>
        <v>23</v>
      </c>
      <c r="K121" t="str">
        <f>_xlfn.CONCAT(B121, " ",C121)</f>
        <v>Baxter Toulamain</v>
      </c>
    </row>
    <row r="122" spans="1:11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VLOOKUP(D122,'2018_commission_structure'!$A$2:$C$4,3,FALSE)</f>
        <v>125000</v>
      </c>
      <c r="G122">
        <f>VLOOKUP(D122,'2018_commission_structure'!$A$2:$C$4,2,FALSE)</f>
        <v>75000</v>
      </c>
      <c r="H122">
        <f t="shared" si="1"/>
        <v>0</v>
      </c>
      <c r="I122">
        <f>COUNTIF(deals_closed!D:D, A122)</f>
        <v>30</v>
      </c>
      <c r="K122" t="str">
        <f>_xlfn.CONCAT(B122, " ",C122)</f>
        <v>Shelly Dabs</v>
      </c>
    </row>
    <row r="123" spans="1:11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VLOOKUP(D123,'2018_commission_structure'!$A$2:$C$4,3,FALSE)</f>
        <v>80000</v>
      </c>
      <c r="G123">
        <f>VLOOKUP(D123,'2018_commission_structure'!$A$2:$C$4,2,FALSE)</f>
        <v>50000</v>
      </c>
      <c r="H123">
        <f t="shared" si="1"/>
        <v>0</v>
      </c>
      <c r="I123">
        <f>COUNTIF(deals_closed!D:D, A123)</f>
        <v>22</v>
      </c>
      <c r="K123" t="str">
        <f>_xlfn.CONCAT(B123, " ",C123)</f>
        <v>Osmond Bayfield</v>
      </c>
    </row>
    <row r="124" spans="1:11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VLOOKUP(D124,'2018_commission_structure'!$A$2:$C$4,3,FALSE)</f>
        <v>65000</v>
      </c>
      <c r="G124">
        <f>VLOOKUP(D124,'2018_commission_structure'!$A$2:$C$4,2,FALSE)</f>
        <v>30000</v>
      </c>
      <c r="H124">
        <f t="shared" si="1"/>
        <v>0</v>
      </c>
      <c r="I124">
        <f>COUNTIF(deals_closed!D:D, A124)</f>
        <v>15</v>
      </c>
      <c r="K124" t="str">
        <f>_xlfn.CONCAT(B124, " ",C124)</f>
        <v>Prentiss Lockery</v>
      </c>
    </row>
    <row r="125" spans="1:11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VLOOKUP(D125,'2018_commission_structure'!$A$2:$C$4,3,FALSE)</f>
        <v>65000</v>
      </c>
      <c r="G125">
        <f>VLOOKUP(D125,'2018_commission_structure'!$A$2:$C$4,2,FALSE)</f>
        <v>30000</v>
      </c>
      <c r="H125">
        <f t="shared" si="1"/>
        <v>0</v>
      </c>
      <c r="I125">
        <f>COUNTIF(deals_closed!D:D, A125)</f>
        <v>25</v>
      </c>
      <c r="K125" t="str">
        <f>_xlfn.CONCAT(B125, " ",C125)</f>
        <v>Bobette Advani</v>
      </c>
    </row>
    <row r="126" spans="1:11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VLOOKUP(D126,'2018_commission_structure'!$A$2:$C$4,3,FALSE)</f>
        <v>125000</v>
      </c>
      <c r="G126">
        <f>VLOOKUP(D126,'2018_commission_structure'!$A$2:$C$4,2,FALSE)</f>
        <v>75000</v>
      </c>
      <c r="H126">
        <f t="shared" si="1"/>
        <v>0</v>
      </c>
      <c r="I126">
        <f>COUNTIF(deals_closed!D:D, A126)</f>
        <v>17</v>
      </c>
      <c r="K126" t="str">
        <f>_xlfn.CONCAT(B126, " ",C126)</f>
        <v>Gradey Frazier</v>
      </c>
    </row>
    <row r="127" spans="1:11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VLOOKUP(D127,'2018_commission_structure'!$A$2:$C$4,3,FALSE)</f>
        <v>80000</v>
      </c>
      <c r="G127">
        <f>VLOOKUP(D127,'2018_commission_structure'!$A$2:$C$4,2,FALSE)</f>
        <v>50000</v>
      </c>
      <c r="H127">
        <f t="shared" si="1"/>
        <v>0</v>
      </c>
      <c r="I127">
        <f>COUNTIF(deals_closed!D:D, A127)</f>
        <v>17</v>
      </c>
      <c r="K127" t="str">
        <f>_xlfn.CONCAT(B127, " ",C127)</f>
        <v>Marty Denson</v>
      </c>
    </row>
    <row r="128" spans="1:11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VLOOKUP(D128,'2018_commission_structure'!$A$2:$C$4,3,FALSE)</f>
        <v>80000</v>
      </c>
      <c r="G128">
        <f>VLOOKUP(D128,'2018_commission_structure'!$A$2:$C$4,2,FALSE)</f>
        <v>50000</v>
      </c>
      <c r="H128">
        <f t="shared" si="1"/>
        <v>0</v>
      </c>
      <c r="I128">
        <f>COUNTIF(deals_closed!D:D, A128)</f>
        <v>23</v>
      </c>
      <c r="K128" t="str">
        <f>_xlfn.CONCAT(B128, " ",C128)</f>
        <v>Lucita Edington</v>
      </c>
    </row>
    <row r="129" spans="1:11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VLOOKUP(D129,'2018_commission_structure'!$A$2:$C$4,3,FALSE)</f>
        <v>80000</v>
      </c>
      <c r="G129">
        <f>VLOOKUP(D129,'2018_commission_structure'!$A$2:$C$4,2,FALSE)</f>
        <v>50000</v>
      </c>
      <c r="H129">
        <f t="shared" si="1"/>
        <v>0</v>
      </c>
      <c r="I129">
        <f>COUNTIF(deals_closed!D:D, A129)</f>
        <v>25</v>
      </c>
      <c r="K129" t="str">
        <f>_xlfn.CONCAT(B129, " ",C129)</f>
        <v>Klement Garrison</v>
      </c>
    </row>
    <row r="130" spans="1:11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VLOOKUP(D130,'2018_commission_structure'!$A$2:$C$4,3,FALSE)</f>
        <v>125000</v>
      </c>
      <c r="G130">
        <f>VLOOKUP(D130,'2018_commission_structure'!$A$2:$C$4,2,FALSE)</f>
        <v>75000</v>
      </c>
      <c r="H130">
        <f t="shared" si="1"/>
        <v>0</v>
      </c>
      <c r="I130">
        <f>COUNTIF(deals_closed!D:D, A130)</f>
        <v>19</v>
      </c>
      <c r="K130" t="str">
        <f>_xlfn.CONCAT(B130, " ",C130)</f>
        <v>Helen Delwater</v>
      </c>
    </row>
    <row r="131" spans="1:11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VLOOKUP(D131,'2018_commission_structure'!$A$2:$C$4,3,FALSE)</f>
        <v>80000</v>
      </c>
      <c r="G131">
        <f>VLOOKUP(D131,'2018_commission_structure'!$A$2:$C$4,2,FALSE)</f>
        <v>50000</v>
      </c>
      <c r="H131">
        <f t="shared" ref="H131:H194" si="2">IF(AND(E131&gt;=G131,E131&lt;=F131),0,1)</f>
        <v>0</v>
      </c>
      <c r="I131">
        <f>COUNTIF(deals_closed!D:D, A131)</f>
        <v>31</v>
      </c>
      <c r="K131" t="str">
        <f>_xlfn.CONCAT(B131, " ",C131)</f>
        <v>Caroline Glidden</v>
      </c>
    </row>
    <row r="132" spans="1:11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VLOOKUP(D132,'2018_commission_structure'!$A$2:$C$4,3,FALSE)</f>
        <v>65000</v>
      </c>
      <c r="G132">
        <f>VLOOKUP(D132,'2018_commission_structure'!$A$2:$C$4,2,FALSE)</f>
        <v>30000</v>
      </c>
      <c r="H132">
        <f t="shared" si="2"/>
        <v>0</v>
      </c>
      <c r="I132">
        <f>COUNTIF(deals_closed!D:D, A132)</f>
        <v>17</v>
      </c>
      <c r="K132" t="str">
        <f>_xlfn.CONCAT(B132, " ",C132)</f>
        <v>Augustine Layne</v>
      </c>
    </row>
    <row r="133" spans="1:11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VLOOKUP(D133,'2018_commission_structure'!$A$2:$C$4,3,FALSE)</f>
        <v>65000</v>
      </c>
      <c r="G133">
        <f>VLOOKUP(D133,'2018_commission_structure'!$A$2:$C$4,2,FALSE)</f>
        <v>30000</v>
      </c>
      <c r="H133">
        <f t="shared" si="2"/>
        <v>0</v>
      </c>
      <c r="I133">
        <f>COUNTIF(deals_closed!D:D, A133)</f>
        <v>17</v>
      </c>
      <c r="K133" t="str">
        <f>_xlfn.CONCAT(B133, " ",C133)</f>
        <v>Kathrine McDougald</v>
      </c>
    </row>
    <row r="134" spans="1:11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VLOOKUP(D134,'2018_commission_structure'!$A$2:$C$4,3,FALSE)</f>
        <v>125000</v>
      </c>
      <c r="G134">
        <f>VLOOKUP(D134,'2018_commission_structure'!$A$2:$C$4,2,FALSE)</f>
        <v>75000</v>
      </c>
      <c r="H134">
        <f t="shared" si="2"/>
        <v>0</v>
      </c>
      <c r="I134">
        <f>COUNTIF(deals_closed!D:D, A134)</f>
        <v>29</v>
      </c>
      <c r="K134" t="str">
        <f>_xlfn.CONCAT(B134, " ",C134)</f>
        <v>Keefer Edmonson</v>
      </c>
    </row>
    <row r="135" spans="1:11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VLOOKUP(D135,'2018_commission_structure'!$A$2:$C$4,3,FALSE)</f>
        <v>125000</v>
      </c>
      <c r="G135">
        <f>VLOOKUP(D135,'2018_commission_structure'!$A$2:$C$4,2,FALSE)</f>
        <v>75000</v>
      </c>
      <c r="H135">
        <f t="shared" si="2"/>
        <v>0</v>
      </c>
      <c r="I135">
        <f>COUNTIF(deals_closed!D:D, A135)</f>
        <v>25</v>
      </c>
      <c r="K135" t="str">
        <f>_xlfn.CONCAT(B135, " ",C135)</f>
        <v>Murdock Gorton</v>
      </c>
    </row>
    <row r="136" spans="1:11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VLOOKUP(D136,'2018_commission_structure'!$A$2:$C$4,3,FALSE)</f>
        <v>125000</v>
      </c>
      <c r="G136">
        <f>VLOOKUP(D136,'2018_commission_structure'!$A$2:$C$4,2,FALSE)</f>
        <v>75000</v>
      </c>
      <c r="H136">
        <f t="shared" si="2"/>
        <v>0</v>
      </c>
      <c r="I136">
        <f>COUNTIF(deals_closed!D:D, A136)</f>
        <v>18</v>
      </c>
      <c r="K136" t="str">
        <f>_xlfn.CONCAT(B136, " ",C136)</f>
        <v>Lammond Tangye</v>
      </c>
    </row>
    <row r="137" spans="1:11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VLOOKUP(D137,'2018_commission_structure'!$A$2:$C$4,3,FALSE)</f>
        <v>125000</v>
      </c>
      <c r="G137">
        <f>VLOOKUP(D137,'2018_commission_structure'!$A$2:$C$4,2,FALSE)</f>
        <v>75000</v>
      </c>
      <c r="H137">
        <f t="shared" si="2"/>
        <v>0</v>
      </c>
      <c r="I137">
        <f>COUNTIF(deals_closed!D:D, A137)</f>
        <v>14</v>
      </c>
      <c r="K137" t="str">
        <f>_xlfn.CONCAT(B137, " ",C137)</f>
        <v>Rodina Minchin</v>
      </c>
    </row>
    <row r="138" spans="1:11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VLOOKUP(D138,'2018_commission_structure'!$A$2:$C$4,3,FALSE)</f>
        <v>80000</v>
      </c>
      <c r="G138">
        <f>VLOOKUP(D138,'2018_commission_structure'!$A$2:$C$4,2,FALSE)</f>
        <v>50000</v>
      </c>
      <c r="H138">
        <f t="shared" si="2"/>
        <v>0</v>
      </c>
      <c r="I138">
        <f>COUNTIF(deals_closed!D:D, A138)</f>
        <v>19</v>
      </c>
      <c r="K138" t="str">
        <f>_xlfn.CONCAT(B138, " ",C138)</f>
        <v>Bernhard Hannan</v>
      </c>
    </row>
    <row r="139" spans="1:11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VLOOKUP(D139,'2018_commission_structure'!$A$2:$C$4,3,FALSE)</f>
        <v>125000</v>
      </c>
      <c r="G139">
        <f>VLOOKUP(D139,'2018_commission_structure'!$A$2:$C$4,2,FALSE)</f>
        <v>75000</v>
      </c>
      <c r="H139">
        <f t="shared" si="2"/>
        <v>0</v>
      </c>
      <c r="I139">
        <f>COUNTIF(deals_closed!D:D, A139)</f>
        <v>18</v>
      </c>
      <c r="K139" t="str">
        <f>_xlfn.CONCAT(B139, " ",C139)</f>
        <v>Titos Collaton</v>
      </c>
    </row>
    <row r="140" spans="1:11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VLOOKUP(D140,'2018_commission_structure'!$A$2:$C$4,3,FALSE)</f>
        <v>125000</v>
      </c>
      <c r="G140">
        <f>VLOOKUP(D140,'2018_commission_structure'!$A$2:$C$4,2,FALSE)</f>
        <v>75000</v>
      </c>
      <c r="H140">
        <f t="shared" si="2"/>
        <v>0</v>
      </c>
      <c r="I140">
        <f>COUNTIF(deals_closed!D:D, A140)</f>
        <v>14</v>
      </c>
      <c r="K140" t="str">
        <f>_xlfn.CONCAT(B140, " ",C140)</f>
        <v>Maximilianus Hamlington</v>
      </c>
    </row>
    <row r="141" spans="1:11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VLOOKUP(D141,'2018_commission_structure'!$A$2:$C$4,3,FALSE)</f>
        <v>125000</v>
      </c>
      <c r="G141">
        <f>VLOOKUP(D141,'2018_commission_structure'!$A$2:$C$4,2,FALSE)</f>
        <v>75000</v>
      </c>
      <c r="H141">
        <f t="shared" si="2"/>
        <v>0</v>
      </c>
      <c r="I141">
        <f>COUNTIF(deals_closed!D:D, A141)</f>
        <v>21</v>
      </c>
      <c r="K141" t="str">
        <f>_xlfn.CONCAT(B141, " ",C141)</f>
        <v>Tait Brewitt</v>
      </c>
    </row>
    <row r="142" spans="1:11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VLOOKUP(D142,'2018_commission_structure'!$A$2:$C$4,3,FALSE)</f>
        <v>65000</v>
      </c>
      <c r="G142">
        <f>VLOOKUP(D142,'2018_commission_structure'!$A$2:$C$4,2,FALSE)</f>
        <v>30000</v>
      </c>
      <c r="H142">
        <f t="shared" si="2"/>
        <v>0</v>
      </c>
      <c r="I142">
        <f>COUNTIF(deals_closed!D:D, A142)</f>
        <v>29</v>
      </c>
      <c r="K142" t="str">
        <f>_xlfn.CONCAT(B142, " ",C142)</f>
        <v>Camila MacGillespie</v>
      </c>
    </row>
    <row r="143" spans="1:11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VLOOKUP(D143,'2018_commission_structure'!$A$2:$C$4,3,FALSE)</f>
        <v>65000</v>
      </c>
      <c r="G143">
        <f>VLOOKUP(D143,'2018_commission_structure'!$A$2:$C$4,2,FALSE)</f>
        <v>30000</v>
      </c>
      <c r="H143">
        <f t="shared" si="2"/>
        <v>0</v>
      </c>
      <c r="I143">
        <f>COUNTIF(deals_closed!D:D, A143)</f>
        <v>18</v>
      </c>
      <c r="K143" t="str">
        <f>_xlfn.CONCAT(B143, " ",C143)</f>
        <v>Cull Slott</v>
      </c>
    </row>
    <row r="144" spans="1:11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VLOOKUP(D144,'2018_commission_structure'!$A$2:$C$4,3,FALSE)</f>
        <v>125000</v>
      </c>
      <c r="G144">
        <f>VLOOKUP(D144,'2018_commission_structure'!$A$2:$C$4,2,FALSE)</f>
        <v>75000</v>
      </c>
      <c r="H144">
        <f t="shared" si="2"/>
        <v>0</v>
      </c>
      <c r="I144">
        <f>COUNTIF(deals_closed!D:D, A144)</f>
        <v>25</v>
      </c>
      <c r="K144" t="str">
        <f>_xlfn.CONCAT(B144, " ",C144)</f>
        <v>Jolee Gladyer</v>
      </c>
    </row>
    <row r="145" spans="1:11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VLOOKUP(D145,'2018_commission_structure'!$A$2:$C$4,3,FALSE)</f>
        <v>125000</v>
      </c>
      <c r="G145">
        <f>VLOOKUP(D145,'2018_commission_structure'!$A$2:$C$4,2,FALSE)</f>
        <v>75000</v>
      </c>
      <c r="H145">
        <f t="shared" si="2"/>
        <v>0</v>
      </c>
      <c r="I145">
        <f>COUNTIF(deals_closed!D:D, A145)</f>
        <v>13</v>
      </c>
      <c r="K145" t="str">
        <f>_xlfn.CONCAT(B145, " ",C145)</f>
        <v>Glenn O'Murtagh</v>
      </c>
    </row>
    <row r="146" spans="1:11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VLOOKUP(D146,'2018_commission_structure'!$A$2:$C$4,3,FALSE)</f>
        <v>65000</v>
      </c>
      <c r="G146">
        <f>VLOOKUP(D146,'2018_commission_structure'!$A$2:$C$4,2,FALSE)</f>
        <v>30000</v>
      </c>
      <c r="H146">
        <f t="shared" si="2"/>
        <v>0</v>
      </c>
      <c r="I146">
        <f>COUNTIF(deals_closed!D:D, A146)</f>
        <v>18</v>
      </c>
      <c r="K146" t="str">
        <f>_xlfn.CONCAT(B146, " ",C146)</f>
        <v>Jermain Ruthven</v>
      </c>
    </row>
    <row r="147" spans="1:11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VLOOKUP(D147,'2018_commission_structure'!$A$2:$C$4,3,FALSE)</f>
        <v>125000</v>
      </c>
      <c r="G147">
        <f>VLOOKUP(D147,'2018_commission_structure'!$A$2:$C$4,2,FALSE)</f>
        <v>75000</v>
      </c>
      <c r="H147">
        <f t="shared" si="2"/>
        <v>0</v>
      </c>
      <c r="I147">
        <f>COUNTIF(deals_closed!D:D, A147)</f>
        <v>17</v>
      </c>
      <c r="K147" t="str">
        <f>_xlfn.CONCAT(B147, " ",C147)</f>
        <v>Zita Crossgrove</v>
      </c>
    </row>
    <row r="148" spans="1:11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VLOOKUP(D148,'2018_commission_structure'!$A$2:$C$4,3,FALSE)</f>
        <v>65000</v>
      </c>
      <c r="G148">
        <f>VLOOKUP(D148,'2018_commission_structure'!$A$2:$C$4,2,FALSE)</f>
        <v>30000</v>
      </c>
      <c r="H148">
        <f t="shared" si="2"/>
        <v>0</v>
      </c>
      <c r="I148">
        <f>COUNTIF(deals_closed!D:D, A148)</f>
        <v>22</v>
      </c>
      <c r="K148" t="str">
        <f>_xlfn.CONCAT(B148, " ",C148)</f>
        <v>Esra Snibson</v>
      </c>
    </row>
    <row r="149" spans="1:11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VLOOKUP(D149,'2018_commission_structure'!$A$2:$C$4,3,FALSE)</f>
        <v>80000</v>
      </c>
      <c r="G149">
        <f>VLOOKUP(D149,'2018_commission_structure'!$A$2:$C$4,2,FALSE)</f>
        <v>50000</v>
      </c>
      <c r="H149">
        <f t="shared" si="2"/>
        <v>0</v>
      </c>
      <c r="I149">
        <f>COUNTIF(deals_closed!D:D, A149)</f>
        <v>17</v>
      </c>
      <c r="K149" t="str">
        <f>_xlfn.CONCAT(B149, " ",C149)</f>
        <v>Barbabra Cramond</v>
      </c>
    </row>
    <row r="150" spans="1:11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VLOOKUP(D150,'2018_commission_structure'!$A$2:$C$4,3,FALSE)</f>
        <v>125000</v>
      </c>
      <c r="G150">
        <f>VLOOKUP(D150,'2018_commission_structure'!$A$2:$C$4,2,FALSE)</f>
        <v>75000</v>
      </c>
      <c r="H150">
        <f t="shared" si="2"/>
        <v>0</v>
      </c>
      <c r="I150">
        <f>COUNTIF(deals_closed!D:D, A150)</f>
        <v>22</v>
      </c>
      <c r="K150" t="str">
        <f>_xlfn.CONCAT(B150, " ",C150)</f>
        <v>Meredith Giraudot</v>
      </c>
    </row>
    <row r="151" spans="1:11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VLOOKUP(D151,'2018_commission_structure'!$A$2:$C$4,3,FALSE)</f>
        <v>125000</v>
      </c>
      <c r="G151">
        <f>VLOOKUP(D151,'2018_commission_structure'!$A$2:$C$4,2,FALSE)</f>
        <v>75000</v>
      </c>
      <c r="H151">
        <f t="shared" si="2"/>
        <v>0</v>
      </c>
      <c r="I151">
        <f>COUNTIF(deals_closed!D:D, A151)</f>
        <v>25</v>
      </c>
      <c r="K151" t="str">
        <f>_xlfn.CONCAT(B151, " ",C151)</f>
        <v>Nial Antonazzi</v>
      </c>
    </row>
    <row r="152" spans="1:11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VLOOKUP(D152,'2018_commission_structure'!$A$2:$C$4,3,FALSE)</f>
        <v>125000</v>
      </c>
      <c r="G152">
        <f>VLOOKUP(D152,'2018_commission_structure'!$A$2:$C$4,2,FALSE)</f>
        <v>75000</v>
      </c>
      <c r="H152">
        <f t="shared" si="2"/>
        <v>0</v>
      </c>
      <c r="I152">
        <f>COUNTIF(deals_closed!D:D, A152)</f>
        <v>20</v>
      </c>
      <c r="K152" t="str">
        <f>_xlfn.CONCAT(B152, " ",C152)</f>
        <v>Denni Sadd</v>
      </c>
    </row>
    <row r="153" spans="1:11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VLOOKUP(D153,'2018_commission_structure'!$A$2:$C$4,3,FALSE)</f>
        <v>125000</v>
      </c>
      <c r="G153">
        <f>VLOOKUP(D153,'2018_commission_structure'!$A$2:$C$4,2,FALSE)</f>
        <v>75000</v>
      </c>
      <c r="H153">
        <f t="shared" si="2"/>
        <v>0</v>
      </c>
      <c r="I153">
        <f>COUNTIF(deals_closed!D:D, A153)</f>
        <v>18</v>
      </c>
      <c r="K153" t="str">
        <f>_xlfn.CONCAT(B153, " ",C153)</f>
        <v>Erroll Tirkin</v>
      </c>
    </row>
    <row r="154" spans="1:11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VLOOKUP(D154,'2018_commission_structure'!$A$2:$C$4,3,FALSE)</f>
        <v>65000</v>
      </c>
      <c r="G154">
        <f>VLOOKUP(D154,'2018_commission_structure'!$A$2:$C$4,2,FALSE)</f>
        <v>30000</v>
      </c>
      <c r="H154">
        <f t="shared" si="2"/>
        <v>0</v>
      </c>
      <c r="I154">
        <f>COUNTIF(deals_closed!D:D, A154)</f>
        <v>19</v>
      </c>
      <c r="K154" t="str">
        <f>_xlfn.CONCAT(B154, " ",C154)</f>
        <v>Kevon Perl</v>
      </c>
    </row>
    <row r="155" spans="1:11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VLOOKUP(D155,'2018_commission_structure'!$A$2:$C$4,3,FALSE)</f>
        <v>125000</v>
      </c>
      <c r="G155">
        <f>VLOOKUP(D155,'2018_commission_structure'!$A$2:$C$4,2,FALSE)</f>
        <v>75000</v>
      </c>
      <c r="H155">
        <f t="shared" si="2"/>
        <v>0</v>
      </c>
      <c r="I155">
        <f>COUNTIF(deals_closed!D:D, A155)</f>
        <v>14</v>
      </c>
      <c r="K155" t="str">
        <f>_xlfn.CONCAT(B155, " ",C155)</f>
        <v>Amberly Pillman</v>
      </c>
    </row>
    <row r="156" spans="1:11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VLOOKUP(D156,'2018_commission_structure'!$A$2:$C$4,3,FALSE)</f>
        <v>125000</v>
      </c>
      <c r="G156">
        <f>VLOOKUP(D156,'2018_commission_structure'!$A$2:$C$4,2,FALSE)</f>
        <v>75000</v>
      </c>
      <c r="H156">
        <f t="shared" si="2"/>
        <v>0</v>
      </c>
      <c r="I156">
        <f>COUNTIF(deals_closed!D:D, A156)</f>
        <v>22</v>
      </c>
      <c r="K156" t="str">
        <f>_xlfn.CONCAT(B156, " ",C156)</f>
        <v>Darcy Crosier</v>
      </c>
    </row>
    <row r="157" spans="1:11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VLOOKUP(D157,'2018_commission_structure'!$A$2:$C$4,3,FALSE)</f>
        <v>65000</v>
      </c>
      <c r="G157">
        <f>VLOOKUP(D157,'2018_commission_structure'!$A$2:$C$4,2,FALSE)</f>
        <v>30000</v>
      </c>
      <c r="H157">
        <f t="shared" si="2"/>
        <v>0</v>
      </c>
      <c r="I157">
        <f>COUNTIF(deals_closed!D:D, A157)</f>
        <v>23</v>
      </c>
      <c r="K157" t="str">
        <f>_xlfn.CONCAT(B157, " ",C157)</f>
        <v>De Devereux</v>
      </c>
    </row>
    <row r="158" spans="1:11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VLOOKUP(D158,'2018_commission_structure'!$A$2:$C$4,3,FALSE)</f>
        <v>80000</v>
      </c>
      <c r="G158">
        <f>VLOOKUP(D158,'2018_commission_structure'!$A$2:$C$4,2,FALSE)</f>
        <v>50000</v>
      </c>
      <c r="H158">
        <f t="shared" si="2"/>
        <v>0</v>
      </c>
      <c r="I158">
        <f>COUNTIF(deals_closed!D:D, A158)</f>
        <v>21</v>
      </c>
      <c r="K158" t="str">
        <f>_xlfn.CONCAT(B158, " ",C158)</f>
        <v>Jami Swinbourne</v>
      </c>
    </row>
    <row r="159" spans="1:11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VLOOKUP(D159,'2018_commission_structure'!$A$2:$C$4,3,FALSE)</f>
        <v>80000</v>
      </c>
      <c r="G159">
        <f>VLOOKUP(D159,'2018_commission_structure'!$A$2:$C$4,2,FALSE)</f>
        <v>50000</v>
      </c>
      <c r="H159">
        <f t="shared" si="2"/>
        <v>0</v>
      </c>
      <c r="I159">
        <f>COUNTIF(deals_closed!D:D, A159)</f>
        <v>22</v>
      </c>
      <c r="K159" t="str">
        <f>_xlfn.CONCAT(B159, " ",C159)</f>
        <v>Bridgette Stivers</v>
      </c>
    </row>
    <row r="160" spans="1:11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VLOOKUP(D160,'2018_commission_structure'!$A$2:$C$4,3,FALSE)</f>
        <v>65000</v>
      </c>
      <c r="G160">
        <f>VLOOKUP(D160,'2018_commission_structure'!$A$2:$C$4,2,FALSE)</f>
        <v>30000</v>
      </c>
      <c r="H160">
        <f t="shared" si="2"/>
        <v>0</v>
      </c>
      <c r="I160">
        <f>COUNTIF(deals_closed!D:D, A160)</f>
        <v>18</v>
      </c>
      <c r="K160" t="str">
        <f>_xlfn.CONCAT(B160, " ",C160)</f>
        <v>Westley Affleck</v>
      </c>
    </row>
    <row r="161" spans="1:11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VLOOKUP(D161,'2018_commission_structure'!$A$2:$C$4,3,FALSE)</f>
        <v>80000</v>
      </c>
      <c r="G161">
        <f>VLOOKUP(D161,'2018_commission_structure'!$A$2:$C$4,2,FALSE)</f>
        <v>50000</v>
      </c>
      <c r="H161">
        <f t="shared" si="2"/>
        <v>0</v>
      </c>
      <c r="I161">
        <f>COUNTIF(deals_closed!D:D, A161)</f>
        <v>20</v>
      </c>
      <c r="K161" t="str">
        <f>_xlfn.CONCAT(B161, " ",C161)</f>
        <v>Tabbatha Battaille</v>
      </c>
    </row>
    <row r="162" spans="1:11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VLOOKUP(D162,'2018_commission_structure'!$A$2:$C$4,3,FALSE)</f>
        <v>65000</v>
      </c>
      <c r="G162">
        <f>VLOOKUP(D162,'2018_commission_structure'!$A$2:$C$4,2,FALSE)</f>
        <v>30000</v>
      </c>
      <c r="H162">
        <f t="shared" si="2"/>
        <v>0</v>
      </c>
      <c r="I162">
        <f>COUNTIF(deals_closed!D:D, A162)</f>
        <v>23</v>
      </c>
      <c r="K162" t="str">
        <f>_xlfn.CONCAT(B162, " ",C162)</f>
        <v>Gennifer Gaythwaite</v>
      </c>
    </row>
    <row r="163" spans="1:11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VLOOKUP(D163,'2018_commission_structure'!$A$2:$C$4,3,FALSE)</f>
        <v>80000</v>
      </c>
      <c r="G163">
        <f>VLOOKUP(D163,'2018_commission_structure'!$A$2:$C$4,2,FALSE)</f>
        <v>50000</v>
      </c>
      <c r="H163">
        <f t="shared" si="2"/>
        <v>0</v>
      </c>
      <c r="I163">
        <f>COUNTIF(deals_closed!D:D, A163)</f>
        <v>23</v>
      </c>
      <c r="K163" t="str">
        <f>_xlfn.CONCAT(B163, " ",C163)</f>
        <v>Noami Pauletti</v>
      </c>
    </row>
    <row r="164" spans="1:11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VLOOKUP(D164,'2018_commission_structure'!$A$2:$C$4,3,FALSE)</f>
        <v>125000</v>
      </c>
      <c r="G164">
        <f>VLOOKUP(D164,'2018_commission_structure'!$A$2:$C$4,2,FALSE)</f>
        <v>75000</v>
      </c>
      <c r="H164">
        <f t="shared" si="2"/>
        <v>0</v>
      </c>
      <c r="I164">
        <f>COUNTIF(deals_closed!D:D, A164)</f>
        <v>20</v>
      </c>
      <c r="K164" t="str">
        <f>_xlfn.CONCAT(B164, " ",C164)</f>
        <v>Chalmers Durrad</v>
      </c>
    </row>
    <row r="165" spans="1:11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VLOOKUP(D165,'2018_commission_structure'!$A$2:$C$4,3,FALSE)</f>
        <v>65000</v>
      </c>
      <c r="G165">
        <f>VLOOKUP(D165,'2018_commission_structure'!$A$2:$C$4,2,FALSE)</f>
        <v>30000</v>
      </c>
      <c r="H165">
        <f t="shared" si="2"/>
        <v>0</v>
      </c>
      <c r="I165">
        <f>COUNTIF(deals_closed!D:D, A165)</f>
        <v>20</v>
      </c>
      <c r="K165" t="str">
        <f>_xlfn.CONCAT(B165, " ",C165)</f>
        <v>Andres Sackett</v>
      </c>
    </row>
    <row r="166" spans="1:11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VLOOKUP(D166,'2018_commission_structure'!$A$2:$C$4,3,FALSE)</f>
        <v>65000</v>
      </c>
      <c r="G166">
        <f>VLOOKUP(D166,'2018_commission_structure'!$A$2:$C$4,2,FALSE)</f>
        <v>30000</v>
      </c>
      <c r="H166">
        <f t="shared" si="2"/>
        <v>0</v>
      </c>
      <c r="I166">
        <f>COUNTIF(deals_closed!D:D, A166)</f>
        <v>21</v>
      </c>
      <c r="K166" t="str">
        <f>_xlfn.CONCAT(B166, " ",C166)</f>
        <v>Teriann Portress</v>
      </c>
    </row>
    <row r="167" spans="1:11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VLOOKUP(D167,'2018_commission_structure'!$A$2:$C$4,3,FALSE)</f>
        <v>125000</v>
      </c>
      <c r="G167">
        <f>VLOOKUP(D167,'2018_commission_structure'!$A$2:$C$4,2,FALSE)</f>
        <v>75000</v>
      </c>
      <c r="H167">
        <f t="shared" si="2"/>
        <v>0</v>
      </c>
      <c r="I167">
        <f>COUNTIF(deals_closed!D:D, A167)</f>
        <v>21</v>
      </c>
      <c r="K167" t="str">
        <f>_xlfn.CONCAT(B167, " ",C167)</f>
        <v>Hobie Munnis</v>
      </c>
    </row>
    <row r="168" spans="1:11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VLOOKUP(D168,'2018_commission_structure'!$A$2:$C$4,3,FALSE)</f>
        <v>65000</v>
      </c>
      <c r="G168">
        <f>VLOOKUP(D168,'2018_commission_structure'!$A$2:$C$4,2,FALSE)</f>
        <v>30000</v>
      </c>
      <c r="H168">
        <f t="shared" si="2"/>
        <v>0</v>
      </c>
      <c r="I168">
        <f>COUNTIF(deals_closed!D:D, A168)</f>
        <v>23</v>
      </c>
      <c r="K168" t="str">
        <f>_xlfn.CONCAT(B168, " ",C168)</f>
        <v>Katlin Garthland</v>
      </c>
    </row>
    <row r="169" spans="1:11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VLOOKUP(D169,'2018_commission_structure'!$A$2:$C$4,3,FALSE)</f>
        <v>80000</v>
      </c>
      <c r="G169">
        <f>VLOOKUP(D169,'2018_commission_structure'!$A$2:$C$4,2,FALSE)</f>
        <v>50000</v>
      </c>
      <c r="H169">
        <f t="shared" si="2"/>
        <v>0</v>
      </c>
      <c r="I169">
        <f>COUNTIF(deals_closed!D:D, A169)</f>
        <v>22</v>
      </c>
      <c r="K169" t="str">
        <f>_xlfn.CONCAT(B169, " ",C169)</f>
        <v>Jo ann Laurand</v>
      </c>
    </row>
    <row r="170" spans="1:11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VLOOKUP(D170,'2018_commission_structure'!$A$2:$C$4,3,FALSE)</f>
        <v>80000</v>
      </c>
      <c r="G170">
        <f>VLOOKUP(D170,'2018_commission_structure'!$A$2:$C$4,2,FALSE)</f>
        <v>50000</v>
      </c>
      <c r="H170">
        <f t="shared" si="2"/>
        <v>0</v>
      </c>
      <c r="I170">
        <f>COUNTIF(deals_closed!D:D, A170)</f>
        <v>13</v>
      </c>
      <c r="K170" t="str">
        <f>_xlfn.CONCAT(B170, " ",C170)</f>
        <v>Estele Murcott</v>
      </c>
    </row>
    <row r="171" spans="1:11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VLOOKUP(D171,'2018_commission_structure'!$A$2:$C$4,3,FALSE)</f>
        <v>80000</v>
      </c>
      <c r="G171">
        <f>VLOOKUP(D171,'2018_commission_structure'!$A$2:$C$4,2,FALSE)</f>
        <v>50000</v>
      </c>
      <c r="H171">
        <f t="shared" si="2"/>
        <v>0</v>
      </c>
      <c r="I171">
        <f>COUNTIF(deals_closed!D:D, A171)</f>
        <v>18</v>
      </c>
      <c r="K171" t="str">
        <f>_xlfn.CONCAT(B171, " ",C171)</f>
        <v>Keven Chatters</v>
      </c>
    </row>
    <row r="172" spans="1:11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VLOOKUP(D172,'2018_commission_structure'!$A$2:$C$4,3,FALSE)</f>
        <v>80000</v>
      </c>
      <c r="G172">
        <f>VLOOKUP(D172,'2018_commission_structure'!$A$2:$C$4,2,FALSE)</f>
        <v>50000</v>
      </c>
      <c r="H172">
        <f t="shared" si="2"/>
        <v>0</v>
      </c>
      <c r="I172">
        <f>COUNTIF(deals_closed!D:D, A172)</f>
        <v>23</v>
      </c>
      <c r="K172" t="str">
        <f>_xlfn.CONCAT(B172, " ",C172)</f>
        <v>Brien Prate</v>
      </c>
    </row>
    <row r="173" spans="1:11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VLOOKUP(D173,'2018_commission_structure'!$A$2:$C$4,3,FALSE)</f>
        <v>125000</v>
      </c>
      <c r="G173">
        <f>VLOOKUP(D173,'2018_commission_structure'!$A$2:$C$4,2,FALSE)</f>
        <v>75000</v>
      </c>
      <c r="H173">
        <f t="shared" si="2"/>
        <v>0</v>
      </c>
      <c r="I173">
        <f>COUNTIF(deals_closed!D:D, A173)</f>
        <v>15</v>
      </c>
      <c r="K173" t="str">
        <f>_xlfn.CONCAT(B173, " ",C173)</f>
        <v>Chev McConnal</v>
      </c>
    </row>
    <row r="174" spans="1:11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VLOOKUP(D174,'2018_commission_structure'!$A$2:$C$4,3,FALSE)</f>
        <v>65000</v>
      </c>
      <c r="G174">
        <f>VLOOKUP(D174,'2018_commission_structure'!$A$2:$C$4,2,FALSE)</f>
        <v>30000</v>
      </c>
      <c r="H174">
        <f t="shared" si="2"/>
        <v>0</v>
      </c>
      <c r="I174">
        <f>COUNTIF(deals_closed!D:D, A174)</f>
        <v>19</v>
      </c>
      <c r="K174" t="str">
        <f>_xlfn.CONCAT(B174, " ",C174)</f>
        <v>Clemmie Harrap</v>
      </c>
    </row>
    <row r="175" spans="1:11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VLOOKUP(D175,'2018_commission_structure'!$A$2:$C$4,3,FALSE)</f>
        <v>125000</v>
      </c>
      <c r="G175">
        <f>VLOOKUP(D175,'2018_commission_structure'!$A$2:$C$4,2,FALSE)</f>
        <v>75000</v>
      </c>
      <c r="H175">
        <f t="shared" si="2"/>
        <v>0</v>
      </c>
      <c r="I175">
        <f>COUNTIF(deals_closed!D:D, A175)</f>
        <v>23</v>
      </c>
      <c r="K175" t="str">
        <f>_xlfn.CONCAT(B175, " ",C175)</f>
        <v>Shelley Schuh</v>
      </c>
    </row>
    <row r="176" spans="1:11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VLOOKUP(D176,'2018_commission_structure'!$A$2:$C$4,3,FALSE)</f>
        <v>125000</v>
      </c>
      <c r="G176">
        <f>VLOOKUP(D176,'2018_commission_structure'!$A$2:$C$4,2,FALSE)</f>
        <v>75000</v>
      </c>
      <c r="H176">
        <f t="shared" si="2"/>
        <v>0</v>
      </c>
      <c r="I176">
        <f>COUNTIF(deals_closed!D:D, A176)</f>
        <v>22</v>
      </c>
      <c r="K176" t="str">
        <f>_xlfn.CONCAT(B176, " ",C176)</f>
        <v>Leilah Elsy</v>
      </c>
    </row>
    <row r="177" spans="1:11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VLOOKUP(D177,'2018_commission_structure'!$A$2:$C$4,3,FALSE)</f>
        <v>65000</v>
      </c>
      <c r="G177">
        <f>VLOOKUP(D177,'2018_commission_structure'!$A$2:$C$4,2,FALSE)</f>
        <v>30000</v>
      </c>
      <c r="H177">
        <f t="shared" si="2"/>
        <v>0</v>
      </c>
      <c r="I177">
        <f>COUNTIF(deals_closed!D:D, A177)</f>
        <v>21</v>
      </c>
      <c r="K177" t="str">
        <f>_xlfn.CONCAT(B177, " ",C177)</f>
        <v>Raviv Jandel</v>
      </c>
    </row>
    <row r="178" spans="1:11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VLOOKUP(D178,'2018_commission_structure'!$A$2:$C$4,3,FALSE)</f>
        <v>125000</v>
      </c>
      <c r="G178">
        <f>VLOOKUP(D178,'2018_commission_structure'!$A$2:$C$4,2,FALSE)</f>
        <v>75000</v>
      </c>
      <c r="H178">
        <f t="shared" si="2"/>
        <v>0</v>
      </c>
      <c r="I178">
        <f>COUNTIF(deals_closed!D:D, A178)</f>
        <v>22</v>
      </c>
      <c r="K178" t="str">
        <f>_xlfn.CONCAT(B178, " ",C178)</f>
        <v>Filmore Kinvig</v>
      </c>
    </row>
    <row r="179" spans="1:11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VLOOKUP(D179,'2018_commission_structure'!$A$2:$C$4,3,FALSE)</f>
        <v>125000</v>
      </c>
      <c r="G179">
        <f>VLOOKUP(D179,'2018_commission_structure'!$A$2:$C$4,2,FALSE)</f>
        <v>75000</v>
      </c>
      <c r="H179">
        <f t="shared" si="2"/>
        <v>0</v>
      </c>
      <c r="I179">
        <f>COUNTIF(deals_closed!D:D, A179)</f>
        <v>25</v>
      </c>
      <c r="K179" t="str">
        <f>_xlfn.CONCAT(B179, " ",C179)</f>
        <v>Inger Chatenet</v>
      </c>
    </row>
    <row r="180" spans="1:11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VLOOKUP(D180,'2018_commission_structure'!$A$2:$C$4,3,FALSE)</f>
        <v>125000</v>
      </c>
      <c r="G180">
        <f>VLOOKUP(D180,'2018_commission_structure'!$A$2:$C$4,2,FALSE)</f>
        <v>75000</v>
      </c>
      <c r="H180">
        <f t="shared" si="2"/>
        <v>0</v>
      </c>
      <c r="I180">
        <f>COUNTIF(deals_closed!D:D, A180)</f>
        <v>16</v>
      </c>
      <c r="K180" t="str">
        <f>_xlfn.CONCAT(B180, " ",C180)</f>
        <v>Coleman Blunderfield</v>
      </c>
    </row>
    <row r="181" spans="1:11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VLOOKUP(D181,'2018_commission_structure'!$A$2:$C$4,3,FALSE)</f>
        <v>80000</v>
      </c>
      <c r="G181">
        <f>VLOOKUP(D181,'2018_commission_structure'!$A$2:$C$4,2,FALSE)</f>
        <v>50000</v>
      </c>
      <c r="H181">
        <f t="shared" si="2"/>
        <v>0</v>
      </c>
      <c r="I181">
        <f>COUNTIF(deals_closed!D:D, A181)</f>
        <v>23</v>
      </c>
      <c r="K181" t="str">
        <f>_xlfn.CONCAT(B181, " ",C181)</f>
        <v>Cate Devall</v>
      </c>
    </row>
    <row r="182" spans="1:11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VLOOKUP(D182,'2018_commission_structure'!$A$2:$C$4,3,FALSE)</f>
        <v>80000</v>
      </c>
      <c r="G182">
        <f>VLOOKUP(D182,'2018_commission_structure'!$A$2:$C$4,2,FALSE)</f>
        <v>50000</v>
      </c>
      <c r="H182">
        <f t="shared" si="2"/>
        <v>0</v>
      </c>
      <c r="I182">
        <f>COUNTIF(deals_closed!D:D, A182)</f>
        <v>12</v>
      </c>
      <c r="K182" t="str">
        <f>_xlfn.CONCAT(B182, " ",C182)</f>
        <v>Mathew Russ</v>
      </c>
    </row>
    <row r="183" spans="1:11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VLOOKUP(D183,'2018_commission_structure'!$A$2:$C$4,3,FALSE)</f>
        <v>80000</v>
      </c>
      <c r="G183">
        <f>VLOOKUP(D183,'2018_commission_structure'!$A$2:$C$4,2,FALSE)</f>
        <v>50000</v>
      </c>
      <c r="H183">
        <f t="shared" si="2"/>
        <v>0</v>
      </c>
      <c r="I183">
        <f>COUNTIF(deals_closed!D:D, A183)</f>
        <v>19</v>
      </c>
      <c r="K183" t="str">
        <f>_xlfn.CONCAT(B183, " ",C183)</f>
        <v>Marlon Rhodus</v>
      </c>
    </row>
    <row r="184" spans="1:11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VLOOKUP(D184,'2018_commission_structure'!$A$2:$C$4,3,FALSE)</f>
        <v>65000</v>
      </c>
      <c r="G184">
        <f>VLOOKUP(D184,'2018_commission_structure'!$A$2:$C$4,2,FALSE)</f>
        <v>30000</v>
      </c>
      <c r="H184">
        <f t="shared" si="2"/>
        <v>0</v>
      </c>
      <c r="I184">
        <f>COUNTIF(deals_closed!D:D, A184)</f>
        <v>26</v>
      </c>
      <c r="K184" t="str">
        <f>_xlfn.CONCAT(B184, " ",C184)</f>
        <v>Mattias Cheers</v>
      </c>
    </row>
    <row r="185" spans="1:11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VLOOKUP(D185,'2018_commission_structure'!$A$2:$C$4,3,FALSE)</f>
        <v>125000</v>
      </c>
      <c r="G185">
        <f>VLOOKUP(D185,'2018_commission_structure'!$A$2:$C$4,2,FALSE)</f>
        <v>75000</v>
      </c>
      <c r="H185">
        <f t="shared" si="2"/>
        <v>0</v>
      </c>
      <c r="I185">
        <f>COUNTIF(deals_closed!D:D, A185)</f>
        <v>29</v>
      </c>
      <c r="K185" t="str">
        <f>_xlfn.CONCAT(B185, " ",C185)</f>
        <v>Ranice Exton</v>
      </c>
    </row>
    <row r="186" spans="1:11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VLOOKUP(D186,'2018_commission_structure'!$A$2:$C$4,3,FALSE)</f>
        <v>80000</v>
      </c>
      <c r="G186">
        <f>VLOOKUP(D186,'2018_commission_structure'!$A$2:$C$4,2,FALSE)</f>
        <v>50000</v>
      </c>
      <c r="H186">
        <f t="shared" si="2"/>
        <v>0</v>
      </c>
      <c r="I186">
        <f>COUNTIF(deals_closed!D:D, A186)</f>
        <v>22</v>
      </c>
      <c r="K186" t="str">
        <f>_xlfn.CONCAT(B186, " ",C186)</f>
        <v>Beverlie Viccary</v>
      </c>
    </row>
    <row r="187" spans="1:11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VLOOKUP(D187,'2018_commission_structure'!$A$2:$C$4,3,FALSE)</f>
        <v>65000</v>
      </c>
      <c r="G187">
        <f>VLOOKUP(D187,'2018_commission_structure'!$A$2:$C$4,2,FALSE)</f>
        <v>30000</v>
      </c>
      <c r="H187">
        <f t="shared" si="2"/>
        <v>0</v>
      </c>
      <c r="I187">
        <f>COUNTIF(deals_closed!D:D, A187)</f>
        <v>19</v>
      </c>
      <c r="K187" t="str">
        <f>_xlfn.CONCAT(B187, " ",C187)</f>
        <v>Jana Polding</v>
      </c>
    </row>
    <row r="188" spans="1:11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VLOOKUP(D188,'2018_commission_structure'!$A$2:$C$4,3,FALSE)</f>
        <v>65000</v>
      </c>
      <c r="G188">
        <f>VLOOKUP(D188,'2018_commission_structure'!$A$2:$C$4,2,FALSE)</f>
        <v>30000</v>
      </c>
      <c r="H188">
        <f t="shared" si="2"/>
        <v>0</v>
      </c>
      <c r="I188">
        <f>COUNTIF(deals_closed!D:D, A188)</f>
        <v>20</v>
      </c>
      <c r="K188" t="str">
        <f>_xlfn.CONCAT(B188, " ",C188)</f>
        <v>Durant Poag</v>
      </c>
    </row>
    <row r="189" spans="1:11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VLOOKUP(D189,'2018_commission_structure'!$A$2:$C$4,3,FALSE)</f>
        <v>65000</v>
      </c>
      <c r="G189">
        <f>VLOOKUP(D189,'2018_commission_structure'!$A$2:$C$4,2,FALSE)</f>
        <v>30000</v>
      </c>
      <c r="H189">
        <f t="shared" si="2"/>
        <v>0</v>
      </c>
      <c r="I189">
        <f>COUNTIF(deals_closed!D:D, A189)</f>
        <v>23</v>
      </c>
      <c r="K189" t="str">
        <f>_xlfn.CONCAT(B189, " ",C189)</f>
        <v>Vanni Cheston</v>
      </c>
    </row>
    <row r="190" spans="1:11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VLOOKUP(D190,'2018_commission_structure'!$A$2:$C$4,3,FALSE)</f>
        <v>125000</v>
      </c>
      <c r="G190">
        <f>VLOOKUP(D190,'2018_commission_structure'!$A$2:$C$4,2,FALSE)</f>
        <v>75000</v>
      </c>
      <c r="H190">
        <f t="shared" si="2"/>
        <v>0</v>
      </c>
      <c r="I190">
        <f>COUNTIF(deals_closed!D:D, A190)</f>
        <v>18</v>
      </c>
      <c r="K190" t="str">
        <f>_xlfn.CONCAT(B190, " ",C190)</f>
        <v>Massimiliano McIver</v>
      </c>
    </row>
    <row r="191" spans="1:11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VLOOKUP(D191,'2018_commission_structure'!$A$2:$C$4,3,FALSE)</f>
        <v>125000</v>
      </c>
      <c r="G191">
        <f>VLOOKUP(D191,'2018_commission_structure'!$A$2:$C$4,2,FALSE)</f>
        <v>75000</v>
      </c>
      <c r="H191">
        <f t="shared" si="2"/>
        <v>0</v>
      </c>
      <c r="I191">
        <f>COUNTIF(deals_closed!D:D, A191)</f>
        <v>14</v>
      </c>
      <c r="K191" t="str">
        <f>_xlfn.CONCAT(B191, " ",C191)</f>
        <v>Giffer Toke</v>
      </c>
    </row>
    <row r="192" spans="1:11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VLOOKUP(D192,'2018_commission_structure'!$A$2:$C$4,3,FALSE)</f>
        <v>125000</v>
      </c>
      <c r="G192">
        <f>VLOOKUP(D192,'2018_commission_structure'!$A$2:$C$4,2,FALSE)</f>
        <v>75000</v>
      </c>
      <c r="H192">
        <f t="shared" si="2"/>
        <v>0</v>
      </c>
      <c r="I192">
        <f>COUNTIF(deals_closed!D:D, A192)</f>
        <v>21</v>
      </c>
      <c r="K192" t="str">
        <f>_xlfn.CONCAT(B192, " ",C192)</f>
        <v>Raquel Beelby</v>
      </c>
    </row>
    <row r="193" spans="1:11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VLOOKUP(D193,'2018_commission_structure'!$A$2:$C$4,3,FALSE)</f>
        <v>65000</v>
      </c>
      <c r="G193">
        <f>VLOOKUP(D193,'2018_commission_structure'!$A$2:$C$4,2,FALSE)</f>
        <v>30000</v>
      </c>
      <c r="H193">
        <f t="shared" si="2"/>
        <v>0</v>
      </c>
      <c r="I193">
        <f>COUNTIF(deals_closed!D:D, A193)</f>
        <v>21</v>
      </c>
      <c r="K193" t="str">
        <f>_xlfn.CONCAT(B193, " ",C193)</f>
        <v>Leyla MacAree</v>
      </c>
    </row>
    <row r="194" spans="1:11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VLOOKUP(D194,'2018_commission_structure'!$A$2:$C$4,3,FALSE)</f>
        <v>80000</v>
      </c>
      <c r="G194">
        <f>VLOOKUP(D194,'2018_commission_structure'!$A$2:$C$4,2,FALSE)</f>
        <v>50000</v>
      </c>
      <c r="H194">
        <f t="shared" si="2"/>
        <v>0</v>
      </c>
      <c r="I194">
        <f>COUNTIF(deals_closed!D:D, A194)</f>
        <v>16</v>
      </c>
      <c r="K194" t="str">
        <f>_xlfn.CONCAT(B194, " ",C194)</f>
        <v>Denys Siggers</v>
      </c>
    </row>
    <row r="195" spans="1:11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VLOOKUP(D195,'2018_commission_structure'!$A$2:$C$4,3,FALSE)</f>
        <v>125000</v>
      </c>
      <c r="G195">
        <f>VLOOKUP(D195,'2018_commission_structure'!$A$2:$C$4,2,FALSE)</f>
        <v>75000</v>
      </c>
      <c r="H195">
        <f t="shared" ref="H195:H258" si="3">IF(AND(E195&gt;=G195,E195&lt;=F195),0,1)</f>
        <v>0</v>
      </c>
      <c r="I195">
        <f>COUNTIF(deals_closed!D:D, A195)</f>
        <v>22</v>
      </c>
      <c r="K195" t="str">
        <f>_xlfn.CONCAT(B195, " ",C195)</f>
        <v>Carmelia Quainton</v>
      </c>
    </row>
    <row r="196" spans="1:11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VLOOKUP(D196,'2018_commission_structure'!$A$2:$C$4,3,FALSE)</f>
        <v>80000</v>
      </c>
      <c r="G196">
        <f>VLOOKUP(D196,'2018_commission_structure'!$A$2:$C$4,2,FALSE)</f>
        <v>50000</v>
      </c>
      <c r="H196">
        <f t="shared" si="3"/>
        <v>0</v>
      </c>
      <c r="I196">
        <f>COUNTIF(deals_closed!D:D, A196)</f>
        <v>21</v>
      </c>
      <c r="K196" t="str">
        <f>_xlfn.CONCAT(B196, " ",C196)</f>
        <v>Vale Lesek</v>
      </c>
    </row>
    <row r="197" spans="1:11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VLOOKUP(D197,'2018_commission_structure'!$A$2:$C$4,3,FALSE)</f>
        <v>80000</v>
      </c>
      <c r="G197">
        <f>VLOOKUP(D197,'2018_commission_structure'!$A$2:$C$4,2,FALSE)</f>
        <v>50000</v>
      </c>
      <c r="H197">
        <f t="shared" si="3"/>
        <v>0</v>
      </c>
      <c r="I197">
        <f>COUNTIF(deals_closed!D:D, A197)</f>
        <v>21</v>
      </c>
      <c r="K197" t="str">
        <f>_xlfn.CONCAT(B197, " ",C197)</f>
        <v>Gonzalo Dudson</v>
      </c>
    </row>
    <row r="198" spans="1:11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VLOOKUP(D198,'2018_commission_structure'!$A$2:$C$4,3,FALSE)</f>
        <v>65000</v>
      </c>
      <c r="G198">
        <f>VLOOKUP(D198,'2018_commission_structure'!$A$2:$C$4,2,FALSE)</f>
        <v>30000</v>
      </c>
      <c r="H198">
        <f t="shared" si="3"/>
        <v>0</v>
      </c>
      <c r="I198">
        <f>COUNTIF(deals_closed!D:D, A198)</f>
        <v>24</v>
      </c>
      <c r="K198" t="str">
        <f>_xlfn.CONCAT(B198, " ",C198)</f>
        <v>Glenn Gillespie</v>
      </c>
    </row>
    <row r="199" spans="1:11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VLOOKUP(D199,'2018_commission_structure'!$A$2:$C$4,3,FALSE)</f>
        <v>65000</v>
      </c>
      <c r="G199">
        <f>VLOOKUP(D199,'2018_commission_structure'!$A$2:$C$4,2,FALSE)</f>
        <v>30000</v>
      </c>
      <c r="H199">
        <f t="shared" si="3"/>
        <v>0</v>
      </c>
      <c r="I199">
        <f>COUNTIF(deals_closed!D:D, A199)</f>
        <v>17</v>
      </c>
      <c r="K199" t="str">
        <f>_xlfn.CONCAT(B199, " ",C199)</f>
        <v>Gris Dewsnap</v>
      </c>
    </row>
    <row r="200" spans="1:11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VLOOKUP(D200,'2018_commission_structure'!$A$2:$C$4,3,FALSE)</f>
        <v>80000</v>
      </c>
      <c r="G200">
        <f>VLOOKUP(D200,'2018_commission_structure'!$A$2:$C$4,2,FALSE)</f>
        <v>50000</v>
      </c>
      <c r="H200">
        <f t="shared" si="3"/>
        <v>0</v>
      </c>
      <c r="I200">
        <f>COUNTIF(deals_closed!D:D, A200)</f>
        <v>23</v>
      </c>
      <c r="K200" t="str">
        <f>_xlfn.CONCAT(B200, " ",C200)</f>
        <v>Izak Newbigging</v>
      </c>
    </row>
    <row r="201" spans="1:11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VLOOKUP(D201,'2018_commission_structure'!$A$2:$C$4,3,FALSE)</f>
        <v>65000</v>
      </c>
      <c r="G201">
        <f>VLOOKUP(D201,'2018_commission_structure'!$A$2:$C$4,2,FALSE)</f>
        <v>30000</v>
      </c>
      <c r="H201">
        <f t="shared" si="3"/>
        <v>0</v>
      </c>
      <c r="I201">
        <f>COUNTIF(deals_closed!D:D, A201)</f>
        <v>22</v>
      </c>
      <c r="K201" t="str">
        <f>_xlfn.CONCAT(B201, " ",C201)</f>
        <v>Elsey Sanchez</v>
      </c>
    </row>
    <row r="202" spans="1:11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VLOOKUP(D202,'2018_commission_structure'!$A$2:$C$4,3,FALSE)</f>
        <v>125000</v>
      </c>
      <c r="G202">
        <f>VLOOKUP(D202,'2018_commission_structure'!$A$2:$C$4,2,FALSE)</f>
        <v>75000</v>
      </c>
      <c r="H202">
        <f t="shared" si="3"/>
        <v>0</v>
      </c>
      <c r="I202">
        <f>COUNTIF(deals_closed!D:D, A202)</f>
        <v>32</v>
      </c>
      <c r="K202" t="str">
        <f>_xlfn.CONCAT(B202, " ",C202)</f>
        <v>Rafaela Neagle</v>
      </c>
    </row>
    <row r="203" spans="1:11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VLOOKUP(D203,'2018_commission_structure'!$A$2:$C$4,3,FALSE)</f>
        <v>125000</v>
      </c>
      <c r="G203">
        <f>VLOOKUP(D203,'2018_commission_structure'!$A$2:$C$4,2,FALSE)</f>
        <v>75000</v>
      </c>
      <c r="H203">
        <f t="shared" si="3"/>
        <v>0</v>
      </c>
      <c r="I203">
        <f>COUNTIF(deals_closed!D:D, A203)</f>
        <v>16</v>
      </c>
      <c r="K203" t="str">
        <f>_xlfn.CONCAT(B203, " ",C203)</f>
        <v>Orel Henrie</v>
      </c>
    </row>
    <row r="204" spans="1:11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VLOOKUP(D204,'2018_commission_structure'!$A$2:$C$4,3,FALSE)</f>
        <v>65000</v>
      </c>
      <c r="G204">
        <f>VLOOKUP(D204,'2018_commission_structure'!$A$2:$C$4,2,FALSE)</f>
        <v>30000</v>
      </c>
      <c r="H204">
        <f t="shared" si="3"/>
        <v>0</v>
      </c>
      <c r="I204">
        <f>COUNTIF(deals_closed!D:D, A204)</f>
        <v>13</v>
      </c>
      <c r="K204" t="str">
        <f>_xlfn.CONCAT(B204, " ",C204)</f>
        <v>Farand Okie</v>
      </c>
    </row>
    <row r="205" spans="1:11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VLOOKUP(D205,'2018_commission_structure'!$A$2:$C$4,3,FALSE)</f>
        <v>80000</v>
      </c>
      <c r="G205">
        <f>VLOOKUP(D205,'2018_commission_structure'!$A$2:$C$4,2,FALSE)</f>
        <v>50000</v>
      </c>
      <c r="H205">
        <f t="shared" si="3"/>
        <v>0</v>
      </c>
      <c r="I205">
        <f>COUNTIF(deals_closed!D:D, A205)</f>
        <v>32</v>
      </c>
      <c r="K205" t="str">
        <f>_xlfn.CONCAT(B205, " ",C205)</f>
        <v>Pietrek Eborn</v>
      </c>
    </row>
    <row r="206" spans="1:11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VLOOKUP(D206,'2018_commission_structure'!$A$2:$C$4,3,FALSE)</f>
        <v>80000</v>
      </c>
      <c r="G206">
        <f>VLOOKUP(D206,'2018_commission_structure'!$A$2:$C$4,2,FALSE)</f>
        <v>50000</v>
      </c>
      <c r="H206">
        <f t="shared" si="3"/>
        <v>0</v>
      </c>
      <c r="I206">
        <f>COUNTIF(deals_closed!D:D, A206)</f>
        <v>22</v>
      </c>
      <c r="K206" t="str">
        <f>_xlfn.CONCAT(B206, " ",C206)</f>
        <v>Lefty Tatteshall</v>
      </c>
    </row>
    <row r="207" spans="1:11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VLOOKUP(D207,'2018_commission_structure'!$A$2:$C$4,3,FALSE)</f>
        <v>65000</v>
      </c>
      <c r="G207">
        <f>VLOOKUP(D207,'2018_commission_structure'!$A$2:$C$4,2,FALSE)</f>
        <v>30000</v>
      </c>
      <c r="H207">
        <f t="shared" si="3"/>
        <v>0</v>
      </c>
      <c r="I207">
        <f>COUNTIF(deals_closed!D:D, A207)</f>
        <v>24</v>
      </c>
      <c r="K207" t="str">
        <f>_xlfn.CONCAT(B207, " ",C207)</f>
        <v>Horton Stretton</v>
      </c>
    </row>
    <row r="208" spans="1:11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VLOOKUP(D208,'2018_commission_structure'!$A$2:$C$4,3,FALSE)</f>
        <v>65000</v>
      </c>
      <c r="G208">
        <f>VLOOKUP(D208,'2018_commission_structure'!$A$2:$C$4,2,FALSE)</f>
        <v>30000</v>
      </c>
      <c r="H208">
        <f t="shared" si="3"/>
        <v>0</v>
      </c>
      <c r="I208">
        <f>COUNTIF(deals_closed!D:D, A208)</f>
        <v>14</v>
      </c>
      <c r="K208" t="str">
        <f>_xlfn.CONCAT(B208, " ",C208)</f>
        <v>Gale Batchelder</v>
      </c>
    </row>
    <row r="209" spans="1:11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VLOOKUP(D209,'2018_commission_structure'!$A$2:$C$4,3,FALSE)</f>
        <v>80000</v>
      </c>
      <c r="G209">
        <f>VLOOKUP(D209,'2018_commission_structure'!$A$2:$C$4,2,FALSE)</f>
        <v>50000</v>
      </c>
      <c r="H209">
        <f t="shared" si="3"/>
        <v>0</v>
      </c>
      <c r="I209">
        <f>COUNTIF(deals_closed!D:D, A209)</f>
        <v>25</v>
      </c>
      <c r="K209" t="str">
        <f>_xlfn.CONCAT(B209, " ",C209)</f>
        <v>Hynda Smee</v>
      </c>
    </row>
    <row r="210" spans="1:11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VLOOKUP(D210,'2018_commission_structure'!$A$2:$C$4,3,FALSE)</f>
        <v>80000</v>
      </c>
      <c r="G210">
        <f>VLOOKUP(D210,'2018_commission_structure'!$A$2:$C$4,2,FALSE)</f>
        <v>50000</v>
      </c>
      <c r="H210">
        <f t="shared" si="3"/>
        <v>0</v>
      </c>
      <c r="I210">
        <f>COUNTIF(deals_closed!D:D, A210)</f>
        <v>22</v>
      </c>
      <c r="K210" t="str">
        <f>_xlfn.CONCAT(B210, " ",C210)</f>
        <v>Kial Cuchey</v>
      </c>
    </row>
    <row r="211" spans="1:11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VLOOKUP(D211,'2018_commission_structure'!$A$2:$C$4,3,FALSE)</f>
        <v>80000</v>
      </c>
      <c r="G211">
        <f>VLOOKUP(D211,'2018_commission_structure'!$A$2:$C$4,2,FALSE)</f>
        <v>50000</v>
      </c>
      <c r="H211">
        <f t="shared" si="3"/>
        <v>0</v>
      </c>
      <c r="I211">
        <f>COUNTIF(deals_closed!D:D, A211)</f>
        <v>10</v>
      </c>
      <c r="K211" t="str">
        <f>_xlfn.CONCAT(B211, " ",C211)</f>
        <v>Standford Searight</v>
      </c>
    </row>
    <row r="212" spans="1:11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VLOOKUP(D212,'2018_commission_structure'!$A$2:$C$4,3,FALSE)</f>
        <v>80000</v>
      </c>
      <c r="G212">
        <f>VLOOKUP(D212,'2018_commission_structure'!$A$2:$C$4,2,FALSE)</f>
        <v>50000</v>
      </c>
      <c r="H212">
        <f t="shared" si="3"/>
        <v>0</v>
      </c>
      <c r="I212">
        <f>COUNTIF(deals_closed!D:D, A212)</f>
        <v>21</v>
      </c>
      <c r="K212" t="str">
        <f>_xlfn.CONCAT(B212, " ",C212)</f>
        <v>Emanuel Devita</v>
      </c>
    </row>
    <row r="213" spans="1:11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VLOOKUP(D213,'2018_commission_structure'!$A$2:$C$4,3,FALSE)</f>
        <v>125000</v>
      </c>
      <c r="G213">
        <f>VLOOKUP(D213,'2018_commission_structure'!$A$2:$C$4,2,FALSE)</f>
        <v>75000</v>
      </c>
      <c r="H213">
        <f t="shared" si="3"/>
        <v>0</v>
      </c>
      <c r="I213">
        <f>COUNTIF(deals_closed!D:D, A213)</f>
        <v>21</v>
      </c>
      <c r="K213" t="str">
        <f>_xlfn.CONCAT(B213, " ",C213)</f>
        <v>Kit Tivolier</v>
      </c>
    </row>
    <row r="214" spans="1:11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VLOOKUP(D214,'2018_commission_structure'!$A$2:$C$4,3,FALSE)</f>
        <v>125000</v>
      </c>
      <c r="G214">
        <f>VLOOKUP(D214,'2018_commission_structure'!$A$2:$C$4,2,FALSE)</f>
        <v>75000</v>
      </c>
      <c r="H214">
        <f t="shared" si="3"/>
        <v>0</v>
      </c>
      <c r="I214">
        <f>COUNTIF(deals_closed!D:D, A214)</f>
        <v>21</v>
      </c>
      <c r="K214" t="str">
        <f>_xlfn.CONCAT(B214, " ",C214)</f>
        <v>Zonda Pipes</v>
      </c>
    </row>
    <row r="215" spans="1:11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VLOOKUP(D215,'2018_commission_structure'!$A$2:$C$4,3,FALSE)</f>
        <v>65000</v>
      </c>
      <c r="G215">
        <f>VLOOKUP(D215,'2018_commission_structure'!$A$2:$C$4,2,FALSE)</f>
        <v>30000</v>
      </c>
      <c r="H215">
        <f t="shared" si="3"/>
        <v>0</v>
      </c>
      <c r="I215">
        <f>COUNTIF(deals_closed!D:D, A215)</f>
        <v>23</v>
      </c>
      <c r="K215" t="str">
        <f>_xlfn.CONCAT(B215, " ",C215)</f>
        <v>Queenie De la Harpe</v>
      </c>
    </row>
    <row r="216" spans="1:11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VLOOKUP(D216,'2018_commission_structure'!$A$2:$C$4,3,FALSE)</f>
        <v>80000</v>
      </c>
      <c r="G216">
        <f>VLOOKUP(D216,'2018_commission_structure'!$A$2:$C$4,2,FALSE)</f>
        <v>50000</v>
      </c>
      <c r="H216">
        <f t="shared" si="3"/>
        <v>0</v>
      </c>
      <c r="I216">
        <f>COUNTIF(deals_closed!D:D, A216)</f>
        <v>15</v>
      </c>
      <c r="K216" t="str">
        <f>_xlfn.CONCAT(B216, " ",C216)</f>
        <v>Orelle Krink</v>
      </c>
    </row>
    <row r="217" spans="1:11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VLOOKUP(D217,'2018_commission_structure'!$A$2:$C$4,3,FALSE)</f>
        <v>80000</v>
      </c>
      <c r="G217">
        <f>VLOOKUP(D217,'2018_commission_structure'!$A$2:$C$4,2,FALSE)</f>
        <v>50000</v>
      </c>
      <c r="H217">
        <f t="shared" si="3"/>
        <v>0</v>
      </c>
      <c r="I217">
        <f>COUNTIF(deals_closed!D:D, A217)</f>
        <v>22</v>
      </c>
      <c r="K217" t="str">
        <f>_xlfn.CONCAT(B217, " ",C217)</f>
        <v>Franni Clemencet</v>
      </c>
    </row>
    <row r="218" spans="1:11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VLOOKUP(D218,'2018_commission_structure'!$A$2:$C$4,3,FALSE)</f>
        <v>80000</v>
      </c>
      <c r="G218">
        <f>VLOOKUP(D218,'2018_commission_structure'!$A$2:$C$4,2,FALSE)</f>
        <v>50000</v>
      </c>
      <c r="H218">
        <f t="shared" si="3"/>
        <v>0</v>
      </c>
      <c r="I218">
        <f>COUNTIF(deals_closed!D:D, A218)</f>
        <v>19</v>
      </c>
      <c r="K218" t="str">
        <f>_xlfn.CONCAT(B218, " ",C218)</f>
        <v>Lyle Stoyles</v>
      </c>
    </row>
    <row r="219" spans="1:11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VLOOKUP(D219,'2018_commission_structure'!$A$2:$C$4,3,FALSE)</f>
        <v>65000</v>
      </c>
      <c r="G219">
        <f>VLOOKUP(D219,'2018_commission_structure'!$A$2:$C$4,2,FALSE)</f>
        <v>30000</v>
      </c>
      <c r="H219">
        <f t="shared" si="3"/>
        <v>0</v>
      </c>
      <c r="I219">
        <f>COUNTIF(deals_closed!D:D, A219)</f>
        <v>19</v>
      </c>
      <c r="K219" t="str">
        <f>_xlfn.CONCAT(B219, " ",C219)</f>
        <v>Damon Albisser</v>
      </c>
    </row>
    <row r="220" spans="1:11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VLOOKUP(D220,'2018_commission_structure'!$A$2:$C$4,3,FALSE)</f>
        <v>80000</v>
      </c>
      <c r="G220">
        <f>VLOOKUP(D220,'2018_commission_structure'!$A$2:$C$4,2,FALSE)</f>
        <v>50000</v>
      </c>
      <c r="H220">
        <f t="shared" si="3"/>
        <v>0</v>
      </c>
      <c r="I220">
        <f>COUNTIF(deals_closed!D:D, A220)</f>
        <v>17</v>
      </c>
      <c r="K220" t="str">
        <f>_xlfn.CONCAT(B220, " ",C220)</f>
        <v>Eulalie Bianco</v>
      </c>
    </row>
    <row r="221" spans="1:11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VLOOKUP(D221,'2018_commission_structure'!$A$2:$C$4,3,FALSE)</f>
        <v>65000</v>
      </c>
      <c r="G221">
        <f>VLOOKUP(D221,'2018_commission_structure'!$A$2:$C$4,2,FALSE)</f>
        <v>30000</v>
      </c>
      <c r="H221">
        <f t="shared" si="3"/>
        <v>0</v>
      </c>
      <c r="I221">
        <f>COUNTIF(deals_closed!D:D, A221)</f>
        <v>22</v>
      </c>
      <c r="K221" t="str">
        <f>_xlfn.CONCAT(B221, " ",C221)</f>
        <v>Loretta Churchward</v>
      </c>
    </row>
    <row r="222" spans="1:11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VLOOKUP(D222,'2018_commission_structure'!$A$2:$C$4,3,FALSE)</f>
        <v>65000</v>
      </c>
      <c r="G222">
        <f>VLOOKUP(D222,'2018_commission_structure'!$A$2:$C$4,2,FALSE)</f>
        <v>30000</v>
      </c>
      <c r="H222">
        <f t="shared" si="3"/>
        <v>0</v>
      </c>
      <c r="I222">
        <f>COUNTIF(deals_closed!D:D, A222)</f>
        <v>18</v>
      </c>
      <c r="K222" t="str">
        <f>_xlfn.CONCAT(B222, " ",C222)</f>
        <v>Horatio Franchyonok</v>
      </c>
    </row>
    <row r="223" spans="1:11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VLOOKUP(D223,'2018_commission_structure'!$A$2:$C$4,3,FALSE)</f>
        <v>125000</v>
      </c>
      <c r="G223">
        <f>VLOOKUP(D223,'2018_commission_structure'!$A$2:$C$4,2,FALSE)</f>
        <v>75000</v>
      </c>
      <c r="H223">
        <f t="shared" si="3"/>
        <v>0</v>
      </c>
      <c r="I223">
        <f>COUNTIF(deals_closed!D:D, A223)</f>
        <v>19</v>
      </c>
      <c r="K223" t="str">
        <f>_xlfn.CONCAT(B223, " ",C223)</f>
        <v>Myles Scoggans</v>
      </c>
    </row>
    <row r="224" spans="1:11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VLOOKUP(D224,'2018_commission_structure'!$A$2:$C$4,3,FALSE)</f>
        <v>80000</v>
      </c>
      <c r="G224">
        <f>VLOOKUP(D224,'2018_commission_structure'!$A$2:$C$4,2,FALSE)</f>
        <v>50000</v>
      </c>
      <c r="H224">
        <f t="shared" si="3"/>
        <v>0</v>
      </c>
      <c r="I224">
        <f>COUNTIF(deals_closed!D:D, A224)</f>
        <v>19</v>
      </c>
      <c r="K224" t="str">
        <f>_xlfn.CONCAT(B224, " ",C224)</f>
        <v>Otha Tappor</v>
      </c>
    </row>
    <row r="225" spans="1:11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VLOOKUP(D225,'2018_commission_structure'!$A$2:$C$4,3,FALSE)</f>
        <v>125000</v>
      </c>
      <c r="G225">
        <f>VLOOKUP(D225,'2018_commission_structure'!$A$2:$C$4,2,FALSE)</f>
        <v>75000</v>
      </c>
      <c r="H225">
        <f t="shared" si="3"/>
        <v>0</v>
      </c>
      <c r="I225">
        <f>COUNTIF(deals_closed!D:D, A225)</f>
        <v>13</v>
      </c>
      <c r="K225" t="str">
        <f>_xlfn.CONCAT(B225, " ",C225)</f>
        <v>Merell Larose</v>
      </c>
    </row>
    <row r="226" spans="1:11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VLOOKUP(D226,'2018_commission_structure'!$A$2:$C$4,3,FALSE)</f>
        <v>80000</v>
      </c>
      <c r="G226">
        <f>VLOOKUP(D226,'2018_commission_structure'!$A$2:$C$4,2,FALSE)</f>
        <v>50000</v>
      </c>
      <c r="H226">
        <f t="shared" si="3"/>
        <v>0</v>
      </c>
      <c r="I226">
        <f>COUNTIF(deals_closed!D:D, A226)</f>
        <v>21</v>
      </c>
      <c r="K226" t="str">
        <f>_xlfn.CONCAT(B226, " ",C226)</f>
        <v>Aluino Eble</v>
      </c>
    </row>
    <row r="227" spans="1:11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VLOOKUP(D227,'2018_commission_structure'!$A$2:$C$4,3,FALSE)</f>
        <v>80000</v>
      </c>
      <c r="G227">
        <f>VLOOKUP(D227,'2018_commission_structure'!$A$2:$C$4,2,FALSE)</f>
        <v>50000</v>
      </c>
      <c r="H227">
        <f t="shared" si="3"/>
        <v>0</v>
      </c>
      <c r="I227">
        <f>COUNTIF(deals_closed!D:D, A227)</f>
        <v>16</v>
      </c>
      <c r="K227" t="str">
        <f>_xlfn.CONCAT(B227, " ",C227)</f>
        <v>Hillel Hutley</v>
      </c>
    </row>
    <row r="228" spans="1:11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VLOOKUP(D228,'2018_commission_structure'!$A$2:$C$4,3,FALSE)</f>
        <v>125000</v>
      </c>
      <c r="G228">
        <f>VLOOKUP(D228,'2018_commission_structure'!$A$2:$C$4,2,FALSE)</f>
        <v>75000</v>
      </c>
      <c r="H228">
        <f t="shared" si="3"/>
        <v>0</v>
      </c>
      <c r="I228">
        <f>COUNTIF(deals_closed!D:D, A228)</f>
        <v>20</v>
      </c>
      <c r="K228" t="str">
        <f>_xlfn.CONCAT(B228, " ",C228)</f>
        <v>Tedie Cartmer</v>
      </c>
    </row>
    <row r="229" spans="1:11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VLOOKUP(D229,'2018_commission_structure'!$A$2:$C$4,3,FALSE)</f>
        <v>65000</v>
      </c>
      <c r="G229">
        <f>VLOOKUP(D229,'2018_commission_structure'!$A$2:$C$4,2,FALSE)</f>
        <v>30000</v>
      </c>
      <c r="H229">
        <f t="shared" si="3"/>
        <v>0</v>
      </c>
      <c r="I229">
        <f>COUNTIF(deals_closed!D:D, A229)</f>
        <v>23</v>
      </c>
      <c r="K229" t="str">
        <f>_xlfn.CONCAT(B229, " ",C229)</f>
        <v>Kalindi Carmel</v>
      </c>
    </row>
    <row r="230" spans="1:11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VLOOKUP(D230,'2018_commission_structure'!$A$2:$C$4,3,FALSE)</f>
        <v>125000</v>
      </c>
      <c r="G230">
        <f>VLOOKUP(D230,'2018_commission_structure'!$A$2:$C$4,2,FALSE)</f>
        <v>75000</v>
      </c>
      <c r="H230">
        <f t="shared" si="3"/>
        <v>0</v>
      </c>
      <c r="I230">
        <f>COUNTIF(deals_closed!D:D, A230)</f>
        <v>27</v>
      </c>
      <c r="K230" t="str">
        <f>_xlfn.CONCAT(B230, " ",C230)</f>
        <v>Winfield Lansdowne</v>
      </c>
    </row>
    <row r="231" spans="1:11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VLOOKUP(D231,'2018_commission_structure'!$A$2:$C$4,3,FALSE)</f>
        <v>125000</v>
      </c>
      <c r="G231">
        <f>VLOOKUP(D231,'2018_commission_structure'!$A$2:$C$4,2,FALSE)</f>
        <v>75000</v>
      </c>
      <c r="H231">
        <f t="shared" si="3"/>
        <v>0</v>
      </c>
      <c r="I231">
        <f>COUNTIF(deals_closed!D:D, A231)</f>
        <v>20</v>
      </c>
      <c r="K231" t="str">
        <f>_xlfn.CONCAT(B231, " ",C231)</f>
        <v>Agace Sterry</v>
      </c>
    </row>
    <row r="232" spans="1:11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VLOOKUP(D232,'2018_commission_structure'!$A$2:$C$4,3,FALSE)</f>
        <v>125000</v>
      </c>
      <c r="G232">
        <f>VLOOKUP(D232,'2018_commission_structure'!$A$2:$C$4,2,FALSE)</f>
        <v>75000</v>
      </c>
      <c r="H232">
        <f t="shared" si="3"/>
        <v>0</v>
      </c>
      <c r="I232">
        <f>COUNTIF(deals_closed!D:D, A232)</f>
        <v>15</v>
      </c>
      <c r="K232" t="str">
        <f>_xlfn.CONCAT(B232, " ",C232)</f>
        <v>Steward Arnke</v>
      </c>
    </row>
    <row r="233" spans="1:11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VLOOKUP(D233,'2018_commission_structure'!$A$2:$C$4,3,FALSE)</f>
        <v>80000</v>
      </c>
      <c r="G233">
        <f>VLOOKUP(D233,'2018_commission_structure'!$A$2:$C$4,2,FALSE)</f>
        <v>50000</v>
      </c>
      <c r="H233">
        <f t="shared" si="3"/>
        <v>0</v>
      </c>
      <c r="I233">
        <f>COUNTIF(deals_closed!D:D, A233)</f>
        <v>21</v>
      </c>
      <c r="K233" t="str">
        <f>_xlfn.CONCAT(B233, " ",C233)</f>
        <v>Gennifer Waple</v>
      </c>
    </row>
    <row r="234" spans="1:11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VLOOKUP(D234,'2018_commission_structure'!$A$2:$C$4,3,FALSE)</f>
        <v>65000</v>
      </c>
      <c r="G234">
        <f>VLOOKUP(D234,'2018_commission_structure'!$A$2:$C$4,2,FALSE)</f>
        <v>30000</v>
      </c>
      <c r="H234">
        <f t="shared" si="3"/>
        <v>0</v>
      </c>
      <c r="I234">
        <f>COUNTIF(deals_closed!D:D, A234)</f>
        <v>12</v>
      </c>
      <c r="K234" t="str">
        <f>_xlfn.CONCAT(B234, " ",C234)</f>
        <v>Sharline Tribbeck</v>
      </c>
    </row>
    <row r="235" spans="1:11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VLOOKUP(D235,'2018_commission_structure'!$A$2:$C$4,3,FALSE)</f>
        <v>80000</v>
      </c>
      <c r="G235">
        <f>VLOOKUP(D235,'2018_commission_structure'!$A$2:$C$4,2,FALSE)</f>
        <v>50000</v>
      </c>
      <c r="H235">
        <f t="shared" si="3"/>
        <v>0</v>
      </c>
      <c r="I235">
        <f>COUNTIF(deals_closed!D:D, A235)</f>
        <v>14</v>
      </c>
      <c r="K235" t="str">
        <f>_xlfn.CONCAT(B235, " ",C235)</f>
        <v>Lyn Trewett</v>
      </c>
    </row>
    <row r="236" spans="1:11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VLOOKUP(D236,'2018_commission_structure'!$A$2:$C$4,3,FALSE)</f>
        <v>125000</v>
      </c>
      <c r="G236">
        <f>VLOOKUP(D236,'2018_commission_structure'!$A$2:$C$4,2,FALSE)</f>
        <v>75000</v>
      </c>
      <c r="H236">
        <f t="shared" si="3"/>
        <v>0</v>
      </c>
      <c r="I236">
        <f>COUNTIF(deals_closed!D:D, A236)</f>
        <v>20</v>
      </c>
      <c r="K236" t="str">
        <f>_xlfn.CONCAT(B236, " ",C236)</f>
        <v>Myriam Filby</v>
      </c>
    </row>
    <row r="237" spans="1:11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VLOOKUP(D237,'2018_commission_structure'!$A$2:$C$4,3,FALSE)</f>
        <v>125000</v>
      </c>
      <c r="G237">
        <f>VLOOKUP(D237,'2018_commission_structure'!$A$2:$C$4,2,FALSE)</f>
        <v>75000</v>
      </c>
      <c r="H237">
        <f t="shared" si="3"/>
        <v>0</v>
      </c>
      <c r="I237">
        <f>COUNTIF(deals_closed!D:D, A237)</f>
        <v>22</v>
      </c>
      <c r="K237" t="str">
        <f>_xlfn.CONCAT(B237, " ",C237)</f>
        <v>Jacklin Agiolfinger</v>
      </c>
    </row>
    <row r="238" spans="1:11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VLOOKUP(D238,'2018_commission_structure'!$A$2:$C$4,3,FALSE)</f>
        <v>80000</v>
      </c>
      <c r="G238">
        <f>VLOOKUP(D238,'2018_commission_structure'!$A$2:$C$4,2,FALSE)</f>
        <v>50000</v>
      </c>
      <c r="H238">
        <f t="shared" si="3"/>
        <v>0</v>
      </c>
      <c r="I238">
        <f>COUNTIF(deals_closed!D:D, A238)</f>
        <v>25</v>
      </c>
      <c r="K238" t="str">
        <f>_xlfn.CONCAT(B238, " ",C238)</f>
        <v>Gregoire Corington</v>
      </c>
    </row>
    <row r="239" spans="1:11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VLOOKUP(D239,'2018_commission_structure'!$A$2:$C$4,3,FALSE)</f>
        <v>125000</v>
      </c>
      <c r="G239">
        <f>VLOOKUP(D239,'2018_commission_structure'!$A$2:$C$4,2,FALSE)</f>
        <v>75000</v>
      </c>
      <c r="H239">
        <f t="shared" si="3"/>
        <v>0</v>
      </c>
      <c r="I239">
        <f>COUNTIF(deals_closed!D:D, A239)</f>
        <v>19</v>
      </c>
      <c r="K239" t="str">
        <f>_xlfn.CONCAT(B239, " ",C239)</f>
        <v>Chantalle Fedynski</v>
      </c>
    </row>
    <row r="240" spans="1:11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VLOOKUP(D240,'2018_commission_structure'!$A$2:$C$4,3,FALSE)</f>
        <v>80000</v>
      </c>
      <c r="G240">
        <f>VLOOKUP(D240,'2018_commission_structure'!$A$2:$C$4,2,FALSE)</f>
        <v>50000</v>
      </c>
      <c r="H240">
        <f t="shared" si="3"/>
        <v>0</v>
      </c>
      <c r="I240">
        <f>COUNTIF(deals_closed!D:D, A240)</f>
        <v>23</v>
      </c>
      <c r="K240" t="str">
        <f>_xlfn.CONCAT(B240, " ",C240)</f>
        <v>Stephan Greeve</v>
      </c>
    </row>
    <row r="241" spans="1:11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VLOOKUP(D241,'2018_commission_structure'!$A$2:$C$4,3,FALSE)</f>
        <v>125000</v>
      </c>
      <c r="G241">
        <f>VLOOKUP(D241,'2018_commission_structure'!$A$2:$C$4,2,FALSE)</f>
        <v>75000</v>
      </c>
      <c r="H241">
        <f t="shared" si="3"/>
        <v>0</v>
      </c>
      <c r="I241">
        <f>COUNTIF(deals_closed!D:D, A241)</f>
        <v>14</v>
      </c>
      <c r="K241" t="str">
        <f>_xlfn.CONCAT(B241, " ",C241)</f>
        <v>Kalli Beeze</v>
      </c>
    </row>
    <row r="242" spans="1:11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VLOOKUP(D242,'2018_commission_structure'!$A$2:$C$4,3,FALSE)</f>
        <v>65000</v>
      </c>
      <c r="G242">
        <f>VLOOKUP(D242,'2018_commission_structure'!$A$2:$C$4,2,FALSE)</f>
        <v>30000</v>
      </c>
      <c r="H242">
        <f t="shared" si="3"/>
        <v>0</v>
      </c>
      <c r="I242">
        <f>COUNTIF(deals_closed!D:D, A242)</f>
        <v>19</v>
      </c>
      <c r="K242" t="str">
        <f>_xlfn.CONCAT(B242, " ",C242)</f>
        <v>Laural Teasey</v>
      </c>
    </row>
    <row r="243" spans="1:11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VLOOKUP(D243,'2018_commission_structure'!$A$2:$C$4,3,FALSE)</f>
        <v>80000</v>
      </c>
      <c r="G243">
        <f>VLOOKUP(D243,'2018_commission_structure'!$A$2:$C$4,2,FALSE)</f>
        <v>50000</v>
      </c>
      <c r="H243">
        <f t="shared" si="3"/>
        <v>0</v>
      </c>
      <c r="I243">
        <f>COUNTIF(deals_closed!D:D, A243)</f>
        <v>15</v>
      </c>
      <c r="K243" t="str">
        <f>_xlfn.CONCAT(B243, " ",C243)</f>
        <v>Carmela Fliege</v>
      </c>
    </row>
    <row r="244" spans="1:11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VLOOKUP(D244,'2018_commission_structure'!$A$2:$C$4,3,FALSE)</f>
        <v>65000</v>
      </c>
      <c r="G244">
        <f>VLOOKUP(D244,'2018_commission_structure'!$A$2:$C$4,2,FALSE)</f>
        <v>30000</v>
      </c>
      <c r="H244">
        <f t="shared" si="3"/>
        <v>0</v>
      </c>
      <c r="I244">
        <f>COUNTIF(deals_closed!D:D, A244)</f>
        <v>18</v>
      </c>
      <c r="K244" t="str">
        <f>_xlfn.CONCAT(B244, " ",C244)</f>
        <v>Petronella O' Ronan</v>
      </c>
    </row>
    <row r="245" spans="1:11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VLOOKUP(D245,'2018_commission_structure'!$A$2:$C$4,3,FALSE)</f>
        <v>65000</v>
      </c>
      <c r="G245">
        <f>VLOOKUP(D245,'2018_commission_structure'!$A$2:$C$4,2,FALSE)</f>
        <v>30000</v>
      </c>
      <c r="H245">
        <f t="shared" si="3"/>
        <v>0</v>
      </c>
      <c r="I245">
        <f>COUNTIF(deals_closed!D:D, A245)</f>
        <v>20</v>
      </c>
      <c r="K245" t="str">
        <f>_xlfn.CONCAT(B245, " ",C245)</f>
        <v>Taite Fulk</v>
      </c>
    </row>
    <row r="246" spans="1:11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VLOOKUP(D246,'2018_commission_structure'!$A$2:$C$4,3,FALSE)</f>
        <v>80000</v>
      </c>
      <c r="G246">
        <f>VLOOKUP(D246,'2018_commission_structure'!$A$2:$C$4,2,FALSE)</f>
        <v>50000</v>
      </c>
      <c r="H246">
        <f t="shared" si="3"/>
        <v>0</v>
      </c>
      <c r="I246">
        <f>COUNTIF(deals_closed!D:D, A246)</f>
        <v>20</v>
      </c>
      <c r="K246" t="str">
        <f>_xlfn.CONCAT(B246, " ",C246)</f>
        <v>Crystie Guerrazzi</v>
      </c>
    </row>
    <row r="247" spans="1:11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VLOOKUP(D247,'2018_commission_structure'!$A$2:$C$4,3,FALSE)</f>
        <v>80000</v>
      </c>
      <c r="G247">
        <f>VLOOKUP(D247,'2018_commission_structure'!$A$2:$C$4,2,FALSE)</f>
        <v>50000</v>
      </c>
      <c r="H247">
        <f t="shared" si="3"/>
        <v>0</v>
      </c>
      <c r="I247">
        <f>COUNTIF(deals_closed!D:D, A247)</f>
        <v>19</v>
      </c>
      <c r="K247" t="str">
        <f>_xlfn.CONCAT(B247, " ",C247)</f>
        <v>Nicola Granleese</v>
      </c>
    </row>
    <row r="248" spans="1:11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VLOOKUP(D248,'2018_commission_structure'!$A$2:$C$4,3,FALSE)</f>
        <v>80000</v>
      </c>
      <c r="G248">
        <f>VLOOKUP(D248,'2018_commission_structure'!$A$2:$C$4,2,FALSE)</f>
        <v>50000</v>
      </c>
      <c r="H248">
        <f t="shared" si="3"/>
        <v>0</v>
      </c>
      <c r="I248">
        <f>COUNTIF(deals_closed!D:D, A248)</f>
        <v>15</v>
      </c>
      <c r="K248" t="str">
        <f>_xlfn.CONCAT(B248, " ",C248)</f>
        <v>Grazia Didball</v>
      </c>
    </row>
    <row r="249" spans="1:11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VLOOKUP(D249,'2018_commission_structure'!$A$2:$C$4,3,FALSE)</f>
        <v>80000</v>
      </c>
      <c r="G249">
        <f>VLOOKUP(D249,'2018_commission_structure'!$A$2:$C$4,2,FALSE)</f>
        <v>50000</v>
      </c>
      <c r="H249">
        <f t="shared" si="3"/>
        <v>0</v>
      </c>
      <c r="I249">
        <f>COUNTIF(deals_closed!D:D, A249)</f>
        <v>17</v>
      </c>
      <c r="K249" t="str">
        <f>_xlfn.CONCAT(B249, " ",C249)</f>
        <v>Toma Crisell</v>
      </c>
    </row>
    <row r="250" spans="1:11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VLOOKUP(D250,'2018_commission_structure'!$A$2:$C$4,3,FALSE)</f>
        <v>125000</v>
      </c>
      <c r="G250">
        <f>VLOOKUP(D250,'2018_commission_structure'!$A$2:$C$4,2,FALSE)</f>
        <v>75000</v>
      </c>
      <c r="H250">
        <f t="shared" si="3"/>
        <v>0</v>
      </c>
      <c r="I250">
        <f>COUNTIF(deals_closed!D:D, A250)</f>
        <v>19</v>
      </c>
      <c r="K250" t="str">
        <f>_xlfn.CONCAT(B250, " ",C250)</f>
        <v>Valene Carverhill</v>
      </c>
    </row>
    <row r="251" spans="1:11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VLOOKUP(D251,'2018_commission_structure'!$A$2:$C$4,3,FALSE)</f>
        <v>65000</v>
      </c>
      <c r="G251">
        <f>VLOOKUP(D251,'2018_commission_structure'!$A$2:$C$4,2,FALSE)</f>
        <v>30000</v>
      </c>
      <c r="H251">
        <f t="shared" si="3"/>
        <v>0</v>
      </c>
      <c r="I251">
        <f>COUNTIF(deals_closed!D:D, A251)</f>
        <v>14</v>
      </c>
      <c r="K251" t="str">
        <f>_xlfn.CONCAT(B251, " ",C251)</f>
        <v>Darcey Caldaro</v>
      </c>
    </row>
    <row r="252" spans="1:11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VLOOKUP(D252,'2018_commission_structure'!$A$2:$C$4,3,FALSE)</f>
        <v>125000</v>
      </c>
      <c r="G252">
        <f>VLOOKUP(D252,'2018_commission_structure'!$A$2:$C$4,2,FALSE)</f>
        <v>75000</v>
      </c>
      <c r="H252">
        <f t="shared" si="3"/>
        <v>0</v>
      </c>
      <c r="I252">
        <f>COUNTIF(deals_closed!D:D, A252)</f>
        <v>25</v>
      </c>
      <c r="K252" t="str">
        <f>_xlfn.CONCAT(B252, " ",C252)</f>
        <v>Maynard Krebs</v>
      </c>
    </row>
    <row r="253" spans="1:11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VLOOKUP(D253,'2018_commission_structure'!$A$2:$C$4,3,FALSE)</f>
        <v>80000</v>
      </c>
      <c r="G253">
        <f>VLOOKUP(D253,'2018_commission_structure'!$A$2:$C$4,2,FALSE)</f>
        <v>50000</v>
      </c>
      <c r="H253">
        <f t="shared" si="3"/>
        <v>0</v>
      </c>
      <c r="I253">
        <f>COUNTIF(deals_closed!D:D, A253)</f>
        <v>15</v>
      </c>
      <c r="K253" t="str">
        <f>_xlfn.CONCAT(B253, " ",C253)</f>
        <v>Felita Melpuss</v>
      </c>
    </row>
    <row r="254" spans="1:11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VLOOKUP(D254,'2018_commission_structure'!$A$2:$C$4,3,FALSE)</f>
        <v>65000</v>
      </c>
      <c r="G254">
        <f>VLOOKUP(D254,'2018_commission_structure'!$A$2:$C$4,2,FALSE)</f>
        <v>30000</v>
      </c>
      <c r="H254">
        <f t="shared" si="3"/>
        <v>0</v>
      </c>
      <c r="I254">
        <f>COUNTIF(deals_closed!D:D, A254)</f>
        <v>14</v>
      </c>
      <c r="K254" t="str">
        <f>_xlfn.CONCAT(B254, " ",C254)</f>
        <v>Darnall Goodship</v>
      </c>
    </row>
    <row r="255" spans="1:11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VLOOKUP(D255,'2018_commission_structure'!$A$2:$C$4,3,FALSE)</f>
        <v>80000</v>
      </c>
      <c r="G255">
        <f>VLOOKUP(D255,'2018_commission_structure'!$A$2:$C$4,2,FALSE)</f>
        <v>50000</v>
      </c>
      <c r="H255">
        <f t="shared" si="3"/>
        <v>0</v>
      </c>
      <c r="I255">
        <f>COUNTIF(deals_closed!D:D, A255)</f>
        <v>22</v>
      </c>
      <c r="K255" t="str">
        <f>_xlfn.CONCAT(B255, " ",C255)</f>
        <v>Fidelia Pedrocco</v>
      </c>
    </row>
    <row r="256" spans="1:11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VLOOKUP(D256,'2018_commission_structure'!$A$2:$C$4,3,FALSE)</f>
        <v>65000</v>
      </c>
      <c r="G256">
        <f>VLOOKUP(D256,'2018_commission_structure'!$A$2:$C$4,2,FALSE)</f>
        <v>30000</v>
      </c>
      <c r="H256">
        <f t="shared" si="3"/>
        <v>0</v>
      </c>
      <c r="I256">
        <f>COUNTIF(deals_closed!D:D, A256)</f>
        <v>18</v>
      </c>
      <c r="K256" t="str">
        <f>_xlfn.CONCAT(B256, " ",C256)</f>
        <v>Ellen Dooman</v>
      </c>
    </row>
    <row r="257" spans="1:11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VLOOKUP(D257,'2018_commission_structure'!$A$2:$C$4,3,FALSE)</f>
        <v>125000</v>
      </c>
      <c r="G257">
        <f>VLOOKUP(D257,'2018_commission_structure'!$A$2:$C$4,2,FALSE)</f>
        <v>75000</v>
      </c>
      <c r="H257">
        <f t="shared" si="3"/>
        <v>0</v>
      </c>
      <c r="I257">
        <f>COUNTIF(deals_closed!D:D, A257)</f>
        <v>22</v>
      </c>
      <c r="K257" t="str">
        <f>_xlfn.CONCAT(B257, " ",C257)</f>
        <v>Stanislas Pessolt</v>
      </c>
    </row>
    <row r="258" spans="1:11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VLOOKUP(D258,'2018_commission_structure'!$A$2:$C$4,3,FALSE)</f>
        <v>125000</v>
      </c>
      <c r="G258">
        <f>VLOOKUP(D258,'2018_commission_structure'!$A$2:$C$4,2,FALSE)</f>
        <v>75000</v>
      </c>
      <c r="H258">
        <f t="shared" si="3"/>
        <v>0</v>
      </c>
      <c r="I258">
        <f>COUNTIF(deals_closed!D:D, A258)</f>
        <v>23</v>
      </c>
      <c r="K258" t="str">
        <f>_xlfn.CONCAT(B258, " ",C258)</f>
        <v>Denny Pickard</v>
      </c>
    </row>
    <row r="259" spans="1:11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VLOOKUP(D259,'2018_commission_structure'!$A$2:$C$4,3,FALSE)</f>
        <v>125000</v>
      </c>
      <c r="G259">
        <f>VLOOKUP(D259,'2018_commission_structure'!$A$2:$C$4,2,FALSE)</f>
        <v>75000</v>
      </c>
      <c r="H259">
        <f t="shared" ref="H259:H322" si="4">IF(AND(E259&gt;=G259,E259&lt;=F259),0,1)</f>
        <v>0</v>
      </c>
      <c r="I259">
        <f>COUNTIF(deals_closed!D:D, A259)</f>
        <v>15</v>
      </c>
      <c r="K259" t="str">
        <f>_xlfn.CONCAT(B259, " ",C259)</f>
        <v>Ariadne Willshire</v>
      </c>
    </row>
    <row r="260" spans="1:11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VLOOKUP(D260,'2018_commission_structure'!$A$2:$C$4,3,FALSE)</f>
        <v>65000</v>
      </c>
      <c r="G260">
        <f>VLOOKUP(D260,'2018_commission_structure'!$A$2:$C$4,2,FALSE)</f>
        <v>30000</v>
      </c>
      <c r="H260">
        <f t="shared" si="4"/>
        <v>0</v>
      </c>
      <c r="I260">
        <f>COUNTIF(deals_closed!D:D, A260)</f>
        <v>24</v>
      </c>
      <c r="K260" t="str">
        <f>_xlfn.CONCAT(B260, " ",C260)</f>
        <v>Ave Abbatini</v>
      </c>
    </row>
    <row r="261" spans="1:11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VLOOKUP(D261,'2018_commission_structure'!$A$2:$C$4,3,FALSE)</f>
        <v>65000</v>
      </c>
      <c r="G261">
        <f>VLOOKUP(D261,'2018_commission_structure'!$A$2:$C$4,2,FALSE)</f>
        <v>30000</v>
      </c>
      <c r="H261">
        <f t="shared" si="4"/>
        <v>0</v>
      </c>
      <c r="I261">
        <f>COUNTIF(deals_closed!D:D, A261)</f>
        <v>14</v>
      </c>
      <c r="K261" t="str">
        <f>_xlfn.CONCAT(B261, " ",C261)</f>
        <v>Terri Novic</v>
      </c>
    </row>
    <row r="262" spans="1:11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VLOOKUP(D262,'2018_commission_structure'!$A$2:$C$4,3,FALSE)</f>
        <v>80000</v>
      </c>
      <c r="G262">
        <f>VLOOKUP(D262,'2018_commission_structure'!$A$2:$C$4,2,FALSE)</f>
        <v>50000</v>
      </c>
      <c r="H262">
        <f t="shared" si="4"/>
        <v>0</v>
      </c>
      <c r="I262">
        <f>COUNTIF(deals_closed!D:D, A262)</f>
        <v>13</v>
      </c>
      <c r="K262" t="str">
        <f>_xlfn.CONCAT(B262, " ",C262)</f>
        <v>Ranice Gaytor</v>
      </c>
    </row>
    <row r="263" spans="1:11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VLOOKUP(D263,'2018_commission_structure'!$A$2:$C$4,3,FALSE)</f>
        <v>80000</v>
      </c>
      <c r="G263">
        <f>VLOOKUP(D263,'2018_commission_structure'!$A$2:$C$4,2,FALSE)</f>
        <v>50000</v>
      </c>
      <c r="H263">
        <f t="shared" si="4"/>
        <v>0</v>
      </c>
      <c r="I263">
        <f>COUNTIF(deals_closed!D:D, A263)</f>
        <v>23</v>
      </c>
      <c r="K263" t="str">
        <f>_xlfn.CONCAT(B263, " ",C263)</f>
        <v>Ardine Carloni</v>
      </c>
    </row>
    <row r="264" spans="1:11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VLOOKUP(D264,'2018_commission_structure'!$A$2:$C$4,3,FALSE)</f>
        <v>125000</v>
      </c>
      <c r="G264">
        <f>VLOOKUP(D264,'2018_commission_structure'!$A$2:$C$4,2,FALSE)</f>
        <v>75000</v>
      </c>
      <c r="H264">
        <f t="shared" si="4"/>
        <v>0</v>
      </c>
      <c r="I264">
        <f>COUNTIF(deals_closed!D:D, A264)</f>
        <v>16</v>
      </c>
      <c r="K264" t="str">
        <f>_xlfn.CONCAT(B264, " ",C264)</f>
        <v>Kean Keelinge</v>
      </c>
    </row>
    <row r="265" spans="1:11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VLOOKUP(D265,'2018_commission_structure'!$A$2:$C$4,3,FALSE)</f>
        <v>80000</v>
      </c>
      <c r="G265">
        <f>VLOOKUP(D265,'2018_commission_structure'!$A$2:$C$4,2,FALSE)</f>
        <v>50000</v>
      </c>
      <c r="H265">
        <f t="shared" si="4"/>
        <v>0</v>
      </c>
      <c r="I265">
        <f>COUNTIF(deals_closed!D:D, A265)</f>
        <v>19</v>
      </c>
      <c r="K265" t="str">
        <f>_xlfn.CONCAT(B265, " ",C265)</f>
        <v>Laird Margiotta</v>
      </c>
    </row>
    <row r="266" spans="1:11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VLOOKUP(D266,'2018_commission_structure'!$A$2:$C$4,3,FALSE)</f>
        <v>80000</v>
      </c>
      <c r="G266">
        <f>VLOOKUP(D266,'2018_commission_structure'!$A$2:$C$4,2,FALSE)</f>
        <v>50000</v>
      </c>
      <c r="H266">
        <f t="shared" si="4"/>
        <v>0</v>
      </c>
      <c r="I266">
        <f>COUNTIF(deals_closed!D:D, A266)</f>
        <v>17</v>
      </c>
      <c r="K266" t="str">
        <f>_xlfn.CONCAT(B266, " ",C266)</f>
        <v>Jayson Rugg</v>
      </c>
    </row>
    <row r="267" spans="1:11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VLOOKUP(D267,'2018_commission_structure'!$A$2:$C$4,3,FALSE)</f>
        <v>65000</v>
      </c>
      <c r="G267">
        <f>VLOOKUP(D267,'2018_commission_structure'!$A$2:$C$4,2,FALSE)</f>
        <v>30000</v>
      </c>
      <c r="H267">
        <f t="shared" si="4"/>
        <v>0</v>
      </c>
      <c r="I267">
        <f>COUNTIF(deals_closed!D:D, A267)</f>
        <v>16</v>
      </c>
      <c r="K267" t="str">
        <f>_xlfn.CONCAT(B267, " ",C267)</f>
        <v>Melva Brosoli</v>
      </c>
    </row>
    <row r="268" spans="1:11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VLOOKUP(D268,'2018_commission_structure'!$A$2:$C$4,3,FALSE)</f>
        <v>80000</v>
      </c>
      <c r="G268">
        <f>VLOOKUP(D268,'2018_commission_structure'!$A$2:$C$4,2,FALSE)</f>
        <v>50000</v>
      </c>
      <c r="H268">
        <f t="shared" si="4"/>
        <v>0</v>
      </c>
      <c r="I268">
        <f>COUNTIF(deals_closed!D:D, A268)</f>
        <v>21</v>
      </c>
      <c r="K268" t="str">
        <f>_xlfn.CONCAT(B268, " ",C268)</f>
        <v>Zack Codlin</v>
      </c>
    </row>
    <row r="269" spans="1:11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VLOOKUP(D269,'2018_commission_structure'!$A$2:$C$4,3,FALSE)</f>
        <v>80000</v>
      </c>
      <c r="G269">
        <f>VLOOKUP(D269,'2018_commission_structure'!$A$2:$C$4,2,FALSE)</f>
        <v>50000</v>
      </c>
      <c r="H269">
        <f t="shared" si="4"/>
        <v>0</v>
      </c>
      <c r="I269">
        <f>COUNTIF(deals_closed!D:D, A269)</f>
        <v>33</v>
      </c>
      <c r="K269" t="str">
        <f>_xlfn.CONCAT(B269, " ",C269)</f>
        <v>Darryl Worgan</v>
      </c>
    </row>
    <row r="270" spans="1:11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VLOOKUP(D270,'2018_commission_structure'!$A$2:$C$4,3,FALSE)</f>
        <v>65000</v>
      </c>
      <c r="G270">
        <f>VLOOKUP(D270,'2018_commission_structure'!$A$2:$C$4,2,FALSE)</f>
        <v>30000</v>
      </c>
      <c r="H270">
        <f t="shared" si="4"/>
        <v>0</v>
      </c>
      <c r="I270">
        <f>COUNTIF(deals_closed!D:D, A270)</f>
        <v>14</v>
      </c>
      <c r="K270" t="str">
        <f>_xlfn.CONCAT(B270, " ",C270)</f>
        <v>Nickolaus Bernardeau</v>
      </c>
    </row>
    <row r="271" spans="1:11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VLOOKUP(D271,'2018_commission_structure'!$A$2:$C$4,3,FALSE)</f>
        <v>65000</v>
      </c>
      <c r="G271">
        <f>VLOOKUP(D271,'2018_commission_structure'!$A$2:$C$4,2,FALSE)</f>
        <v>30000</v>
      </c>
      <c r="H271">
        <f t="shared" si="4"/>
        <v>0</v>
      </c>
      <c r="I271">
        <f>COUNTIF(deals_closed!D:D, A271)</f>
        <v>19</v>
      </c>
      <c r="K271" t="str">
        <f>_xlfn.CONCAT(B271, " ",C271)</f>
        <v>Stinky Eddoes</v>
      </c>
    </row>
    <row r="272" spans="1:11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VLOOKUP(D272,'2018_commission_structure'!$A$2:$C$4,3,FALSE)</f>
        <v>65000</v>
      </c>
      <c r="G272">
        <f>VLOOKUP(D272,'2018_commission_structure'!$A$2:$C$4,2,FALSE)</f>
        <v>30000</v>
      </c>
      <c r="H272">
        <f t="shared" si="4"/>
        <v>0</v>
      </c>
      <c r="I272">
        <f>COUNTIF(deals_closed!D:D, A272)</f>
        <v>20</v>
      </c>
      <c r="K272" t="str">
        <f>_xlfn.CONCAT(B272, " ",C272)</f>
        <v>Umeko Wilshaw</v>
      </c>
    </row>
    <row r="273" spans="1:11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VLOOKUP(D273,'2018_commission_structure'!$A$2:$C$4,3,FALSE)</f>
        <v>80000</v>
      </c>
      <c r="G273">
        <f>VLOOKUP(D273,'2018_commission_structure'!$A$2:$C$4,2,FALSE)</f>
        <v>50000</v>
      </c>
      <c r="H273">
        <f t="shared" si="4"/>
        <v>0</v>
      </c>
      <c r="I273">
        <f>COUNTIF(deals_closed!D:D, A273)</f>
        <v>30</v>
      </c>
      <c r="K273" t="str">
        <f>_xlfn.CONCAT(B273, " ",C273)</f>
        <v>Loralyn Scarffe</v>
      </c>
    </row>
    <row r="274" spans="1:11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VLOOKUP(D274,'2018_commission_structure'!$A$2:$C$4,3,FALSE)</f>
        <v>80000</v>
      </c>
      <c r="G274">
        <f>VLOOKUP(D274,'2018_commission_structure'!$A$2:$C$4,2,FALSE)</f>
        <v>50000</v>
      </c>
      <c r="H274">
        <f t="shared" si="4"/>
        <v>0</v>
      </c>
      <c r="I274">
        <f>COUNTIF(deals_closed!D:D, A274)</f>
        <v>19</v>
      </c>
      <c r="K274" t="str">
        <f>_xlfn.CONCAT(B274, " ",C274)</f>
        <v>Nikolai De Castri</v>
      </c>
    </row>
    <row r="275" spans="1:11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VLOOKUP(D275,'2018_commission_structure'!$A$2:$C$4,3,FALSE)</f>
        <v>80000</v>
      </c>
      <c r="G275">
        <f>VLOOKUP(D275,'2018_commission_structure'!$A$2:$C$4,2,FALSE)</f>
        <v>50000</v>
      </c>
      <c r="H275">
        <f t="shared" si="4"/>
        <v>0</v>
      </c>
      <c r="I275">
        <f>COUNTIF(deals_closed!D:D, A275)</f>
        <v>33</v>
      </c>
      <c r="K275" t="str">
        <f>_xlfn.CONCAT(B275, " ",C275)</f>
        <v>Bernardina Fisbey</v>
      </c>
    </row>
    <row r="276" spans="1:11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VLOOKUP(D276,'2018_commission_structure'!$A$2:$C$4,3,FALSE)</f>
        <v>80000</v>
      </c>
      <c r="G276">
        <f>VLOOKUP(D276,'2018_commission_structure'!$A$2:$C$4,2,FALSE)</f>
        <v>50000</v>
      </c>
      <c r="H276">
        <f t="shared" si="4"/>
        <v>0</v>
      </c>
      <c r="I276">
        <f>COUNTIF(deals_closed!D:D, A276)</f>
        <v>13</v>
      </c>
      <c r="K276" t="str">
        <f>_xlfn.CONCAT(B276, " ",C276)</f>
        <v>Malissia Try</v>
      </c>
    </row>
    <row r="277" spans="1:11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VLOOKUP(D277,'2018_commission_structure'!$A$2:$C$4,3,FALSE)</f>
        <v>65000</v>
      </c>
      <c r="G277">
        <f>VLOOKUP(D277,'2018_commission_structure'!$A$2:$C$4,2,FALSE)</f>
        <v>30000</v>
      </c>
      <c r="H277">
        <f t="shared" si="4"/>
        <v>0</v>
      </c>
      <c r="I277">
        <f>COUNTIF(deals_closed!D:D, A277)</f>
        <v>14</v>
      </c>
      <c r="K277" t="str">
        <f>_xlfn.CONCAT(B277, " ",C277)</f>
        <v>Vivian Philson</v>
      </c>
    </row>
    <row r="278" spans="1:11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VLOOKUP(D278,'2018_commission_structure'!$A$2:$C$4,3,FALSE)</f>
        <v>80000</v>
      </c>
      <c r="G278">
        <f>VLOOKUP(D278,'2018_commission_structure'!$A$2:$C$4,2,FALSE)</f>
        <v>50000</v>
      </c>
      <c r="H278">
        <f t="shared" si="4"/>
        <v>0</v>
      </c>
      <c r="I278">
        <f>COUNTIF(deals_closed!D:D, A278)</f>
        <v>31</v>
      </c>
      <c r="K278" t="str">
        <f>_xlfn.CONCAT(B278, " ",C278)</f>
        <v>Mab Marxsen</v>
      </c>
    </row>
    <row r="279" spans="1:11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VLOOKUP(D279,'2018_commission_structure'!$A$2:$C$4,3,FALSE)</f>
        <v>125000</v>
      </c>
      <c r="G279">
        <f>VLOOKUP(D279,'2018_commission_structure'!$A$2:$C$4,2,FALSE)</f>
        <v>75000</v>
      </c>
      <c r="H279">
        <f t="shared" si="4"/>
        <v>0</v>
      </c>
      <c r="I279">
        <f>COUNTIF(deals_closed!D:D, A279)</f>
        <v>21</v>
      </c>
      <c r="K279" t="str">
        <f>_xlfn.CONCAT(B279, " ",C279)</f>
        <v>Frasquito Breach</v>
      </c>
    </row>
    <row r="280" spans="1:11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VLOOKUP(D280,'2018_commission_structure'!$A$2:$C$4,3,FALSE)</f>
        <v>80000</v>
      </c>
      <c r="G280">
        <f>VLOOKUP(D280,'2018_commission_structure'!$A$2:$C$4,2,FALSE)</f>
        <v>50000</v>
      </c>
      <c r="H280">
        <f t="shared" si="4"/>
        <v>0</v>
      </c>
      <c r="I280">
        <f>COUNTIF(deals_closed!D:D, A280)</f>
        <v>20</v>
      </c>
      <c r="K280" t="str">
        <f>_xlfn.CONCAT(B280, " ",C280)</f>
        <v>Rani Gaffney</v>
      </c>
    </row>
    <row r="281" spans="1:11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VLOOKUP(D281,'2018_commission_structure'!$A$2:$C$4,3,FALSE)</f>
        <v>80000</v>
      </c>
      <c r="G281">
        <f>VLOOKUP(D281,'2018_commission_structure'!$A$2:$C$4,2,FALSE)</f>
        <v>50000</v>
      </c>
      <c r="H281">
        <f t="shared" si="4"/>
        <v>0</v>
      </c>
      <c r="I281">
        <f>COUNTIF(deals_closed!D:D, A281)</f>
        <v>20</v>
      </c>
      <c r="K281" t="str">
        <f>_xlfn.CONCAT(B281, " ",C281)</f>
        <v>Jorie Everex</v>
      </c>
    </row>
    <row r="282" spans="1:11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VLOOKUP(D282,'2018_commission_structure'!$A$2:$C$4,3,FALSE)</f>
        <v>125000</v>
      </c>
      <c r="G282">
        <f>VLOOKUP(D282,'2018_commission_structure'!$A$2:$C$4,2,FALSE)</f>
        <v>75000</v>
      </c>
      <c r="H282">
        <f t="shared" si="4"/>
        <v>0</v>
      </c>
      <c r="I282">
        <f>COUNTIF(deals_closed!D:D, A282)</f>
        <v>27</v>
      </c>
      <c r="K282" t="str">
        <f>_xlfn.CONCAT(B282, " ",C282)</f>
        <v>Ashley Somerton</v>
      </c>
    </row>
    <row r="283" spans="1:11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VLOOKUP(D283,'2018_commission_structure'!$A$2:$C$4,3,FALSE)</f>
        <v>65000</v>
      </c>
      <c r="G283">
        <f>VLOOKUP(D283,'2018_commission_structure'!$A$2:$C$4,2,FALSE)</f>
        <v>30000</v>
      </c>
      <c r="H283">
        <f t="shared" si="4"/>
        <v>0</v>
      </c>
      <c r="I283">
        <f>COUNTIF(deals_closed!D:D, A283)</f>
        <v>15</v>
      </c>
      <c r="K283" t="str">
        <f>_xlfn.CONCAT(B283, " ",C283)</f>
        <v>Jonah Crighton</v>
      </c>
    </row>
    <row r="284" spans="1:11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VLOOKUP(D284,'2018_commission_structure'!$A$2:$C$4,3,FALSE)</f>
        <v>65000</v>
      </c>
      <c r="G284">
        <f>VLOOKUP(D284,'2018_commission_structure'!$A$2:$C$4,2,FALSE)</f>
        <v>30000</v>
      </c>
      <c r="H284">
        <f t="shared" si="4"/>
        <v>0</v>
      </c>
      <c r="I284">
        <f>COUNTIF(deals_closed!D:D, A284)</f>
        <v>14</v>
      </c>
      <c r="K284" t="str">
        <f>_xlfn.CONCAT(B284, " ",C284)</f>
        <v>Ted Davoren</v>
      </c>
    </row>
    <row r="285" spans="1:11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VLOOKUP(D285,'2018_commission_structure'!$A$2:$C$4,3,FALSE)</f>
        <v>125000</v>
      </c>
      <c r="G285">
        <f>VLOOKUP(D285,'2018_commission_structure'!$A$2:$C$4,2,FALSE)</f>
        <v>75000</v>
      </c>
      <c r="H285">
        <f t="shared" si="4"/>
        <v>0</v>
      </c>
      <c r="I285">
        <f>COUNTIF(deals_closed!D:D, A285)</f>
        <v>15</v>
      </c>
      <c r="K285" t="str">
        <f>_xlfn.CONCAT(B285, " ",C285)</f>
        <v>Elfrieda Merington</v>
      </c>
    </row>
    <row r="286" spans="1:11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VLOOKUP(D286,'2018_commission_structure'!$A$2:$C$4,3,FALSE)</f>
        <v>65000</v>
      </c>
      <c r="G286">
        <f>VLOOKUP(D286,'2018_commission_structure'!$A$2:$C$4,2,FALSE)</f>
        <v>30000</v>
      </c>
      <c r="H286">
        <f t="shared" si="4"/>
        <v>0</v>
      </c>
      <c r="I286">
        <f>COUNTIF(deals_closed!D:D, A286)</f>
        <v>21</v>
      </c>
      <c r="K286" t="str">
        <f>_xlfn.CONCAT(B286, " ",C286)</f>
        <v>Stephen Vince</v>
      </c>
    </row>
    <row r="287" spans="1:11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VLOOKUP(D287,'2018_commission_structure'!$A$2:$C$4,3,FALSE)</f>
        <v>80000</v>
      </c>
      <c r="G287">
        <f>VLOOKUP(D287,'2018_commission_structure'!$A$2:$C$4,2,FALSE)</f>
        <v>50000</v>
      </c>
      <c r="H287">
        <f t="shared" si="4"/>
        <v>0</v>
      </c>
      <c r="I287">
        <f>COUNTIF(deals_closed!D:D, A287)</f>
        <v>20</v>
      </c>
      <c r="K287" t="str">
        <f>_xlfn.CONCAT(B287, " ",C287)</f>
        <v>Lulita Wyke</v>
      </c>
    </row>
    <row r="288" spans="1:11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VLOOKUP(D288,'2018_commission_structure'!$A$2:$C$4,3,FALSE)</f>
        <v>65000</v>
      </c>
      <c r="G288">
        <f>VLOOKUP(D288,'2018_commission_structure'!$A$2:$C$4,2,FALSE)</f>
        <v>30000</v>
      </c>
      <c r="H288">
        <f t="shared" si="4"/>
        <v>0</v>
      </c>
      <c r="I288">
        <f>COUNTIF(deals_closed!D:D, A288)</f>
        <v>20</v>
      </c>
      <c r="K288" t="str">
        <f>_xlfn.CONCAT(B288, " ",C288)</f>
        <v>Eugene Lebourn</v>
      </c>
    </row>
    <row r="289" spans="1:11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VLOOKUP(D289,'2018_commission_structure'!$A$2:$C$4,3,FALSE)</f>
        <v>80000</v>
      </c>
      <c r="G289">
        <f>VLOOKUP(D289,'2018_commission_structure'!$A$2:$C$4,2,FALSE)</f>
        <v>50000</v>
      </c>
      <c r="H289">
        <f t="shared" si="4"/>
        <v>0</v>
      </c>
      <c r="I289">
        <f>COUNTIF(deals_closed!D:D, A289)</f>
        <v>15</v>
      </c>
      <c r="K289" t="str">
        <f>_xlfn.CONCAT(B289, " ",C289)</f>
        <v>Denney Behr</v>
      </c>
    </row>
    <row r="290" spans="1:11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VLOOKUP(D290,'2018_commission_structure'!$A$2:$C$4,3,FALSE)</f>
        <v>80000</v>
      </c>
      <c r="G290">
        <f>VLOOKUP(D290,'2018_commission_structure'!$A$2:$C$4,2,FALSE)</f>
        <v>50000</v>
      </c>
      <c r="H290">
        <f t="shared" si="4"/>
        <v>0</v>
      </c>
      <c r="I290">
        <f>COUNTIF(deals_closed!D:D, A290)</f>
        <v>21</v>
      </c>
      <c r="K290" t="str">
        <f>_xlfn.CONCAT(B290, " ",C290)</f>
        <v>Maryrose Ravenshaw</v>
      </c>
    </row>
    <row r="291" spans="1:11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VLOOKUP(D291,'2018_commission_structure'!$A$2:$C$4,3,FALSE)</f>
        <v>80000</v>
      </c>
      <c r="G291">
        <f>VLOOKUP(D291,'2018_commission_structure'!$A$2:$C$4,2,FALSE)</f>
        <v>50000</v>
      </c>
      <c r="H291">
        <f t="shared" si="4"/>
        <v>0</v>
      </c>
      <c r="I291">
        <f>COUNTIF(deals_closed!D:D, A291)</f>
        <v>15</v>
      </c>
      <c r="K291" t="str">
        <f>_xlfn.CONCAT(B291, " ",C291)</f>
        <v>Kevin Wayvill</v>
      </c>
    </row>
    <row r="292" spans="1:11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VLOOKUP(D292,'2018_commission_structure'!$A$2:$C$4,3,FALSE)</f>
        <v>80000</v>
      </c>
      <c r="G292">
        <f>VLOOKUP(D292,'2018_commission_structure'!$A$2:$C$4,2,FALSE)</f>
        <v>50000</v>
      </c>
      <c r="H292">
        <f t="shared" si="4"/>
        <v>0</v>
      </c>
      <c r="I292">
        <f>COUNTIF(deals_closed!D:D, A292)</f>
        <v>21</v>
      </c>
      <c r="K292" t="str">
        <f>_xlfn.CONCAT(B292, " ",C292)</f>
        <v>Lenette Gyves</v>
      </c>
    </row>
    <row r="293" spans="1:11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VLOOKUP(D293,'2018_commission_structure'!$A$2:$C$4,3,FALSE)</f>
        <v>125000</v>
      </c>
      <c r="G293">
        <f>VLOOKUP(D293,'2018_commission_structure'!$A$2:$C$4,2,FALSE)</f>
        <v>75000</v>
      </c>
      <c r="H293">
        <f t="shared" si="4"/>
        <v>0</v>
      </c>
      <c r="I293">
        <f>COUNTIF(deals_closed!D:D, A293)</f>
        <v>15</v>
      </c>
      <c r="K293" t="str">
        <f>_xlfn.CONCAT(B293, " ",C293)</f>
        <v>Tabina Askell</v>
      </c>
    </row>
    <row r="294" spans="1:11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VLOOKUP(D294,'2018_commission_structure'!$A$2:$C$4,3,FALSE)</f>
        <v>80000</v>
      </c>
      <c r="G294">
        <f>VLOOKUP(D294,'2018_commission_structure'!$A$2:$C$4,2,FALSE)</f>
        <v>50000</v>
      </c>
      <c r="H294">
        <f t="shared" si="4"/>
        <v>0</v>
      </c>
      <c r="I294">
        <f>COUNTIF(deals_closed!D:D, A294)</f>
        <v>13</v>
      </c>
      <c r="K294" t="str">
        <f>_xlfn.CONCAT(B294, " ",C294)</f>
        <v>Anette Waldock</v>
      </c>
    </row>
    <row r="295" spans="1:11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VLOOKUP(D295,'2018_commission_structure'!$A$2:$C$4,3,FALSE)</f>
        <v>80000</v>
      </c>
      <c r="G295">
        <f>VLOOKUP(D295,'2018_commission_structure'!$A$2:$C$4,2,FALSE)</f>
        <v>50000</v>
      </c>
      <c r="H295">
        <f t="shared" si="4"/>
        <v>0</v>
      </c>
      <c r="I295">
        <f>COUNTIF(deals_closed!D:D, A295)</f>
        <v>23</v>
      </c>
      <c r="K295" t="str">
        <f>_xlfn.CONCAT(B295, " ",C295)</f>
        <v>Moishe Nicely</v>
      </c>
    </row>
    <row r="296" spans="1:11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VLOOKUP(D296,'2018_commission_structure'!$A$2:$C$4,3,FALSE)</f>
        <v>125000</v>
      </c>
      <c r="G296">
        <f>VLOOKUP(D296,'2018_commission_structure'!$A$2:$C$4,2,FALSE)</f>
        <v>75000</v>
      </c>
      <c r="H296">
        <f t="shared" si="4"/>
        <v>0</v>
      </c>
      <c r="I296">
        <f>COUNTIF(deals_closed!D:D, A296)</f>
        <v>24</v>
      </c>
      <c r="K296" t="str">
        <f>_xlfn.CONCAT(B296, " ",C296)</f>
        <v>Yves Edelmann</v>
      </c>
    </row>
    <row r="297" spans="1:11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VLOOKUP(D297,'2018_commission_structure'!$A$2:$C$4,3,FALSE)</f>
        <v>65000</v>
      </c>
      <c r="G297">
        <f>VLOOKUP(D297,'2018_commission_structure'!$A$2:$C$4,2,FALSE)</f>
        <v>30000</v>
      </c>
      <c r="H297">
        <f t="shared" si="4"/>
        <v>0</v>
      </c>
      <c r="I297">
        <f>COUNTIF(deals_closed!D:D, A297)</f>
        <v>16</v>
      </c>
      <c r="K297" t="str">
        <f>_xlfn.CONCAT(B297, " ",C297)</f>
        <v>Jacky Lovat</v>
      </c>
    </row>
    <row r="298" spans="1:11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VLOOKUP(D298,'2018_commission_structure'!$A$2:$C$4,3,FALSE)</f>
        <v>125000</v>
      </c>
      <c r="G298">
        <f>VLOOKUP(D298,'2018_commission_structure'!$A$2:$C$4,2,FALSE)</f>
        <v>75000</v>
      </c>
      <c r="H298">
        <f t="shared" si="4"/>
        <v>0</v>
      </c>
      <c r="I298">
        <f>COUNTIF(deals_closed!D:D, A298)</f>
        <v>21</v>
      </c>
      <c r="K298" t="str">
        <f>_xlfn.CONCAT(B298, " ",C298)</f>
        <v>Olenka Puddicombe</v>
      </c>
    </row>
    <row r="299" spans="1:11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VLOOKUP(D299,'2018_commission_structure'!$A$2:$C$4,3,FALSE)</f>
        <v>65000</v>
      </c>
      <c r="G299">
        <f>VLOOKUP(D299,'2018_commission_structure'!$A$2:$C$4,2,FALSE)</f>
        <v>30000</v>
      </c>
      <c r="H299">
        <f t="shared" si="4"/>
        <v>0</v>
      </c>
      <c r="I299">
        <f>COUNTIF(deals_closed!D:D, A299)</f>
        <v>17</v>
      </c>
      <c r="K299" t="str">
        <f>_xlfn.CONCAT(B299, " ",C299)</f>
        <v>Peggie Grayland</v>
      </c>
    </row>
    <row r="300" spans="1:11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VLOOKUP(D300,'2018_commission_structure'!$A$2:$C$4,3,FALSE)</f>
        <v>80000</v>
      </c>
      <c r="G300">
        <f>VLOOKUP(D300,'2018_commission_structure'!$A$2:$C$4,2,FALSE)</f>
        <v>50000</v>
      </c>
      <c r="H300">
        <f t="shared" si="4"/>
        <v>0</v>
      </c>
      <c r="I300">
        <f>COUNTIF(deals_closed!D:D, A300)</f>
        <v>17</v>
      </c>
      <c r="K300" t="str">
        <f>_xlfn.CONCAT(B300, " ",C300)</f>
        <v>Rowen Hullbrook</v>
      </c>
    </row>
    <row r="301" spans="1:11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VLOOKUP(D301,'2018_commission_structure'!$A$2:$C$4,3,FALSE)</f>
        <v>80000</v>
      </c>
      <c r="G301">
        <f>VLOOKUP(D301,'2018_commission_structure'!$A$2:$C$4,2,FALSE)</f>
        <v>50000</v>
      </c>
      <c r="H301">
        <f t="shared" si="4"/>
        <v>0</v>
      </c>
      <c r="I301">
        <f>COUNTIF(deals_closed!D:D, A301)</f>
        <v>18</v>
      </c>
      <c r="K301" t="str">
        <f>_xlfn.CONCAT(B301, " ",C301)</f>
        <v>Orville Dutt</v>
      </c>
    </row>
    <row r="302" spans="1:11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VLOOKUP(D302,'2018_commission_structure'!$A$2:$C$4,3,FALSE)</f>
        <v>65000</v>
      </c>
      <c r="G302">
        <f>VLOOKUP(D302,'2018_commission_structure'!$A$2:$C$4,2,FALSE)</f>
        <v>30000</v>
      </c>
      <c r="H302">
        <f t="shared" si="4"/>
        <v>0</v>
      </c>
      <c r="I302">
        <f>COUNTIF(deals_closed!D:D, A302)</f>
        <v>21</v>
      </c>
      <c r="K302" t="str">
        <f>_xlfn.CONCAT(B302, " ",C302)</f>
        <v>Somerset Phlippsen</v>
      </c>
    </row>
    <row r="303" spans="1:11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VLOOKUP(D303,'2018_commission_structure'!$A$2:$C$4,3,FALSE)</f>
        <v>80000</v>
      </c>
      <c r="G303">
        <f>VLOOKUP(D303,'2018_commission_structure'!$A$2:$C$4,2,FALSE)</f>
        <v>50000</v>
      </c>
      <c r="H303">
        <f t="shared" si="4"/>
        <v>0</v>
      </c>
      <c r="I303">
        <f>COUNTIF(deals_closed!D:D, A303)</f>
        <v>24</v>
      </c>
      <c r="K303" t="str">
        <f>_xlfn.CONCAT(B303, " ",C303)</f>
        <v>Amalle Lodo</v>
      </c>
    </row>
    <row r="304" spans="1:11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VLOOKUP(D304,'2018_commission_structure'!$A$2:$C$4,3,FALSE)</f>
        <v>80000</v>
      </c>
      <c r="G304">
        <f>VLOOKUP(D304,'2018_commission_structure'!$A$2:$C$4,2,FALSE)</f>
        <v>50000</v>
      </c>
      <c r="H304">
        <f t="shared" si="4"/>
        <v>0</v>
      </c>
      <c r="I304">
        <f>COUNTIF(deals_closed!D:D, A304)</f>
        <v>25</v>
      </c>
      <c r="K304" t="str">
        <f>_xlfn.CONCAT(B304, " ",C304)</f>
        <v>Constancia Jenne</v>
      </c>
    </row>
    <row r="305" spans="1:11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VLOOKUP(D305,'2018_commission_structure'!$A$2:$C$4,3,FALSE)</f>
        <v>125000</v>
      </c>
      <c r="G305">
        <f>VLOOKUP(D305,'2018_commission_structure'!$A$2:$C$4,2,FALSE)</f>
        <v>75000</v>
      </c>
      <c r="H305">
        <f t="shared" si="4"/>
        <v>0</v>
      </c>
      <c r="I305">
        <f>COUNTIF(deals_closed!D:D, A305)</f>
        <v>25</v>
      </c>
      <c r="K305" t="str">
        <f>_xlfn.CONCAT(B305, " ",C305)</f>
        <v>Malachi Oldknow</v>
      </c>
    </row>
    <row r="306" spans="1:11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VLOOKUP(D306,'2018_commission_structure'!$A$2:$C$4,3,FALSE)</f>
        <v>80000</v>
      </c>
      <c r="G306">
        <f>VLOOKUP(D306,'2018_commission_structure'!$A$2:$C$4,2,FALSE)</f>
        <v>50000</v>
      </c>
      <c r="H306">
        <f t="shared" si="4"/>
        <v>0</v>
      </c>
      <c r="I306">
        <f>COUNTIF(deals_closed!D:D, A306)</f>
        <v>22</v>
      </c>
      <c r="K306" t="str">
        <f>_xlfn.CONCAT(B306, " ",C306)</f>
        <v>Norris Ferrillio</v>
      </c>
    </row>
    <row r="307" spans="1:11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VLOOKUP(D307,'2018_commission_structure'!$A$2:$C$4,3,FALSE)</f>
        <v>125000</v>
      </c>
      <c r="G307">
        <f>VLOOKUP(D307,'2018_commission_structure'!$A$2:$C$4,2,FALSE)</f>
        <v>75000</v>
      </c>
      <c r="H307">
        <f t="shared" si="4"/>
        <v>0</v>
      </c>
      <c r="I307">
        <f>COUNTIF(deals_closed!D:D, A307)</f>
        <v>27</v>
      </c>
      <c r="K307" t="str">
        <f>_xlfn.CONCAT(B307, " ",C307)</f>
        <v>Evvy Riedel</v>
      </c>
    </row>
    <row r="308" spans="1:11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VLOOKUP(D308,'2018_commission_structure'!$A$2:$C$4,3,FALSE)</f>
        <v>65000</v>
      </c>
      <c r="G308">
        <f>VLOOKUP(D308,'2018_commission_structure'!$A$2:$C$4,2,FALSE)</f>
        <v>30000</v>
      </c>
      <c r="H308">
        <f t="shared" si="4"/>
        <v>0</v>
      </c>
      <c r="I308">
        <f>COUNTIF(deals_closed!D:D, A308)</f>
        <v>19</v>
      </c>
      <c r="K308" t="str">
        <f>_xlfn.CONCAT(B308, " ",C308)</f>
        <v>Inger Jime</v>
      </c>
    </row>
    <row r="309" spans="1:11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VLOOKUP(D309,'2018_commission_structure'!$A$2:$C$4,3,FALSE)</f>
        <v>65000</v>
      </c>
      <c r="G309">
        <f>VLOOKUP(D309,'2018_commission_structure'!$A$2:$C$4,2,FALSE)</f>
        <v>30000</v>
      </c>
      <c r="H309">
        <f t="shared" si="4"/>
        <v>0</v>
      </c>
      <c r="I309">
        <f>COUNTIF(deals_closed!D:D, A309)</f>
        <v>30</v>
      </c>
      <c r="K309" t="str">
        <f>_xlfn.CONCAT(B309, " ",C309)</f>
        <v>Kara-lynn Ingarfill</v>
      </c>
    </row>
    <row r="310" spans="1:11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VLOOKUP(D310,'2018_commission_structure'!$A$2:$C$4,3,FALSE)</f>
        <v>125000</v>
      </c>
      <c r="G310">
        <f>VLOOKUP(D310,'2018_commission_structure'!$A$2:$C$4,2,FALSE)</f>
        <v>75000</v>
      </c>
      <c r="H310">
        <f t="shared" si="4"/>
        <v>0</v>
      </c>
      <c r="I310">
        <f>COUNTIF(deals_closed!D:D, A310)</f>
        <v>28</v>
      </c>
      <c r="K310" t="str">
        <f>_xlfn.CONCAT(B310, " ",C310)</f>
        <v>Brandi Gratton</v>
      </c>
    </row>
    <row r="311" spans="1:11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VLOOKUP(D311,'2018_commission_structure'!$A$2:$C$4,3,FALSE)</f>
        <v>80000</v>
      </c>
      <c r="G311">
        <f>VLOOKUP(D311,'2018_commission_structure'!$A$2:$C$4,2,FALSE)</f>
        <v>50000</v>
      </c>
      <c r="H311">
        <f t="shared" si="4"/>
        <v>0</v>
      </c>
      <c r="I311">
        <f>COUNTIF(deals_closed!D:D, A311)</f>
        <v>28</v>
      </c>
      <c r="K311" t="str">
        <f>_xlfn.CONCAT(B311, " ",C311)</f>
        <v>See Postin</v>
      </c>
    </row>
    <row r="312" spans="1:11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VLOOKUP(D312,'2018_commission_structure'!$A$2:$C$4,3,FALSE)</f>
        <v>65000</v>
      </c>
      <c r="G312">
        <f>VLOOKUP(D312,'2018_commission_structure'!$A$2:$C$4,2,FALSE)</f>
        <v>30000</v>
      </c>
      <c r="H312">
        <f t="shared" si="4"/>
        <v>0</v>
      </c>
      <c r="I312">
        <f>COUNTIF(deals_closed!D:D, A312)</f>
        <v>24</v>
      </c>
      <c r="K312" t="str">
        <f>_xlfn.CONCAT(B312, " ",C312)</f>
        <v>Herrick Utterson</v>
      </c>
    </row>
    <row r="313" spans="1:11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VLOOKUP(D313,'2018_commission_structure'!$A$2:$C$4,3,FALSE)</f>
        <v>65000</v>
      </c>
      <c r="G313">
        <f>VLOOKUP(D313,'2018_commission_structure'!$A$2:$C$4,2,FALSE)</f>
        <v>30000</v>
      </c>
      <c r="H313">
        <f t="shared" si="4"/>
        <v>0</v>
      </c>
      <c r="I313">
        <f>COUNTIF(deals_closed!D:D, A313)</f>
        <v>20</v>
      </c>
      <c r="K313" t="str">
        <f>_xlfn.CONCAT(B313, " ",C313)</f>
        <v>Katrina Danne</v>
      </c>
    </row>
    <row r="314" spans="1:11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VLOOKUP(D314,'2018_commission_structure'!$A$2:$C$4,3,FALSE)</f>
        <v>125000</v>
      </c>
      <c r="G314">
        <f>VLOOKUP(D314,'2018_commission_structure'!$A$2:$C$4,2,FALSE)</f>
        <v>75000</v>
      </c>
      <c r="H314">
        <f t="shared" si="4"/>
        <v>0</v>
      </c>
      <c r="I314">
        <f>COUNTIF(deals_closed!D:D, A314)</f>
        <v>24</v>
      </c>
      <c r="K314" t="str">
        <f>_xlfn.CONCAT(B314, " ",C314)</f>
        <v>Ivett Klass</v>
      </c>
    </row>
    <row r="315" spans="1:11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VLOOKUP(D315,'2018_commission_structure'!$A$2:$C$4,3,FALSE)</f>
        <v>125000</v>
      </c>
      <c r="G315">
        <f>VLOOKUP(D315,'2018_commission_structure'!$A$2:$C$4,2,FALSE)</f>
        <v>75000</v>
      </c>
      <c r="H315">
        <f t="shared" si="4"/>
        <v>0</v>
      </c>
      <c r="I315">
        <f>COUNTIF(deals_closed!D:D, A315)</f>
        <v>22</v>
      </c>
      <c r="K315" t="str">
        <f>_xlfn.CONCAT(B315, " ",C315)</f>
        <v>Jacinthe Vel</v>
      </c>
    </row>
    <row r="316" spans="1:11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VLOOKUP(D316,'2018_commission_structure'!$A$2:$C$4,3,FALSE)</f>
        <v>125000</v>
      </c>
      <c r="G316">
        <f>VLOOKUP(D316,'2018_commission_structure'!$A$2:$C$4,2,FALSE)</f>
        <v>75000</v>
      </c>
      <c r="H316">
        <f t="shared" si="4"/>
        <v>0</v>
      </c>
      <c r="I316">
        <f>COUNTIF(deals_closed!D:D, A316)</f>
        <v>23</v>
      </c>
      <c r="K316" t="str">
        <f>_xlfn.CONCAT(B316, " ",C316)</f>
        <v>Olivero Wessel</v>
      </c>
    </row>
    <row r="317" spans="1:11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VLOOKUP(D317,'2018_commission_structure'!$A$2:$C$4,3,FALSE)</f>
        <v>80000</v>
      </c>
      <c r="G317">
        <f>VLOOKUP(D317,'2018_commission_structure'!$A$2:$C$4,2,FALSE)</f>
        <v>50000</v>
      </c>
      <c r="H317">
        <f t="shared" si="4"/>
        <v>0</v>
      </c>
      <c r="I317">
        <f>COUNTIF(deals_closed!D:D, A317)</f>
        <v>20</v>
      </c>
      <c r="K317" t="str">
        <f>_xlfn.CONCAT(B317, " ",C317)</f>
        <v>Elsey O'Shevlin</v>
      </c>
    </row>
    <row r="318" spans="1:11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VLOOKUP(D318,'2018_commission_structure'!$A$2:$C$4,3,FALSE)</f>
        <v>80000</v>
      </c>
      <c r="G318">
        <f>VLOOKUP(D318,'2018_commission_structure'!$A$2:$C$4,2,FALSE)</f>
        <v>50000</v>
      </c>
      <c r="H318">
        <f t="shared" si="4"/>
        <v>0</v>
      </c>
      <c r="I318">
        <f>COUNTIF(deals_closed!D:D, A318)</f>
        <v>23</v>
      </c>
      <c r="K318" t="str">
        <f>_xlfn.CONCAT(B318, " ",C318)</f>
        <v>Norman Wilden</v>
      </c>
    </row>
    <row r="319" spans="1:11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VLOOKUP(D319,'2018_commission_structure'!$A$2:$C$4,3,FALSE)</f>
        <v>125000</v>
      </c>
      <c r="G319">
        <f>VLOOKUP(D319,'2018_commission_structure'!$A$2:$C$4,2,FALSE)</f>
        <v>75000</v>
      </c>
      <c r="H319">
        <f t="shared" si="4"/>
        <v>0</v>
      </c>
      <c r="I319">
        <f>COUNTIF(deals_closed!D:D, A319)</f>
        <v>18</v>
      </c>
      <c r="K319" t="str">
        <f>_xlfn.CONCAT(B319, " ",C319)</f>
        <v>Rosie Kenzie</v>
      </c>
    </row>
    <row r="320" spans="1:11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VLOOKUP(D320,'2018_commission_structure'!$A$2:$C$4,3,FALSE)</f>
        <v>80000</v>
      </c>
      <c r="G320">
        <f>VLOOKUP(D320,'2018_commission_structure'!$A$2:$C$4,2,FALSE)</f>
        <v>50000</v>
      </c>
      <c r="H320">
        <f t="shared" si="4"/>
        <v>0</v>
      </c>
      <c r="I320">
        <f>COUNTIF(deals_closed!D:D, A320)</f>
        <v>24</v>
      </c>
      <c r="K320" t="str">
        <f>_xlfn.CONCAT(B320, " ",C320)</f>
        <v>Deloris Nuzzti</v>
      </c>
    </row>
    <row r="321" spans="1:11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VLOOKUP(D321,'2018_commission_structure'!$A$2:$C$4,3,FALSE)</f>
        <v>80000</v>
      </c>
      <c r="G321">
        <f>VLOOKUP(D321,'2018_commission_structure'!$A$2:$C$4,2,FALSE)</f>
        <v>50000</v>
      </c>
      <c r="H321">
        <f t="shared" si="4"/>
        <v>0</v>
      </c>
      <c r="I321">
        <f>COUNTIF(deals_closed!D:D, A321)</f>
        <v>21</v>
      </c>
      <c r="K321" t="str">
        <f>_xlfn.CONCAT(B321, " ",C321)</f>
        <v>Shea Woodeson</v>
      </c>
    </row>
    <row r="322" spans="1:11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VLOOKUP(D322,'2018_commission_structure'!$A$2:$C$4,3,FALSE)</f>
        <v>80000</v>
      </c>
      <c r="G322">
        <f>VLOOKUP(D322,'2018_commission_structure'!$A$2:$C$4,2,FALSE)</f>
        <v>50000</v>
      </c>
      <c r="H322">
        <f t="shared" si="4"/>
        <v>0</v>
      </c>
      <c r="I322">
        <f>COUNTIF(deals_closed!D:D, A322)</f>
        <v>16</v>
      </c>
      <c r="K322" t="str">
        <f>_xlfn.CONCAT(B322, " ",C322)</f>
        <v>Leighton Garbar</v>
      </c>
    </row>
    <row r="323" spans="1:11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VLOOKUP(D323,'2018_commission_structure'!$A$2:$C$4,3,FALSE)</f>
        <v>65000</v>
      </c>
      <c r="G323">
        <f>VLOOKUP(D323,'2018_commission_structure'!$A$2:$C$4,2,FALSE)</f>
        <v>30000</v>
      </c>
      <c r="H323">
        <f t="shared" ref="H323:H386" si="5">IF(AND(E323&gt;=G323,E323&lt;=F323),0,1)</f>
        <v>0</v>
      </c>
      <c r="I323">
        <f>COUNTIF(deals_closed!D:D, A323)</f>
        <v>26</v>
      </c>
      <c r="K323" t="str">
        <f>_xlfn.CONCAT(B323, " ",C323)</f>
        <v>Laurice Miall</v>
      </c>
    </row>
    <row r="324" spans="1:11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VLOOKUP(D324,'2018_commission_structure'!$A$2:$C$4,3,FALSE)</f>
        <v>125000</v>
      </c>
      <c r="G324">
        <f>VLOOKUP(D324,'2018_commission_structure'!$A$2:$C$4,2,FALSE)</f>
        <v>75000</v>
      </c>
      <c r="H324">
        <f t="shared" si="5"/>
        <v>0</v>
      </c>
      <c r="I324">
        <f>COUNTIF(deals_closed!D:D, A324)</f>
        <v>16</v>
      </c>
      <c r="K324" t="str">
        <f>_xlfn.CONCAT(B324, " ",C324)</f>
        <v>Obadias Penelli</v>
      </c>
    </row>
    <row r="325" spans="1:11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VLOOKUP(D325,'2018_commission_structure'!$A$2:$C$4,3,FALSE)</f>
        <v>80000</v>
      </c>
      <c r="G325">
        <f>VLOOKUP(D325,'2018_commission_structure'!$A$2:$C$4,2,FALSE)</f>
        <v>50000</v>
      </c>
      <c r="H325">
        <f t="shared" si="5"/>
        <v>0</v>
      </c>
      <c r="I325">
        <f>COUNTIF(deals_closed!D:D, A325)</f>
        <v>16</v>
      </c>
      <c r="K325" t="str">
        <f>_xlfn.CONCAT(B325, " ",C325)</f>
        <v>Rafe Chorlton</v>
      </c>
    </row>
    <row r="326" spans="1:11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VLOOKUP(D326,'2018_commission_structure'!$A$2:$C$4,3,FALSE)</f>
        <v>80000</v>
      </c>
      <c r="G326">
        <f>VLOOKUP(D326,'2018_commission_structure'!$A$2:$C$4,2,FALSE)</f>
        <v>50000</v>
      </c>
      <c r="H326">
        <f t="shared" si="5"/>
        <v>0</v>
      </c>
      <c r="I326">
        <f>COUNTIF(deals_closed!D:D, A326)</f>
        <v>29</v>
      </c>
      <c r="K326" t="str">
        <f>_xlfn.CONCAT(B326, " ",C326)</f>
        <v>Charlotta Wines</v>
      </c>
    </row>
    <row r="327" spans="1:11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VLOOKUP(D327,'2018_commission_structure'!$A$2:$C$4,3,FALSE)</f>
        <v>80000</v>
      </c>
      <c r="G327">
        <f>VLOOKUP(D327,'2018_commission_structure'!$A$2:$C$4,2,FALSE)</f>
        <v>50000</v>
      </c>
      <c r="H327">
        <f t="shared" si="5"/>
        <v>0</v>
      </c>
      <c r="I327">
        <f>COUNTIF(deals_closed!D:D, A327)</f>
        <v>26</v>
      </c>
      <c r="K327" t="str">
        <f>_xlfn.CONCAT(B327, " ",C327)</f>
        <v>Bartlet Gerardeaux</v>
      </c>
    </row>
    <row r="328" spans="1:11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VLOOKUP(D328,'2018_commission_structure'!$A$2:$C$4,3,FALSE)</f>
        <v>125000</v>
      </c>
      <c r="G328">
        <f>VLOOKUP(D328,'2018_commission_structure'!$A$2:$C$4,2,FALSE)</f>
        <v>75000</v>
      </c>
      <c r="H328">
        <f t="shared" si="5"/>
        <v>0</v>
      </c>
      <c r="I328">
        <f>COUNTIF(deals_closed!D:D, A328)</f>
        <v>26</v>
      </c>
      <c r="K328" t="str">
        <f>_xlfn.CONCAT(B328, " ",C328)</f>
        <v>Elbertina Gounet</v>
      </c>
    </row>
    <row r="329" spans="1:11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VLOOKUP(D329,'2018_commission_structure'!$A$2:$C$4,3,FALSE)</f>
        <v>80000</v>
      </c>
      <c r="G329">
        <f>VLOOKUP(D329,'2018_commission_structure'!$A$2:$C$4,2,FALSE)</f>
        <v>50000</v>
      </c>
      <c r="H329">
        <f t="shared" si="5"/>
        <v>0</v>
      </c>
      <c r="I329">
        <f>COUNTIF(deals_closed!D:D, A329)</f>
        <v>11</v>
      </c>
      <c r="K329" t="str">
        <f>_xlfn.CONCAT(B329, " ",C329)</f>
        <v>Fredek Vaskin</v>
      </c>
    </row>
    <row r="330" spans="1:11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VLOOKUP(D330,'2018_commission_structure'!$A$2:$C$4,3,FALSE)</f>
        <v>65000</v>
      </c>
      <c r="G330">
        <f>VLOOKUP(D330,'2018_commission_structure'!$A$2:$C$4,2,FALSE)</f>
        <v>30000</v>
      </c>
      <c r="H330">
        <f t="shared" si="5"/>
        <v>0</v>
      </c>
      <c r="I330">
        <f>COUNTIF(deals_closed!D:D, A330)</f>
        <v>20</v>
      </c>
      <c r="K330" t="str">
        <f>_xlfn.CONCAT(B330, " ",C330)</f>
        <v>Cristiano Gyurko</v>
      </c>
    </row>
    <row r="331" spans="1:11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VLOOKUP(D331,'2018_commission_structure'!$A$2:$C$4,3,FALSE)</f>
        <v>125000</v>
      </c>
      <c r="G331">
        <f>VLOOKUP(D331,'2018_commission_structure'!$A$2:$C$4,2,FALSE)</f>
        <v>75000</v>
      </c>
      <c r="H331">
        <f t="shared" si="5"/>
        <v>0</v>
      </c>
      <c r="I331">
        <f>COUNTIF(deals_closed!D:D, A331)</f>
        <v>14</v>
      </c>
      <c r="K331" t="str">
        <f>_xlfn.CONCAT(B331, " ",C331)</f>
        <v>Delphine Denisard</v>
      </c>
    </row>
    <row r="332" spans="1:11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VLOOKUP(D332,'2018_commission_structure'!$A$2:$C$4,3,FALSE)</f>
        <v>125000</v>
      </c>
      <c r="G332">
        <f>VLOOKUP(D332,'2018_commission_structure'!$A$2:$C$4,2,FALSE)</f>
        <v>75000</v>
      </c>
      <c r="H332">
        <f t="shared" si="5"/>
        <v>0</v>
      </c>
      <c r="I332">
        <f>COUNTIF(deals_closed!D:D, A332)</f>
        <v>20</v>
      </c>
      <c r="K332" t="str">
        <f>_xlfn.CONCAT(B332, " ",C332)</f>
        <v>Celka Attoc</v>
      </c>
    </row>
    <row r="333" spans="1:11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VLOOKUP(D333,'2018_commission_structure'!$A$2:$C$4,3,FALSE)</f>
        <v>65000</v>
      </c>
      <c r="G333">
        <f>VLOOKUP(D333,'2018_commission_structure'!$A$2:$C$4,2,FALSE)</f>
        <v>30000</v>
      </c>
      <c r="H333">
        <f t="shared" si="5"/>
        <v>0</v>
      </c>
      <c r="I333">
        <f>COUNTIF(deals_closed!D:D, A333)</f>
        <v>16</v>
      </c>
      <c r="K333" t="str">
        <f>_xlfn.CONCAT(B333, " ",C333)</f>
        <v>Carmelle Utridge</v>
      </c>
    </row>
    <row r="334" spans="1:11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VLOOKUP(D334,'2018_commission_structure'!$A$2:$C$4,3,FALSE)</f>
        <v>125000</v>
      </c>
      <c r="G334">
        <f>VLOOKUP(D334,'2018_commission_structure'!$A$2:$C$4,2,FALSE)</f>
        <v>75000</v>
      </c>
      <c r="H334">
        <f t="shared" si="5"/>
        <v>0</v>
      </c>
      <c r="I334">
        <f>COUNTIF(deals_closed!D:D, A334)</f>
        <v>14</v>
      </c>
      <c r="K334" t="str">
        <f>_xlfn.CONCAT(B334, " ",C334)</f>
        <v>Ferrel Gainforth</v>
      </c>
    </row>
    <row r="335" spans="1:11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VLOOKUP(D335,'2018_commission_structure'!$A$2:$C$4,3,FALSE)</f>
        <v>80000</v>
      </c>
      <c r="G335">
        <f>VLOOKUP(D335,'2018_commission_structure'!$A$2:$C$4,2,FALSE)</f>
        <v>50000</v>
      </c>
      <c r="H335">
        <f t="shared" si="5"/>
        <v>0</v>
      </c>
      <c r="I335">
        <f>COUNTIF(deals_closed!D:D, A335)</f>
        <v>19</v>
      </c>
      <c r="K335" t="str">
        <f>_xlfn.CONCAT(B335, " ",C335)</f>
        <v>Tamqrah Flowerden</v>
      </c>
    </row>
    <row r="336" spans="1:11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VLOOKUP(D336,'2018_commission_structure'!$A$2:$C$4,3,FALSE)</f>
        <v>80000</v>
      </c>
      <c r="G336">
        <f>VLOOKUP(D336,'2018_commission_structure'!$A$2:$C$4,2,FALSE)</f>
        <v>50000</v>
      </c>
      <c r="H336">
        <f t="shared" si="5"/>
        <v>0</v>
      </c>
      <c r="I336">
        <f>COUNTIF(deals_closed!D:D, A336)</f>
        <v>21</v>
      </c>
      <c r="K336" t="str">
        <f>_xlfn.CONCAT(B336, " ",C336)</f>
        <v>Nanine Pummell</v>
      </c>
    </row>
    <row r="337" spans="1:11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VLOOKUP(D337,'2018_commission_structure'!$A$2:$C$4,3,FALSE)</f>
        <v>125000</v>
      </c>
      <c r="G337">
        <f>VLOOKUP(D337,'2018_commission_structure'!$A$2:$C$4,2,FALSE)</f>
        <v>75000</v>
      </c>
      <c r="H337">
        <f t="shared" si="5"/>
        <v>0</v>
      </c>
      <c r="I337">
        <f>COUNTIF(deals_closed!D:D, A337)</f>
        <v>31</v>
      </c>
      <c r="K337" t="str">
        <f>_xlfn.CONCAT(B337, " ",C337)</f>
        <v>Shaylynn Southern</v>
      </c>
    </row>
    <row r="338" spans="1:11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VLOOKUP(D338,'2018_commission_structure'!$A$2:$C$4,3,FALSE)</f>
        <v>80000</v>
      </c>
      <c r="G338">
        <f>VLOOKUP(D338,'2018_commission_structure'!$A$2:$C$4,2,FALSE)</f>
        <v>50000</v>
      </c>
      <c r="H338">
        <f t="shared" si="5"/>
        <v>0</v>
      </c>
      <c r="I338">
        <f>COUNTIF(deals_closed!D:D, A338)</f>
        <v>17</v>
      </c>
      <c r="K338" t="str">
        <f>_xlfn.CONCAT(B338, " ",C338)</f>
        <v>Logan Jansky</v>
      </c>
    </row>
    <row r="339" spans="1:11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VLOOKUP(D339,'2018_commission_structure'!$A$2:$C$4,3,FALSE)</f>
        <v>125000</v>
      </c>
      <c r="G339">
        <f>VLOOKUP(D339,'2018_commission_structure'!$A$2:$C$4,2,FALSE)</f>
        <v>75000</v>
      </c>
      <c r="H339">
        <f t="shared" si="5"/>
        <v>0</v>
      </c>
      <c r="I339">
        <f>COUNTIF(deals_closed!D:D, A339)</f>
        <v>15</v>
      </c>
      <c r="K339" t="str">
        <f>_xlfn.CONCAT(B339, " ",C339)</f>
        <v>Jermayne Duffie</v>
      </c>
    </row>
    <row r="340" spans="1:11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VLOOKUP(D340,'2018_commission_structure'!$A$2:$C$4,3,FALSE)</f>
        <v>65000</v>
      </c>
      <c r="G340">
        <f>VLOOKUP(D340,'2018_commission_structure'!$A$2:$C$4,2,FALSE)</f>
        <v>30000</v>
      </c>
      <c r="H340">
        <f t="shared" si="5"/>
        <v>0</v>
      </c>
      <c r="I340">
        <f>COUNTIF(deals_closed!D:D, A340)</f>
        <v>20</v>
      </c>
      <c r="K340" t="str">
        <f>_xlfn.CONCAT(B340, " ",C340)</f>
        <v>Orv Davidou</v>
      </c>
    </row>
    <row r="341" spans="1:11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VLOOKUP(D341,'2018_commission_structure'!$A$2:$C$4,3,FALSE)</f>
        <v>80000</v>
      </c>
      <c r="G341">
        <f>VLOOKUP(D341,'2018_commission_structure'!$A$2:$C$4,2,FALSE)</f>
        <v>50000</v>
      </c>
      <c r="H341">
        <f t="shared" si="5"/>
        <v>0</v>
      </c>
      <c r="I341">
        <f>COUNTIF(deals_closed!D:D, A341)</f>
        <v>24</v>
      </c>
      <c r="K341" t="str">
        <f>_xlfn.CONCAT(B341, " ",C341)</f>
        <v>Tam Doniso</v>
      </c>
    </row>
    <row r="342" spans="1:11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VLOOKUP(D342,'2018_commission_structure'!$A$2:$C$4,3,FALSE)</f>
        <v>80000</v>
      </c>
      <c r="G342">
        <f>VLOOKUP(D342,'2018_commission_structure'!$A$2:$C$4,2,FALSE)</f>
        <v>50000</v>
      </c>
      <c r="H342">
        <f t="shared" si="5"/>
        <v>0</v>
      </c>
      <c r="I342">
        <f>COUNTIF(deals_closed!D:D, A342)</f>
        <v>16</v>
      </c>
      <c r="K342" t="str">
        <f>_xlfn.CONCAT(B342, " ",C342)</f>
        <v>Abra Lenney</v>
      </c>
    </row>
    <row r="343" spans="1:11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VLOOKUP(D343,'2018_commission_structure'!$A$2:$C$4,3,FALSE)</f>
        <v>65000</v>
      </c>
      <c r="G343">
        <f>VLOOKUP(D343,'2018_commission_structure'!$A$2:$C$4,2,FALSE)</f>
        <v>30000</v>
      </c>
      <c r="H343">
        <f t="shared" si="5"/>
        <v>0</v>
      </c>
      <c r="I343">
        <f>COUNTIF(deals_closed!D:D, A343)</f>
        <v>14</v>
      </c>
      <c r="K343" t="str">
        <f>_xlfn.CONCAT(B343, " ",C343)</f>
        <v>Gennifer Bowdrey</v>
      </c>
    </row>
    <row r="344" spans="1:11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VLOOKUP(D344,'2018_commission_structure'!$A$2:$C$4,3,FALSE)</f>
        <v>125000</v>
      </c>
      <c r="G344">
        <f>VLOOKUP(D344,'2018_commission_structure'!$A$2:$C$4,2,FALSE)</f>
        <v>75000</v>
      </c>
      <c r="H344">
        <f t="shared" si="5"/>
        <v>0</v>
      </c>
      <c r="I344">
        <f>COUNTIF(deals_closed!D:D, A344)</f>
        <v>22</v>
      </c>
      <c r="K344" t="str">
        <f>_xlfn.CONCAT(B344, " ",C344)</f>
        <v>Massimo McDougle</v>
      </c>
    </row>
    <row r="345" spans="1:11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VLOOKUP(D345,'2018_commission_structure'!$A$2:$C$4,3,FALSE)</f>
        <v>80000</v>
      </c>
      <c r="G345">
        <f>VLOOKUP(D345,'2018_commission_structure'!$A$2:$C$4,2,FALSE)</f>
        <v>50000</v>
      </c>
      <c r="H345">
        <f t="shared" si="5"/>
        <v>0</v>
      </c>
      <c r="I345">
        <f>COUNTIF(deals_closed!D:D, A345)</f>
        <v>18</v>
      </c>
      <c r="K345" t="str">
        <f>_xlfn.CONCAT(B345, " ",C345)</f>
        <v>Tiphani Cuerda</v>
      </c>
    </row>
    <row r="346" spans="1:11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VLOOKUP(D346,'2018_commission_structure'!$A$2:$C$4,3,FALSE)</f>
        <v>80000</v>
      </c>
      <c r="G346">
        <f>VLOOKUP(D346,'2018_commission_structure'!$A$2:$C$4,2,FALSE)</f>
        <v>50000</v>
      </c>
      <c r="H346">
        <f t="shared" si="5"/>
        <v>0</v>
      </c>
      <c r="I346">
        <f>COUNTIF(deals_closed!D:D, A346)</f>
        <v>23</v>
      </c>
      <c r="K346" t="str">
        <f>_xlfn.CONCAT(B346, " ",C346)</f>
        <v>Leola Harhoff</v>
      </c>
    </row>
    <row r="347" spans="1:11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VLOOKUP(D347,'2018_commission_structure'!$A$2:$C$4,3,FALSE)</f>
        <v>65000</v>
      </c>
      <c r="G347">
        <f>VLOOKUP(D347,'2018_commission_structure'!$A$2:$C$4,2,FALSE)</f>
        <v>30000</v>
      </c>
      <c r="H347">
        <f t="shared" si="5"/>
        <v>0</v>
      </c>
      <c r="I347">
        <f>COUNTIF(deals_closed!D:D, A347)</f>
        <v>15</v>
      </c>
      <c r="K347" t="str">
        <f>_xlfn.CONCAT(B347, " ",C347)</f>
        <v>Lesli Baldini</v>
      </c>
    </row>
    <row r="348" spans="1:11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VLOOKUP(D348,'2018_commission_structure'!$A$2:$C$4,3,FALSE)</f>
        <v>65000</v>
      </c>
      <c r="G348">
        <f>VLOOKUP(D348,'2018_commission_structure'!$A$2:$C$4,2,FALSE)</f>
        <v>30000</v>
      </c>
      <c r="H348">
        <f t="shared" si="5"/>
        <v>0</v>
      </c>
      <c r="I348">
        <f>COUNTIF(deals_closed!D:D, A348)</f>
        <v>21</v>
      </c>
      <c r="K348" t="str">
        <f>_xlfn.CONCAT(B348, " ",C348)</f>
        <v>Matthus Dumphrey</v>
      </c>
    </row>
    <row r="349" spans="1:11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VLOOKUP(D349,'2018_commission_structure'!$A$2:$C$4,3,FALSE)</f>
        <v>80000</v>
      </c>
      <c r="G349">
        <f>VLOOKUP(D349,'2018_commission_structure'!$A$2:$C$4,2,FALSE)</f>
        <v>50000</v>
      </c>
      <c r="H349">
        <f t="shared" si="5"/>
        <v>0</v>
      </c>
      <c r="I349">
        <f>COUNTIF(deals_closed!D:D, A349)</f>
        <v>16</v>
      </c>
      <c r="K349" t="str">
        <f>_xlfn.CONCAT(B349, " ",C349)</f>
        <v>Boycey MacDermott</v>
      </c>
    </row>
    <row r="350" spans="1:11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VLOOKUP(D350,'2018_commission_structure'!$A$2:$C$4,3,FALSE)</f>
        <v>125000</v>
      </c>
      <c r="G350">
        <f>VLOOKUP(D350,'2018_commission_structure'!$A$2:$C$4,2,FALSE)</f>
        <v>75000</v>
      </c>
      <c r="H350">
        <f t="shared" si="5"/>
        <v>0</v>
      </c>
      <c r="I350">
        <f>COUNTIF(deals_closed!D:D, A350)</f>
        <v>20</v>
      </c>
      <c r="K350" t="str">
        <f>_xlfn.CONCAT(B350, " ",C350)</f>
        <v>Phillipe Corter</v>
      </c>
    </row>
    <row r="351" spans="1:11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VLOOKUP(D351,'2018_commission_structure'!$A$2:$C$4,3,FALSE)</f>
        <v>125000</v>
      </c>
      <c r="G351">
        <f>VLOOKUP(D351,'2018_commission_structure'!$A$2:$C$4,2,FALSE)</f>
        <v>75000</v>
      </c>
      <c r="H351">
        <f t="shared" si="5"/>
        <v>0</v>
      </c>
      <c r="I351">
        <f>COUNTIF(deals_closed!D:D, A351)</f>
        <v>12</v>
      </c>
      <c r="K351" t="str">
        <f>_xlfn.CONCAT(B351, " ",C351)</f>
        <v>Pierre Lambshine</v>
      </c>
    </row>
    <row r="352" spans="1:11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VLOOKUP(D352,'2018_commission_structure'!$A$2:$C$4,3,FALSE)</f>
        <v>80000</v>
      </c>
      <c r="G352">
        <f>VLOOKUP(D352,'2018_commission_structure'!$A$2:$C$4,2,FALSE)</f>
        <v>50000</v>
      </c>
      <c r="H352">
        <f t="shared" si="5"/>
        <v>0</v>
      </c>
      <c r="I352">
        <f>COUNTIF(deals_closed!D:D, A352)</f>
        <v>21</v>
      </c>
      <c r="K352" t="str">
        <f>_xlfn.CONCAT(B352, " ",C352)</f>
        <v>Hunter Erni</v>
      </c>
    </row>
    <row r="353" spans="1:11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VLOOKUP(D353,'2018_commission_structure'!$A$2:$C$4,3,FALSE)</f>
        <v>80000</v>
      </c>
      <c r="G353">
        <f>VLOOKUP(D353,'2018_commission_structure'!$A$2:$C$4,2,FALSE)</f>
        <v>50000</v>
      </c>
      <c r="H353">
        <f t="shared" si="5"/>
        <v>0</v>
      </c>
      <c r="I353">
        <f>COUNTIF(deals_closed!D:D, A353)</f>
        <v>19</v>
      </c>
      <c r="K353" t="str">
        <f>_xlfn.CONCAT(B353, " ",C353)</f>
        <v>Rainer Pirdy</v>
      </c>
    </row>
    <row r="354" spans="1:11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VLOOKUP(D354,'2018_commission_structure'!$A$2:$C$4,3,FALSE)</f>
        <v>125000</v>
      </c>
      <c r="G354">
        <f>VLOOKUP(D354,'2018_commission_structure'!$A$2:$C$4,2,FALSE)</f>
        <v>75000</v>
      </c>
      <c r="H354">
        <f t="shared" si="5"/>
        <v>0</v>
      </c>
      <c r="I354">
        <f>COUNTIF(deals_closed!D:D, A354)</f>
        <v>22</v>
      </c>
      <c r="K354" t="str">
        <f>_xlfn.CONCAT(B354, " ",C354)</f>
        <v>Lotty Foxall</v>
      </c>
    </row>
    <row r="355" spans="1:11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VLOOKUP(D355,'2018_commission_structure'!$A$2:$C$4,3,FALSE)</f>
        <v>80000</v>
      </c>
      <c r="G355">
        <f>VLOOKUP(D355,'2018_commission_structure'!$A$2:$C$4,2,FALSE)</f>
        <v>50000</v>
      </c>
      <c r="H355">
        <f t="shared" si="5"/>
        <v>0</v>
      </c>
      <c r="I355">
        <f>COUNTIF(deals_closed!D:D, A355)</f>
        <v>23</v>
      </c>
      <c r="K355" t="str">
        <f>_xlfn.CONCAT(B355, " ",C355)</f>
        <v>Cassius Roseaman</v>
      </c>
    </row>
    <row r="356" spans="1:11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VLOOKUP(D356,'2018_commission_structure'!$A$2:$C$4,3,FALSE)</f>
        <v>80000</v>
      </c>
      <c r="G356">
        <f>VLOOKUP(D356,'2018_commission_structure'!$A$2:$C$4,2,FALSE)</f>
        <v>50000</v>
      </c>
      <c r="H356">
        <f t="shared" si="5"/>
        <v>0</v>
      </c>
      <c r="I356">
        <f>COUNTIF(deals_closed!D:D, A356)</f>
        <v>26</v>
      </c>
      <c r="K356" t="str">
        <f>_xlfn.CONCAT(B356, " ",C356)</f>
        <v>Barn Doram</v>
      </c>
    </row>
    <row r="357" spans="1:11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VLOOKUP(D357,'2018_commission_structure'!$A$2:$C$4,3,FALSE)</f>
        <v>80000</v>
      </c>
      <c r="G357">
        <f>VLOOKUP(D357,'2018_commission_structure'!$A$2:$C$4,2,FALSE)</f>
        <v>50000</v>
      </c>
      <c r="H357">
        <f t="shared" si="5"/>
        <v>0</v>
      </c>
      <c r="I357">
        <f>COUNTIF(deals_closed!D:D, A357)</f>
        <v>16</v>
      </c>
      <c r="K357" t="str">
        <f>_xlfn.CONCAT(B357, " ",C357)</f>
        <v>Prentiss Chastaing</v>
      </c>
    </row>
    <row r="358" spans="1:11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VLOOKUP(D358,'2018_commission_structure'!$A$2:$C$4,3,FALSE)</f>
        <v>80000</v>
      </c>
      <c r="G358">
        <f>VLOOKUP(D358,'2018_commission_structure'!$A$2:$C$4,2,FALSE)</f>
        <v>50000</v>
      </c>
      <c r="H358">
        <f t="shared" si="5"/>
        <v>0</v>
      </c>
      <c r="I358">
        <f>COUNTIF(deals_closed!D:D, A358)</f>
        <v>22</v>
      </c>
      <c r="K358" t="str">
        <f>_xlfn.CONCAT(B358, " ",C358)</f>
        <v>Catherine Jerams</v>
      </c>
    </row>
    <row r="359" spans="1:11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VLOOKUP(D359,'2018_commission_structure'!$A$2:$C$4,3,FALSE)</f>
        <v>80000</v>
      </c>
      <c r="G359">
        <f>VLOOKUP(D359,'2018_commission_structure'!$A$2:$C$4,2,FALSE)</f>
        <v>50000</v>
      </c>
      <c r="H359">
        <f t="shared" si="5"/>
        <v>0</v>
      </c>
      <c r="I359">
        <f>COUNTIF(deals_closed!D:D, A359)</f>
        <v>16</v>
      </c>
      <c r="K359" t="str">
        <f>_xlfn.CONCAT(B359, " ",C359)</f>
        <v>Leelah Yarnton</v>
      </c>
    </row>
    <row r="360" spans="1:11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VLOOKUP(D360,'2018_commission_structure'!$A$2:$C$4,3,FALSE)</f>
        <v>125000</v>
      </c>
      <c r="G360">
        <f>VLOOKUP(D360,'2018_commission_structure'!$A$2:$C$4,2,FALSE)</f>
        <v>75000</v>
      </c>
      <c r="H360">
        <f t="shared" si="5"/>
        <v>0</v>
      </c>
      <c r="I360">
        <f>COUNTIF(deals_closed!D:D, A360)</f>
        <v>18</v>
      </c>
      <c r="K360" t="str">
        <f>_xlfn.CONCAT(B360, " ",C360)</f>
        <v>Geoff Greenmon</v>
      </c>
    </row>
    <row r="361" spans="1:11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VLOOKUP(D361,'2018_commission_structure'!$A$2:$C$4,3,FALSE)</f>
        <v>65000</v>
      </c>
      <c r="G361">
        <f>VLOOKUP(D361,'2018_commission_structure'!$A$2:$C$4,2,FALSE)</f>
        <v>30000</v>
      </c>
      <c r="H361">
        <f t="shared" si="5"/>
        <v>0</v>
      </c>
      <c r="I361">
        <f>COUNTIF(deals_closed!D:D, A361)</f>
        <v>20</v>
      </c>
      <c r="K361" t="str">
        <f>_xlfn.CONCAT(B361, " ",C361)</f>
        <v>Ranique Hyatt</v>
      </c>
    </row>
    <row r="362" spans="1:11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VLOOKUP(D362,'2018_commission_structure'!$A$2:$C$4,3,FALSE)</f>
        <v>65000</v>
      </c>
      <c r="G362">
        <f>VLOOKUP(D362,'2018_commission_structure'!$A$2:$C$4,2,FALSE)</f>
        <v>30000</v>
      </c>
      <c r="H362">
        <f t="shared" si="5"/>
        <v>0</v>
      </c>
      <c r="I362">
        <f>COUNTIF(deals_closed!D:D, A362)</f>
        <v>14</v>
      </c>
      <c r="K362" t="str">
        <f>_xlfn.CONCAT(B362, " ",C362)</f>
        <v>Vite Blethyn</v>
      </c>
    </row>
    <row r="363" spans="1:11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VLOOKUP(D363,'2018_commission_structure'!$A$2:$C$4,3,FALSE)</f>
        <v>125000</v>
      </c>
      <c r="G363">
        <f>VLOOKUP(D363,'2018_commission_structure'!$A$2:$C$4,2,FALSE)</f>
        <v>75000</v>
      </c>
      <c r="H363">
        <f t="shared" si="5"/>
        <v>0</v>
      </c>
      <c r="I363">
        <f>COUNTIF(deals_closed!D:D, A363)</f>
        <v>11</v>
      </c>
      <c r="K363" t="str">
        <f>_xlfn.CONCAT(B363, " ",C363)</f>
        <v>Helyn McQuaker</v>
      </c>
    </row>
    <row r="364" spans="1:11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VLOOKUP(D364,'2018_commission_structure'!$A$2:$C$4,3,FALSE)</f>
        <v>80000</v>
      </c>
      <c r="G364">
        <f>VLOOKUP(D364,'2018_commission_structure'!$A$2:$C$4,2,FALSE)</f>
        <v>50000</v>
      </c>
      <c r="H364">
        <f t="shared" si="5"/>
        <v>0</v>
      </c>
      <c r="I364">
        <f>COUNTIF(deals_closed!D:D, A364)</f>
        <v>20</v>
      </c>
      <c r="K364" t="str">
        <f>_xlfn.CONCAT(B364, " ",C364)</f>
        <v>Valencia Ubsdale</v>
      </c>
    </row>
    <row r="365" spans="1:11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VLOOKUP(D365,'2018_commission_structure'!$A$2:$C$4,3,FALSE)</f>
        <v>125000</v>
      </c>
      <c r="G365">
        <f>VLOOKUP(D365,'2018_commission_structure'!$A$2:$C$4,2,FALSE)</f>
        <v>75000</v>
      </c>
      <c r="H365">
        <f t="shared" si="5"/>
        <v>0</v>
      </c>
      <c r="I365">
        <f>COUNTIF(deals_closed!D:D, A365)</f>
        <v>19</v>
      </c>
      <c r="K365" t="str">
        <f>_xlfn.CONCAT(B365, " ",C365)</f>
        <v>Ike Pretorius</v>
      </c>
    </row>
    <row r="366" spans="1:11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VLOOKUP(D366,'2018_commission_structure'!$A$2:$C$4,3,FALSE)</f>
        <v>80000</v>
      </c>
      <c r="G366">
        <f>VLOOKUP(D366,'2018_commission_structure'!$A$2:$C$4,2,FALSE)</f>
        <v>50000</v>
      </c>
      <c r="H366">
        <f t="shared" si="5"/>
        <v>0</v>
      </c>
      <c r="I366">
        <f>COUNTIF(deals_closed!D:D, A366)</f>
        <v>29</v>
      </c>
      <c r="K366" t="str">
        <f>_xlfn.CONCAT(B366, " ",C366)</f>
        <v>Basilius Hawlgarth</v>
      </c>
    </row>
    <row r="367" spans="1:11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VLOOKUP(D367,'2018_commission_structure'!$A$2:$C$4,3,FALSE)</f>
        <v>65000</v>
      </c>
      <c r="G367">
        <f>VLOOKUP(D367,'2018_commission_structure'!$A$2:$C$4,2,FALSE)</f>
        <v>30000</v>
      </c>
      <c r="H367">
        <f t="shared" si="5"/>
        <v>0</v>
      </c>
      <c r="I367">
        <f>COUNTIF(deals_closed!D:D, A367)</f>
        <v>18</v>
      </c>
      <c r="K367" t="str">
        <f>_xlfn.CONCAT(B367, " ",C367)</f>
        <v>Terry Hess</v>
      </c>
    </row>
    <row r="368" spans="1:11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VLOOKUP(D368,'2018_commission_structure'!$A$2:$C$4,3,FALSE)</f>
        <v>65000</v>
      </c>
      <c r="G368">
        <f>VLOOKUP(D368,'2018_commission_structure'!$A$2:$C$4,2,FALSE)</f>
        <v>30000</v>
      </c>
      <c r="H368">
        <f t="shared" si="5"/>
        <v>0</v>
      </c>
      <c r="I368">
        <f>COUNTIF(deals_closed!D:D, A368)</f>
        <v>19</v>
      </c>
      <c r="K368" t="str">
        <f>_xlfn.CONCAT(B368, " ",C368)</f>
        <v>Alex Ateridge</v>
      </c>
    </row>
    <row r="369" spans="1:11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VLOOKUP(D369,'2018_commission_structure'!$A$2:$C$4,3,FALSE)</f>
        <v>80000</v>
      </c>
      <c r="G369">
        <f>VLOOKUP(D369,'2018_commission_structure'!$A$2:$C$4,2,FALSE)</f>
        <v>50000</v>
      </c>
      <c r="H369">
        <f t="shared" si="5"/>
        <v>0</v>
      </c>
      <c r="I369">
        <f>COUNTIF(deals_closed!D:D, A369)</f>
        <v>20</v>
      </c>
      <c r="K369" t="str">
        <f>_xlfn.CONCAT(B369, " ",C369)</f>
        <v>Minetta Maden</v>
      </c>
    </row>
    <row r="370" spans="1:11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VLOOKUP(D370,'2018_commission_structure'!$A$2:$C$4,3,FALSE)</f>
        <v>80000</v>
      </c>
      <c r="G370">
        <f>VLOOKUP(D370,'2018_commission_structure'!$A$2:$C$4,2,FALSE)</f>
        <v>50000</v>
      </c>
      <c r="H370">
        <f t="shared" si="5"/>
        <v>0</v>
      </c>
      <c r="I370">
        <f>COUNTIF(deals_closed!D:D, A370)</f>
        <v>17</v>
      </c>
      <c r="K370" t="str">
        <f>_xlfn.CONCAT(B370, " ",C370)</f>
        <v>Aubrey Suthren</v>
      </c>
    </row>
    <row r="371" spans="1:11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VLOOKUP(D371,'2018_commission_structure'!$A$2:$C$4,3,FALSE)</f>
        <v>80000</v>
      </c>
      <c r="G371">
        <f>VLOOKUP(D371,'2018_commission_structure'!$A$2:$C$4,2,FALSE)</f>
        <v>50000</v>
      </c>
      <c r="H371">
        <f t="shared" si="5"/>
        <v>0</v>
      </c>
      <c r="I371">
        <f>COUNTIF(deals_closed!D:D, A371)</f>
        <v>17</v>
      </c>
      <c r="K371" t="str">
        <f>_xlfn.CONCAT(B371, " ",C371)</f>
        <v>Jonah Lobb</v>
      </c>
    </row>
    <row r="372" spans="1:11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VLOOKUP(D372,'2018_commission_structure'!$A$2:$C$4,3,FALSE)</f>
        <v>125000</v>
      </c>
      <c r="G372">
        <f>VLOOKUP(D372,'2018_commission_structure'!$A$2:$C$4,2,FALSE)</f>
        <v>75000</v>
      </c>
      <c r="H372">
        <f t="shared" si="5"/>
        <v>0</v>
      </c>
      <c r="I372">
        <f>COUNTIF(deals_closed!D:D, A372)</f>
        <v>23</v>
      </c>
      <c r="K372" t="str">
        <f>_xlfn.CONCAT(B372, " ",C372)</f>
        <v>Cordelia Goodered</v>
      </c>
    </row>
    <row r="373" spans="1:11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VLOOKUP(D373,'2018_commission_structure'!$A$2:$C$4,3,FALSE)</f>
        <v>65000</v>
      </c>
      <c r="G373">
        <f>VLOOKUP(D373,'2018_commission_structure'!$A$2:$C$4,2,FALSE)</f>
        <v>30000</v>
      </c>
      <c r="H373">
        <f t="shared" si="5"/>
        <v>0</v>
      </c>
      <c r="I373">
        <f>COUNTIF(deals_closed!D:D, A373)</f>
        <v>22</v>
      </c>
      <c r="K373" t="str">
        <f>_xlfn.CONCAT(B373, " ",C373)</f>
        <v>Claire Espinos</v>
      </c>
    </row>
    <row r="374" spans="1:11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VLOOKUP(D374,'2018_commission_structure'!$A$2:$C$4,3,FALSE)</f>
        <v>80000</v>
      </c>
      <c r="G374">
        <f>VLOOKUP(D374,'2018_commission_structure'!$A$2:$C$4,2,FALSE)</f>
        <v>50000</v>
      </c>
      <c r="H374">
        <f t="shared" si="5"/>
        <v>0</v>
      </c>
      <c r="I374">
        <f>COUNTIF(deals_closed!D:D, A374)</f>
        <v>18</v>
      </c>
      <c r="K374" t="str">
        <f>_xlfn.CONCAT(B374, " ",C374)</f>
        <v>Temple Dorracott</v>
      </c>
    </row>
    <row r="375" spans="1:11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VLOOKUP(D375,'2018_commission_structure'!$A$2:$C$4,3,FALSE)</f>
        <v>125000</v>
      </c>
      <c r="G375">
        <f>VLOOKUP(D375,'2018_commission_structure'!$A$2:$C$4,2,FALSE)</f>
        <v>75000</v>
      </c>
      <c r="H375">
        <f t="shared" si="5"/>
        <v>0</v>
      </c>
      <c r="I375">
        <f>COUNTIF(deals_closed!D:D, A375)</f>
        <v>19</v>
      </c>
      <c r="K375" t="str">
        <f>_xlfn.CONCAT(B375, " ",C375)</f>
        <v>Maure Quinane</v>
      </c>
    </row>
    <row r="376" spans="1:11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VLOOKUP(D376,'2018_commission_structure'!$A$2:$C$4,3,FALSE)</f>
        <v>125000</v>
      </c>
      <c r="G376">
        <f>VLOOKUP(D376,'2018_commission_structure'!$A$2:$C$4,2,FALSE)</f>
        <v>75000</v>
      </c>
      <c r="H376">
        <f t="shared" si="5"/>
        <v>0</v>
      </c>
      <c r="I376">
        <f>COUNTIF(deals_closed!D:D, A376)</f>
        <v>22</v>
      </c>
      <c r="K376" t="str">
        <f>_xlfn.CONCAT(B376, " ",C376)</f>
        <v>Orion Robak</v>
      </c>
    </row>
    <row r="377" spans="1:11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VLOOKUP(D377,'2018_commission_structure'!$A$2:$C$4,3,FALSE)</f>
        <v>65000</v>
      </c>
      <c r="G377">
        <f>VLOOKUP(D377,'2018_commission_structure'!$A$2:$C$4,2,FALSE)</f>
        <v>30000</v>
      </c>
      <c r="H377">
        <f t="shared" si="5"/>
        <v>0</v>
      </c>
      <c r="I377">
        <f>COUNTIF(deals_closed!D:D, A377)</f>
        <v>23</v>
      </c>
      <c r="K377" t="str">
        <f>_xlfn.CONCAT(B377, " ",C377)</f>
        <v>Nikolaus Plampeyn</v>
      </c>
    </row>
    <row r="378" spans="1:11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VLOOKUP(D378,'2018_commission_structure'!$A$2:$C$4,3,FALSE)</f>
        <v>80000</v>
      </c>
      <c r="G378">
        <f>VLOOKUP(D378,'2018_commission_structure'!$A$2:$C$4,2,FALSE)</f>
        <v>50000</v>
      </c>
      <c r="H378">
        <f t="shared" si="5"/>
        <v>0</v>
      </c>
      <c r="I378">
        <f>COUNTIF(deals_closed!D:D, A378)</f>
        <v>19</v>
      </c>
      <c r="K378" t="str">
        <f>_xlfn.CONCAT(B378, " ",C378)</f>
        <v>Daphna Dyson</v>
      </c>
    </row>
    <row r="379" spans="1:11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VLOOKUP(D379,'2018_commission_structure'!$A$2:$C$4,3,FALSE)</f>
        <v>65000</v>
      </c>
      <c r="G379">
        <f>VLOOKUP(D379,'2018_commission_structure'!$A$2:$C$4,2,FALSE)</f>
        <v>30000</v>
      </c>
      <c r="H379">
        <f t="shared" si="5"/>
        <v>0</v>
      </c>
      <c r="I379">
        <f>COUNTIF(deals_closed!D:D, A379)</f>
        <v>17</v>
      </c>
      <c r="K379" t="str">
        <f>_xlfn.CONCAT(B379, " ",C379)</f>
        <v>Archy Petri</v>
      </c>
    </row>
    <row r="380" spans="1:11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VLOOKUP(D380,'2018_commission_structure'!$A$2:$C$4,3,FALSE)</f>
        <v>125000</v>
      </c>
      <c r="G380">
        <f>VLOOKUP(D380,'2018_commission_structure'!$A$2:$C$4,2,FALSE)</f>
        <v>75000</v>
      </c>
      <c r="H380">
        <f t="shared" si="5"/>
        <v>0</v>
      </c>
      <c r="I380">
        <f>COUNTIF(deals_closed!D:D, A380)</f>
        <v>14</v>
      </c>
      <c r="K380" t="str">
        <f>_xlfn.CONCAT(B380, " ",C380)</f>
        <v>Tim Koschek</v>
      </c>
    </row>
    <row r="381" spans="1:11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VLOOKUP(D381,'2018_commission_structure'!$A$2:$C$4,3,FALSE)</f>
        <v>125000</v>
      </c>
      <c r="G381">
        <f>VLOOKUP(D381,'2018_commission_structure'!$A$2:$C$4,2,FALSE)</f>
        <v>75000</v>
      </c>
      <c r="H381">
        <f t="shared" si="5"/>
        <v>0</v>
      </c>
      <c r="I381">
        <f>COUNTIF(deals_closed!D:D, A381)</f>
        <v>17</v>
      </c>
      <c r="K381" t="str">
        <f>_xlfn.CONCAT(B381, " ",C381)</f>
        <v>Codie Ardy</v>
      </c>
    </row>
    <row r="382" spans="1:11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VLOOKUP(D382,'2018_commission_structure'!$A$2:$C$4,3,FALSE)</f>
        <v>125000</v>
      </c>
      <c r="G382">
        <f>VLOOKUP(D382,'2018_commission_structure'!$A$2:$C$4,2,FALSE)</f>
        <v>75000</v>
      </c>
      <c r="H382">
        <f t="shared" si="5"/>
        <v>0</v>
      </c>
      <c r="I382">
        <f>COUNTIF(deals_closed!D:D, A382)</f>
        <v>20</v>
      </c>
      <c r="K382" t="str">
        <f>_xlfn.CONCAT(B382, " ",C382)</f>
        <v>Maryjo Laxe</v>
      </c>
    </row>
    <row r="383" spans="1:11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VLOOKUP(D383,'2018_commission_structure'!$A$2:$C$4,3,FALSE)</f>
        <v>125000</v>
      </c>
      <c r="G383">
        <f>VLOOKUP(D383,'2018_commission_structure'!$A$2:$C$4,2,FALSE)</f>
        <v>75000</v>
      </c>
      <c r="H383">
        <f t="shared" si="5"/>
        <v>0</v>
      </c>
      <c r="I383">
        <f>COUNTIF(deals_closed!D:D, A383)</f>
        <v>14</v>
      </c>
      <c r="K383" t="str">
        <f>_xlfn.CONCAT(B383, " ",C383)</f>
        <v>Matthias Haestier</v>
      </c>
    </row>
    <row r="384" spans="1:11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VLOOKUP(D384,'2018_commission_structure'!$A$2:$C$4,3,FALSE)</f>
        <v>80000</v>
      </c>
      <c r="G384">
        <f>VLOOKUP(D384,'2018_commission_structure'!$A$2:$C$4,2,FALSE)</f>
        <v>50000</v>
      </c>
      <c r="H384">
        <f t="shared" si="5"/>
        <v>0</v>
      </c>
      <c r="I384">
        <f>COUNTIF(deals_closed!D:D, A384)</f>
        <v>23</v>
      </c>
      <c r="K384" t="str">
        <f>_xlfn.CONCAT(B384, " ",C384)</f>
        <v>Roger Guiet</v>
      </c>
    </row>
    <row r="385" spans="1:11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VLOOKUP(D385,'2018_commission_structure'!$A$2:$C$4,3,FALSE)</f>
        <v>125000</v>
      </c>
      <c r="G385">
        <f>VLOOKUP(D385,'2018_commission_structure'!$A$2:$C$4,2,FALSE)</f>
        <v>75000</v>
      </c>
      <c r="H385">
        <f t="shared" si="5"/>
        <v>0</v>
      </c>
      <c r="I385">
        <f>COUNTIF(deals_closed!D:D, A385)</f>
        <v>15</v>
      </c>
      <c r="K385" t="str">
        <f>_xlfn.CONCAT(B385, " ",C385)</f>
        <v>Ethyl Klaff</v>
      </c>
    </row>
    <row r="386" spans="1:11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VLOOKUP(D386,'2018_commission_structure'!$A$2:$C$4,3,FALSE)</f>
        <v>125000</v>
      </c>
      <c r="G386">
        <f>VLOOKUP(D386,'2018_commission_structure'!$A$2:$C$4,2,FALSE)</f>
        <v>75000</v>
      </c>
      <c r="H386">
        <f t="shared" si="5"/>
        <v>0</v>
      </c>
      <c r="I386">
        <f>COUNTIF(deals_closed!D:D, A386)</f>
        <v>19</v>
      </c>
      <c r="K386" t="str">
        <f>_xlfn.CONCAT(B386, " ",C386)</f>
        <v>Licha Whitemarsh</v>
      </c>
    </row>
    <row r="387" spans="1:11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VLOOKUP(D387,'2018_commission_structure'!$A$2:$C$4,3,FALSE)</f>
        <v>80000</v>
      </c>
      <c r="G387">
        <f>VLOOKUP(D387,'2018_commission_structure'!$A$2:$C$4,2,FALSE)</f>
        <v>50000</v>
      </c>
      <c r="H387">
        <f t="shared" ref="H387:H450" si="6">IF(AND(E387&gt;=G387,E387&lt;=F387),0,1)</f>
        <v>0</v>
      </c>
      <c r="I387">
        <f>COUNTIF(deals_closed!D:D, A387)</f>
        <v>23</v>
      </c>
      <c r="K387" t="str">
        <f>_xlfn.CONCAT(B387, " ",C387)</f>
        <v>Sherlock Duffell</v>
      </c>
    </row>
    <row r="388" spans="1:11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VLOOKUP(D388,'2018_commission_structure'!$A$2:$C$4,3,FALSE)</f>
        <v>125000</v>
      </c>
      <c r="G388">
        <f>VLOOKUP(D388,'2018_commission_structure'!$A$2:$C$4,2,FALSE)</f>
        <v>75000</v>
      </c>
      <c r="H388">
        <f t="shared" si="6"/>
        <v>0</v>
      </c>
      <c r="I388">
        <f>COUNTIF(deals_closed!D:D, A388)</f>
        <v>19</v>
      </c>
      <c r="K388" t="str">
        <f>_xlfn.CONCAT(B388, " ",C388)</f>
        <v>Ahmed Roizn</v>
      </c>
    </row>
    <row r="389" spans="1:11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VLOOKUP(D389,'2018_commission_structure'!$A$2:$C$4,3,FALSE)</f>
        <v>125000</v>
      </c>
      <c r="G389">
        <f>VLOOKUP(D389,'2018_commission_structure'!$A$2:$C$4,2,FALSE)</f>
        <v>75000</v>
      </c>
      <c r="H389">
        <f t="shared" si="6"/>
        <v>0</v>
      </c>
      <c r="I389">
        <f>COUNTIF(deals_closed!D:D, A389)</f>
        <v>20</v>
      </c>
      <c r="K389" t="str">
        <f>_xlfn.CONCAT(B389, " ",C389)</f>
        <v>Willem Juschke</v>
      </c>
    </row>
    <row r="390" spans="1:11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VLOOKUP(D390,'2018_commission_structure'!$A$2:$C$4,3,FALSE)</f>
        <v>80000</v>
      </c>
      <c r="G390">
        <f>VLOOKUP(D390,'2018_commission_structure'!$A$2:$C$4,2,FALSE)</f>
        <v>50000</v>
      </c>
      <c r="H390">
        <f t="shared" si="6"/>
        <v>0</v>
      </c>
      <c r="I390">
        <f>COUNTIF(deals_closed!D:D, A390)</f>
        <v>17</v>
      </c>
      <c r="K390" t="str">
        <f>_xlfn.CONCAT(B390, " ",C390)</f>
        <v>Bobbi Denis</v>
      </c>
    </row>
    <row r="391" spans="1:11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VLOOKUP(D391,'2018_commission_structure'!$A$2:$C$4,3,FALSE)</f>
        <v>125000</v>
      </c>
      <c r="G391">
        <f>VLOOKUP(D391,'2018_commission_structure'!$A$2:$C$4,2,FALSE)</f>
        <v>75000</v>
      </c>
      <c r="H391">
        <f t="shared" si="6"/>
        <v>0</v>
      </c>
      <c r="I391">
        <f>COUNTIF(deals_closed!D:D, A391)</f>
        <v>20</v>
      </c>
      <c r="K391" t="str">
        <f>_xlfn.CONCAT(B391, " ",C391)</f>
        <v>Ferdinand Filippucci</v>
      </c>
    </row>
    <row r="392" spans="1:11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VLOOKUP(D392,'2018_commission_structure'!$A$2:$C$4,3,FALSE)</f>
        <v>65000</v>
      </c>
      <c r="G392">
        <f>VLOOKUP(D392,'2018_commission_structure'!$A$2:$C$4,2,FALSE)</f>
        <v>30000</v>
      </c>
      <c r="H392">
        <f t="shared" si="6"/>
        <v>0</v>
      </c>
      <c r="I392">
        <f>COUNTIF(deals_closed!D:D, A392)</f>
        <v>19</v>
      </c>
      <c r="K392" t="str">
        <f>_xlfn.CONCAT(B392, " ",C392)</f>
        <v>Wait Rosenbaum</v>
      </c>
    </row>
    <row r="393" spans="1:11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VLOOKUP(D393,'2018_commission_structure'!$A$2:$C$4,3,FALSE)</f>
        <v>65000</v>
      </c>
      <c r="G393">
        <f>VLOOKUP(D393,'2018_commission_structure'!$A$2:$C$4,2,FALSE)</f>
        <v>30000</v>
      </c>
      <c r="H393">
        <f t="shared" si="6"/>
        <v>0</v>
      </c>
      <c r="I393">
        <f>COUNTIF(deals_closed!D:D, A393)</f>
        <v>24</v>
      </c>
      <c r="K393" t="str">
        <f>_xlfn.CONCAT(B393, " ",C393)</f>
        <v>Bernard Lefeuvre</v>
      </c>
    </row>
    <row r="394" spans="1:11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VLOOKUP(D394,'2018_commission_structure'!$A$2:$C$4,3,FALSE)</f>
        <v>65000</v>
      </c>
      <c r="G394">
        <f>VLOOKUP(D394,'2018_commission_structure'!$A$2:$C$4,2,FALSE)</f>
        <v>30000</v>
      </c>
      <c r="H394">
        <f t="shared" si="6"/>
        <v>0</v>
      </c>
      <c r="I394">
        <f>COUNTIF(deals_closed!D:D, A394)</f>
        <v>18</v>
      </c>
      <c r="K394" t="str">
        <f>_xlfn.CONCAT(B394, " ",C394)</f>
        <v>Jessa Wasbrough</v>
      </c>
    </row>
    <row r="395" spans="1:11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VLOOKUP(D395,'2018_commission_structure'!$A$2:$C$4,3,FALSE)</f>
        <v>80000</v>
      </c>
      <c r="G395">
        <f>VLOOKUP(D395,'2018_commission_structure'!$A$2:$C$4,2,FALSE)</f>
        <v>50000</v>
      </c>
      <c r="H395">
        <f t="shared" si="6"/>
        <v>0</v>
      </c>
      <c r="I395">
        <f>COUNTIF(deals_closed!D:D, A395)</f>
        <v>9</v>
      </c>
      <c r="K395" t="str">
        <f>_xlfn.CONCAT(B395, " ",C395)</f>
        <v>Merilee Leverich</v>
      </c>
    </row>
    <row r="396" spans="1:11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VLOOKUP(D396,'2018_commission_structure'!$A$2:$C$4,3,FALSE)</f>
        <v>65000</v>
      </c>
      <c r="G396">
        <f>VLOOKUP(D396,'2018_commission_structure'!$A$2:$C$4,2,FALSE)</f>
        <v>30000</v>
      </c>
      <c r="H396">
        <f t="shared" si="6"/>
        <v>0</v>
      </c>
      <c r="I396">
        <f>COUNTIF(deals_closed!D:D, A396)</f>
        <v>11</v>
      </c>
      <c r="K396" t="str">
        <f>_xlfn.CONCAT(B396, " ",C396)</f>
        <v>Chas Manthorpe</v>
      </c>
    </row>
    <row r="397" spans="1:11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VLOOKUP(D397,'2018_commission_structure'!$A$2:$C$4,3,FALSE)</f>
        <v>65000</v>
      </c>
      <c r="G397">
        <f>VLOOKUP(D397,'2018_commission_structure'!$A$2:$C$4,2,FALSE)</f>
        <v>30000</v>
      </c>
      <c r="H397">
        <f t="shared" si="6"/>
        <v>0</v>
      </c>
      <c r="I397">
        <f>COUNTIF(deals_closed!D:D, A397)</f>
        <v>23</v>
      </c>
      <c r="K397" t="str">
        <f>_xlfn.CONCAT(B397, " ",C397)</f>
        <v>Wallas Riolfi</v>
      </c>
    </row>
    <row r="398" spans="1:11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VLOOKUP(D398,'2018_commission_structure'!$A$2:$C$4,3,FALSE)</f>
        <v>80000</v>
      </c>
      <c r="G398">
        <f>VLOOKUP(D398,'2018_commission_structure'!$A$2:$C$4,2,FALSE)</f>
        <v>50000</v>
      </c>
      <c r="H398">
        <f t="shared" si="6"/>
        <v>0</v>
      </c>
      <c r="I398">
        <f>COUNTIF(deals_closed!D:D, A398)</f>
        <v>15</v>
      </c>
      <c r="K398" t="str">
        <f>_xlfn.CONCAT(B398, " ",C398)</f>
        <v>Hew Lamborne</v>
      </c>
    </row>
    <row r="399" spans="1:11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VLOOKUP(D399,'2018_commission_structure'!$A$2:$C$4,3,FALSE)</f>
        <v>80000</v>
      </c>
      <c r="G399">
        <f>VLOOKUP(D399,'2018_commission_structure'!$A$2:$C$4,2,FALSE)</f>
        <v>50000</v>
      </c>
      <c r="H399">
        <f t="shared" si="6"/>
        <v>0</v>
      </c>
      <c r="I399">
        <f>COUNTIF(deals_closed!D:D, A399)</f>
        <v>17</v>
      </c>
      <c r="K399" t="str">
        <f>_xlfn.CONCAT(B399, " ",C399)</f>
        <v>Desmond Simmins</v>
      </c>
    </row>
    <row r="400" spans="1:11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VLOOKUP(D400,'2018_commission_structure'!$A$2:$C$4,3,FALSE)</f>
        <v>80000</v>
      </c>
      <c r="G400">
        <f>VLOOKUP(D400,'2018_commission_structure'!$A$2:$C$4,2,FALSE)</f>
        <v>50000</v>
      </c>
      <c r="H400">
        <f t="shared" si="6"/>
        <v>0</v>
      </c>
      <c r="I400">
        <f>COUNTIF(deals_closed!D:D, A400)</f>
        <v>9</v>
      </c>
      <c r="K400" t="str">
        <f>_xlfn.CONCAT(B400, " ",C400)</f>
        <v>Rafe Leman</v>
      </c>
    </row>
    <row r="401" spans="1:11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VLOOKUP(D401,'2018_commission_structure'!$A$2:$C$4,3,FALSE)</f>
        <v>80000</v>
      </c>
      <c r="G401">
        <f>VLOOKUP(D401,'2018_commission_structure'!$A$2:$C$4,2,FALSE)</f>
        <v>50000</v>
      </c>
      <c r="H401">
        <f t="shared" si="6"/>
        <v>0</v>
      </c>
      <c r="I401">
        <f>COUNTIF(deals_closed!D:D, A401)</f>
        <v>25</v>
      </c>
      <c r="K401" t="str">
        <f>_xlfn.CONCAT(B401, " ",C401)</f>
        <v>Jone Sleep</v>
      </c>
    </row>
    <row r="402" spans="1:11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VLOOKUP(D402,'2018_commission_structure'!$A$2:$C$4,3,FALSE)</f>
        <v>80000</v>
      </c>
      <c r="G402">
        <f>VLOOKUP(D402,'2018_commission_structure'!$A$2:$C$4,2,FALSE)</f>
        <v>50000</v>
      </c>
      <c r="H402">
        <f t="shared" si="6"/>
        <v>0</v>
      </c>
      <c r="I402">
        <f>COUNTIF(deals_closed!D:D, A402)</f>
        <v>15</v>
      </c>
      <c r="K402" t="str">
        <f>_xlfn.CONCAT(B402, " ",C402)</f>
        <v>Nil Dowden</v>
      </c>
    </row>
    <row r="403" spans="1:11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VLOOKUP(D403,'2018_commission_structure'!$A$2:$C$4,3,FALSE)</f>
        <v>125000</v>
      </c>
      <c r="G403">
        <f>VLOOKUP(D403,'2018_commission_structure'!$A$2:$C$4,2,FALSE)</f>
        <v>75000</v>
      </c>
      <c r="H403">
        <f t="shared" si="6"/>
        <v>0</v>
      </c>
      <c r="I403">
        <f>COUNTIF(deals_closed!D:D, A403)</f>
        <v>24</v>
      </c>
      <c r="K403" t="str">
        <f>_xlfn.CONCAT(B403, " ",C403)</f>
        <v>Keenan Kruszelnicki</v>
      </c>
    </row>
    <row r="404" spans="1:11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VLOOKUP(D404,'2018_commission_structure'!$A$2:$C$4,3,FALSE)</f>
        <v>125000</v>
      </c>
      <c r="G404">
        <f>VLOOKUP(D404,'2018_commission_structure'!$A$2:$C$4,2,FALSE)</f>
        <v>75000</v>
      </c>
      <c r="H404">
        <f t="shared" si="6"/>
        <v>0</v>
      </c>
      <c r="I404">
        <f>COUNTIF(deals_closed!D:D, A404)</f>
        <v>23</v>
      </c>
      <c r="K404" t="str">
        <f>_xlfn.CONCAT(B404, " ",C404)</f>
        <v>Natassia Baldoni</v>
      </c>
    </row>
    <row r="405" spans="1:11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VLOOKUP(D405,'2018_commission_structure'!$A$2:$C$4,3,FALSE)</f>
        <v>80000</v>
      </c>
      <c r="G405">
        <f>VLOOKUP(D405,'2018_commission_structure'!$A$2:$C$4,2,FALSE)</f>
        <v>50000</v>
      </c>
      <c r="H405">
        <f t="shared" si="6"/>
        <v>0</v>
      </c>
      <c r="I405">
        <f>COUNTIF(deals_closed!D:D, A405)</f>
        <v>25</v>
      </c>
      <c r="K405" t="str">
        <f>_xlfn.CONCAT(B405, " ",C405)</f>
        <v>Alyse Abrahmer</v>
      </c>
    </row>
    <row r="406" spans="1:11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VLOOKUP(D406,'2018_commission_structure'!$A$2:$C$4,3,FALSE)</f>
        <v>125000</v>
      </c>
      <c r="G406">
        <f>VLOOKUP(D406,'2018_commission_structure'!$A$2:$C$4,2,FALSE)</f>
        <v>75000</v>
      </c>
      <c r="H406">
        <f t="shared" si="6"/>
        <v>0</v>
      </c>
      <c r="I406">
        <f>COUNTIF(deals_closed!D:D, A406)</f>
        <v>19</v>
      </c>
      <c r="K406" t="str">
        <f>_xlfn.CONCAT(B406, " ",C406)</f>
        <v>Brewer Hartright</v>
      </c>
    </row>
    <row r="407" spans="1:11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VLOOKUP(D407,'2018_commission_structure'!$A$2:$C$4,3,FALSE)</f>
        <v>80000</v>
      </c>
      <c r="G407">
        <f>VLOOKUP(D407,'2018_commission_structure'!$A$2:$C$4,2,FALSE)</f>
        <v>50000</v>
      </c>
      <c r="H407">
        <f t="shared" si="6"/>
        <v>0</v>
      </c>
      <c r="I407">
        <f>COUNTIF(deals_closed!D:D, A407)</f>
        <v>16</v>
      </c>
      <c r="K407" t="str">
        <f>_xlfn.CONCAT(B407, " ",C407)</f>
        <v>Walker Bartels</v>
      </c>
    </row>
    <row r="408" spans="1:11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VLOOKUP(D408,'2018_commission_structure'!$A$2:$C$4,3,FALSE)</f>
        <v>80000</v>
      </c>
      <c r="G408">
        <f>VLOOKUP(D408,'2018_commission_structure'!$A$2:$C$4,2,FALSE)</f>
        <v>50000</v>
      </c>
      <c r="H408">
        <f t="shared" si="6"/>
        <v>0</v>
      </c>
      <c r="I408">
        <f>COUNTIF(deals_closed!D:D, A408)</f>
        <v>23</v>
      </c>
      <c r="K408" t="str">
        <f>_xlfn.CONCAT(B408, " ",C408)</f>
        <v>Filip Stellman</v>
      </c>
    </row>
    <row r="409" spans="1:11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VLOOKUP(D409,'2018_commission_structure'!$A$2:$C$4,3,FALSE)</f>
        <v>65000</v>
      </c>
      <c r="G409">
        <f>VLOOKUP(D409,'2018_commission_structure'!$A$2:$C$4,2,FALSE)</f>
        <v>30000</v>
      </c>
      <c r="H409">
        <f t="shared" si="6"/>
        <v>0</v>
      </c>
      <c r="I409">
        <f>COUNTIF(deals_closed!D:D, A409)</f>
        <v>11</v>
      </c>
      <c r="K409" t="str">
        <f>_xlfn.CONCAT(B409, " ",C409)</f>
        <v>Teresina Howling</v>
      </c>
    </row>
    <row r="410" spans="1:11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VLOOKUP(D410,'2018_commission_structure'!$A$2:$C$4,3,FALSE)</f>
        <v>125000</v>
      </c>
      <c r="G410">
        <f>VLOOKUP(D410,'2018_commission_structure'!$A$2:$C$4,2,FALSE)</f>
        <v>75000</v>
      </c>
      <c r="H410">
        <f t="shared" si="6"/>
        <v>0</v>
      </c>
      <c r="I410">
        <f>COUNTIF(deals_closed!D:D, A410)</f>
        <v>14</v>
      </c>
      <c r="K410" t="str">
        <f>_xlfn.CONCAT(B410, " ",C410)</f>
        <v>Christye Spraging</v>
      </c>
    </row>
    <row r="411" spans="1:11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VLOOKUP(D411,'2018_commission_structure'!$A$2:$C$4,3,FALSE)</f>
        <v>125000</v>
      </c>
      <c r="G411">
        <f>VLOOKUP(D411,'2018_commission_structure'!$A$2:$C$4,2,FALSE)</f>
        <v>75000</v>
      </c>
      <c r="H411">
        <f t="shared" si="6"/>
        <v>0</v>
      </c>
      <c r="I411">
        <f>COUNTIF(deals_closed!D:D, A411)</f>
        <v>15</v>
      </c>
      <c r="K411" t="str">
        <f>_xlfn.CONCAT(B411, " ",C411)</f>
        <v>Elaina Shelmardine</v>
      </c>
    </row>
    <row r="412" spans="1:11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VLOOKUP(D412,'2018_commission_structure'!$A$2:$C$4,3,FALSE)</f>
        <v>80000</v>
      </c>
      <c r="G412">
        <f>VLOOKUP(D412,'2018_commission_structure'!$A$2:$C$4,2,FALSE)</f>
        <v>50000</v>
      </c>
      <c r="H412">
        <f t="shared" si="6"/>
        <v>0</v>
      </c>
      <c r="I412">
        <f>COUNTIF(deals_closed!D:D, A412)</f>
        <v>22</v>
      </c>
      <c r="K412" t="str">
        <f>_xlfn.CONCAT(B412, " ",C412)</f>
        <v>Viv Czajka</v>
      </c>
    </row>
    <row r="413" spans="1:11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VLOOKUP(D413,'2018_commission_structure'!$A$2:$C$4,3,FALSE)</f>
        <v>80000</v>
      </c>
      <c r="G413">
        <f>VLOOKUP(D413,'2018_commission_structure'!$A$2:$C$4,2,FALSE)</f>
        <v>50000</v>
      </c>
      <c r="H413">
        <f t="shared" si="6"/>
        <v>0</v>
      </c>
      <c r="I413">
        <f>COUNTIF(deals_closed!D:D, A413)</f>
        <v>17</v>
      </c>
      <c r="K413" t="str">
        <f>_xlfn.CONCAT(B413, " ",C413)</f>
        <v>Jesus Mantle</v>
      </c>
    </row>
    <row r="414" spans="1:11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VLOOKUP(D414,'2018_commission_structure'!$A$2:$C$4,3,FALSE)</f>
        <v>125000</v>
      </c>
      <c r="G414">
        <f>VLOOKUP(D414,'2018_commission_structure'!$A$2:$C$4,2,FALSE)</f>
        <v>75000</v>
      </c>
      <c r="H414">
        <f t="shared" si="6"/>
        <v>0</v>
      </c>
      <c r="I414">
        <f>COUNTIF(deals_closed!D:D, A414)</f>
        <v>13</v>
      </c>
      <c r="K414" t="str">
        <f>_xlfn.CONCAT(B414, " ",C414)</f>
        <v>Alfie Ainsworth</v>
      </c>
    </row>
    <row r="415" spans="1:11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VLOOKUP(D415,'2018_commission_structure'!$A$2:$C$4,3,FALSE)</f>
        <v>125000</v>
      </c>
      <c r="G415">
        <f>VLOOKUP(D415,'2018_commission_structure'!$A$2:$C$4,2,FALSE)</f>
        <v>75000</v>
      </c>
      <c r="H415">
        <f t="shared" si="6"/>
        <v>0</v>
      </c>
      <c r="I415">
        <f>COUNTIF(deals_closed!D:D, A415)</f>
        <v>18</v>
      </c>
      <c r="K415" t="str">
        <f>_xlfn.CONCAT(B415, " ",C415)</f>
        <v>Jo Saffen</v>
      </c>
    </row>
    <row r="416" spans="1:11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VLOOKUP(D416,'2018_commission_structure'!$A$2:$C$4,3,FALSE)</f>
        <v>125000</v>
      </c>
      <c r="G416">
        <f>VLOOKUP(D416,'2018_commission_structure'!$A$2:$C$4,2,FALSE)</f>
        <v>75000</v>
      </c>
      <c r="H416">
        <f t="shared" si="6"/>
        <v>0</v>
      </c>
      <c r="I416">
        <f>COUNTIF(deals_closed!D:D, A416)</f>
        <v>18</v>
      </c>
      <c r="K416" t="str">
        <f>_xlfn.CONCAT(B416, " ",C416)</f>
        <v>Daryle Custed</v>
      </c>
    </row>
    <row r="417" spans="1:11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VLOOKUP(D417,'2018_commission_structure'!$A$2:$C$4,3,FALSE)</f>
        <v>65000</v>
      </c>
      <c r="G417">
        <f>VLOOKUP(D417,'2018_commission_structure'!$A$2:$C$4,2,FALSE)</f>
        <v>30000</v>
      </c>
      <c r="H417">
        <f t="shared" si="6"/>
        <v>0</v>
      </c>
      <c r="I417">
        <f>COUNTIF(deals_closed!D:D, A417)</f>
        <v>22</v>
      </c>
      <c r="K417" t="str">
        <f>_xlfn.CONCAT(B417, " ",C417)</f>
        <v>Billye Shwalbe</v>
      </c>
    </row>
    <row r="418" spans="1:11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VLOOKUP(D418,'2018_commission_structure'!$A$2:$C$4,3,FALSE)</f>
        <v>125000</v>
      </c>
      <c r="G418">
        <f>VLOOKUP(D418,'2018_commission_structure'!$A$2:$C$4,2,FALSE)</f>
        <v>75000</v>
      </c>
      <c r="H418">
        <f t="shared" si="6"/>
        <v>0</v>
      </c>
      <c r="I418">
        <f>COUNTIF(deals_closed!D:D, A418)</f>
        <v>20</v>
      </c>
      <c r="K418" t="str">
        <f>_xlfn.CONCAT(B418, " ",C418)</f>
        <v>Nikolaus Aldwich</v>
      </c>
    </row>
    <row r="419" spans="1:11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VLOOKUP(D419,'2018_commission_structure'!$A$2:$C$4,3,FALSE)</f>
        <v>80000</v>
      </c>
      <c r="G419">
        <f>VLOOKUP(D419,'2018_commission_structure'!$A$2:$C$4,2,FALSE)</f>
        <v>50000</v>
      </c>
      <c r="H419">
        <f t="shared" si="6"/>
        <v>0</v>
      </c>
      <c r="I419">
        <f>COUNTIF(deals_closed!D:D, A419)</f>
        <v>24</v>
      </c>
      <c r="K419" t="str">
        <f>_xlfn.CONCAT(B419, " ",C419)</f>
        <v>Gayelord Gianelli</v>
      </c>
    </row>
    <row r="420" spans="1:11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VLOOKUP(D420,'2018_commission_structure'!$A$2:$C$4,3,FALSE)</f>
        <v>125000</v>
      </c>
      <c r="G420">
        <f>VLOOKUP(D420,'2018_commission_structure'!$A$2:$C$4,2,FALSE)</f>
        <v>75000</v>
      </c>
      <c r="H420">
        <f t="shared" si="6"/>
        <v>0</v>
      </c>
      <c r="I420">
        <f>COUNTIF(deals_closed!D:D, A420)</f>
        <v>17</v>
      </c>
      <c r="K420" t="str">
        <f>_xlfn.CONCAT(B420, " ",C420)</f>
        <v>Grenville D'Orsay</v>
      </c>
    </row>
    <row r="421" spans="1:11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VLOOKUP(D421,'2018_commission_structure'!$A$2:$C$4,3,FALSE)</f>
        <v>80000</v>
      </c>
      <c r="G421">
        <f>VLOOKUP(D421,'2018_commission_structure'!$A$2:$C$4,2,FALSE)</f>
        <v>50000</v>
      </c>
      <c r="H421">
        <f t="shared" si="6"/>
        <v>0</v>
      </c>
      <c r="I421">
        <f>COUNTIF(deals_closed!D:D, A421)</f>
        <v>26</v>
      </c>
      <c r="K421" t="str">
        <f>_xlfn.CONCAT(B421, " ",C421)</f>
        <v>Delmore Harrild</v>
      </c>
    </row>
    <row r="422" spans="1:11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VLOOKUP(D422,'2018_commission_structure'!$A$2:$C$4,3,FALSE)</f>
        <v>65000</v>
      </c>
      <c r="G422">
        <f>VLOOKUP(D422,'2018_commission_structure'!$A$2:$C$4,2,FALSE)</f>
        <v>30000</v>
      </c>
      <c r="H422">
        <f t="shared" si="6"/>
        <v>0</v>
      </c>
      <c r="I422">
        <f>COUNTIF(deals_closed!D:D, A422)</f>
        <v>21</v>
      </c>
      <c r="K422" t="str">
        <f>_xlfn.CONCAT(B422, " ",C422)</f>
        <v>Brade Torn</v>
      </c>
    </row>
    <row r="423" spans="1:11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VLOOKUP(D423,'2018_commission_structure'!$A$2:$C$4,3,FALSE)</f>
        <v>65000</v>
      </c>
      <c r="G423">
        <f>VLOOKUP(D423,'2018_commission_structure'!$A$2:$C$4,2,FALSE)</f>
        <v>30000</v>
      </c>
      <c r="H423">
        <f t="shared" si="6"/>
        <v>0</v>
      </c>
      <c r="I423">
        <f>COUNTIF(deals_closed!D:D, A423)</f>
        <v>18</v>
      </c>
      <c r="K423" t="str">
        <f>_xlfn.CONCAT(B423, " ",C423)</f>
        <v>Ellwood Aronoff</v>
      </c>
    </row>
    <row r="424" spans="1:11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VLOOKUP(D424,'2018_commission_structure'!$A$2:$C$4,3,FALSE)</f>
        <v>125000</v>
      </c>
      <c r="G424">
        <f>VLOOKUP(D424,'2018_commission_structure'!$A$2:$C$4,2,FALSE)</f>
        <v>75000</v>
      </c>
      <c r="H424">
        <f t="shared" si="6"/>
        <v>0</v>
      </c>
      <c r="I424">
        <f>COUNTIF(deals_closed!D:D, A424)</f>
        <v>18</v>
      </c>
      <c r="K424" t="str">
        <f>_xlfn.CONCAT(B424, " ",C424)</f>
        <v>Jethro Percifer</v>
      </c>
    </row>
    <row r="425" spans="1:11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VLOOKUP(D425,'2018_commission_structure'!$A$2:$C$4,3,FALSE)</f>
        <v>125000</v>
      </c>
      <c r="G425">
        <f>VLOOKUP(D425,'2018_commission_structure'!$A$2:$C$4,2,FALSE)</f>
        <v>75000</v>
      </c>
      <c r="H425">
        <f t="shared" si="6"/>
        <v>0</v>
      </c>
      <c r="I425">
        <f>COUNTIF(deals_closed!D:D, A425)</f>
        <v>20</v>
      </c>
      <c r="K425" t="str">
        <f>_xlfn.CONCAT(B425, " ",C425)</f>
        <v>Albertine Berntssen</v>
      </c>
    </row>
    <row r="426" spans="1:11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VLOOKUP(D426,'2018_commission_structure'!$A$2:$C$4,3,FALSE)</f>
        <v>125000</v>
      </c>
      <c r="G426">
        <f>VLOOKUP(D426,'2018_commission_structure'!$A$2:$C$4,2,FALSE)</f>
        <v>75000</v>
      </c>
      <c r="H426">
        <f t="shared" si="6"/>
        <v>0</v>
      </c>
      <c r="I426">
        <f>COUNTIF(deals_closed!D:D, A426)</f>
        <v>21</v>
      </c>
      <c r="K426" t="str">
        <f>_xlfn.CONCAT(B426, " ",C426)</f>
        <v>Andreana Baly</v>
      </c>
    </row>
    <row r="427" spans="1:11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VLOOKUP(D427,'2018_commission_structure'!$A$2:$C$4,3,FALSE)</f>
        <v>80000</v>
      </c>
      <c r="G427">
        <f>VLOOKUP(D427,'2018_commission_structure'!$A$2:$C$4,2,FALSE)</f>
        <v>50000</v>
      </c>
      <c r="H427">
        <f t="shared" si="6"/>
        <v>0</v>
      </c>
      <c r="I427">
        <f>COUNTIF(deals_closed!D:D, A427)</f>
        <v>28</v>
      </c>
      <c r="K427" t="str">
        <f>_xlfn.CONCAT(B427, " ",C427)</f>
        <v>Colette Mangon</v>
      </c>
    </row>
    <row r="428" spans="1:11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VLOOKUP(D428,'2018_commission_structure'!$A$2:$C$4,3,FALSE)</f>
        <v>65000</v>
      </c>
      <c r="G428">
        <f>VLOOKUP(D428,'2018_commission_structure'!$A$2:$C$4,2,FALSE)</f>
        <v>30000</v>
      </c>
      <c r="H428">
        <f t="shared" si="6"/>
        <v>0</v>
      </c>
      <c r="I428">
        <f>COUNTIF(deals_closed!D:D, A428)</f>
        <v>20</v>
      </c>
      <c r="K428" t="str">
        <f>_xlfn.CONCAT(B428, " ",C428)</f>
        <v>Arel Rolland</v>
      </c>
    </row>
    <row r="429" spans="1:11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VLOOKUP(D429,'2018_commission_structure'!$A$2:$C$4,3,FALSE)</f>
        <v>65000</v>
      </c>
      <c r="G429">
        <f>VLOOKUP(D429,'2018_commission_structure'!$A$2:$C$4,2,FALSE)</f>
        <v>30000</v>
      </c>
      <c r="H429">
        <f t="shared" si="6"/>
        <v>0</v>
      </c>
      <c r="I429">
        <f>COUNTIF(deals_closed!D:D, A429)</f>
        <v>17</v>
      </c>
      <c r="K429" t="str">
        <f>_xlfn.CONCAT(B429, " ",C429)</f>
        <v>Devland Kohter</v>
      </c>
    </row>
    <row r="430" spans="1:11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VLOOKUP(D430,'2018_commission_structure'!$A$2:$C$4,3,FALSE)</f>
        <v>80000</v>
      </c>
      <c r="G430">
        <f>VLOOKUP(D430,'2018_commission_structure'!$A$2:$C$4,2,FALSE)</f>
        <v>50000</v>
      </c>
      <c r="H430">
        <f t="shared" si="6"/>
        <v>0</v>
      </c>
      <c r="I430">
        <f>COUNTIF(deals_closed!D:D, A430)</f>
        <v>22</v>
      </c>
      <c r="K430" t="str">
        <f>_xlfn.CONCAT(B430, " ",C430)</f>
        <v>Farris Valance</v>
      </c>
    </row>
    <row r="431" spans="1:11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VLOOKUP(D431,'2018_commission_structure'!$A$2:$C$4,3,FALSE)</f>
        <v>80000</v>
      </c>
      <c r="G431">
        <f>VLOOKUP(D431,'2018_commission_structure'!$A$2:$C$4,2,FALSE)</f>
        <v>50000</v>
      </c>
      <c r="H431">
        <f t="shared" si="6"/>
        <v>0</v>
      </c>
      <c r="I431">
        <f>COUNTIF(deals_closed!D:D, A431)</f>
        <v>19</v>
      </c>
      <c r="K431" t="str">
        <f>_xlfn.CONCAT(B431, " ",C431)</f>
        <v>Basilio Shattock</v>
      </c>
    </row>
    <row r="432" spans="1:11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VLOOKUP(D432,'2018_commission_structure'!$A$2:$C$4,3,FALSE)</f>
        <v>125000</v>
      </c>
      <c r="G432">
        <f>VLOOKUP(D432,'2018_commission_structure'!$A$2:$C$4,2,FALSE)</f>
        <v>75000</v>
      </c>
      <c r="H432">
        <f t="shared" si="6"/>
        <v>0</v>
      </c>
      <c r="I432">
        <f>COUNTIF(deals_closed!D:D, A432)</f>
        <v>23</v>
      </c>
      <c r="K432" t="str">
        <f>_xlfn.CONCAT(B432, " ",C432)</f>
        <v>Michale Hackley</v>
      </c>
    </row>
    <row r="433" spans="1:11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VLOOKUP(D433,'2018_commission_structure'!$A$2:$C$4,3,FALSE)</f>
        <v>125000</v>
      </c>
      <c r="G433">
        <f>VLOOKUP(D433,'2018_commission_structure'!$A$2:$C$4,2,FALSE)</f>
        <v>75000</v>
      </c>
      <c r="H433">
        <f t="shared" si="6"/>
        <v>0</v>
      </c>
      <c r="I433">
        <f>COUNTIF(deals_closed!D:D, A433)</f>
        <v>24</v>
      </c>
      <c r="K433" t="str">
        <f>_xlfn.CONCAT(B433, " ",C433)</f>
        <v>Kimmi Erskin</v>
      </c>
    </row>
    <row r="434" spans="1:11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VLOOKUP(D434,'2018_commission_structure'!$A$2:$C$4,3,FALSE)</f>
        <v>65000</v>
      </c>
      <c r="G434">
        <f>VLOOKUP(D434,'2018_commission_structure'!$A$2:$C$4,2,FALSE)</f>
        <v>30000</v>
      </c>
      <c r="H434">
        <f t="shared" si="6"/>
        <v>0</v>
      </c>
      <c r="I434">
        <f>COUNTIF(deals_closed!D:D, A434)</f>
        <v>17</v>
      </c>
      <c r="K434" t="str">
        <f>_xlfn.CONCAT(B434, " ",C434)</f>
        <v>Micah Rawdales</v>
      </c>
    </row>
    <row r="435" spans="1:11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VLOOKUP(D435,'2018_commission_structure'!$A$2:$C$4,3,FALSE)</f>
        <v>125000</v>
      </c>
      <c r="G435">
        <f>VLOOKUP(D435,'2018_commission_structure'!$A$2:$C$4,2,FALSE)</f>
        <v>75000</v>
      </c>
      <c r="H435">
        <f t="shared" si="6"/>
        <v>0</v>
      </c>
      <c r="I435">
        <f>COUNTIF(deals_closed!D:D, A435)</f>
        <v>26</v>
      </c>
      <c r="K435" t="str">
        <f>_xlfn.CONCAT(B435, " ",C435)</f>
        <v>Andros Graveson</v>
      </c>
    </row>
    <row r="436" spans="1:11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VLOOKUP(D436,'2018_commission_structure'!$A$2:$C$4,3,FALSE)</f>
        <v>125000</v>
      </c>
      <c r="G436">
        <f>VLOOKUP(D436,'2018_commission_structure'!$A$2:$C$4,2,FALSE)</f>
        <v>75000</v>
      </c>
      <c r="H436">
        <f t="shared" si="6"/>
        <v>0</v>
      </c>
      <c r="I436">
        <f>COUNTIF(deals_closed!D:D, A436)</f>
        <v>15</v>
      </c>
      <c r="K436" t="str">
        <f>_xlfn.CONCAT(B436, " ",C436)</f>
        <v>Ayn Angless</v>
      </c>
    </row>
    <row r="437" spans="1:11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VLOOKUP(D437,'2018_commission_structure'!$A$2:$C$4,3,FALSE)</f>
        <v>125000</v>
      </c>
      <c r="G437">
        <f>VLOOKUP(D437,'2018_commission_structure'!$A$2:$C$4,2,FALSE)</f>
        <v>75000</v>
      </c>
      <c r="H437">
        <f t="shared" si="6"/>
        <v>0</v>
      </c>
      <c r="I437">
        <f>COUNTIF(deals_closed!D:D, A437)</f>
        <v>19</v>
      </c>
      <c r="K437" t="str">
        <f>_xlfn.CONCAT(B437, " ",C437)</f>
        <v>Garner Leatherbarrow</v>
      </c>
    </row>
    <row r="438" spans="1:11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VLOOKUP(D438,'2018_commission_structure'!$A$2:$C$4,3,FALSE)</f>
        <v>65000</v>
      </c>
      <c r="G438">
        <f>VLOOKUP(D438,'2018_commission_structure'!$A$2:$C$4,2,FALSE)</f>
        <v>30000</v>
      </c>
      <c r="H438">
        <f t="shared" si="6"/>
        <v>0</v>
      </c>
      <c r="I438">
        <f>COUNTIF(deals_closed!D:D, A438)</f>
        <v>16</v>
      </c>
      <c r="K438" t="str">
        <f>_xlfn.CONCAT(B438, " ",C438)</f>
        <v>Lianne Simeoni</v>
      </c>
    </row>
    <row r="439" spans="1:11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VLOOKUP(D439,'2018_commission_structure'!$A$2:$C$4,3,FALSE)</f>
        <v>125000</v>
      </c>
      <c r="G439">
        <f>VLOOKUP(D439,'2018_commission_structure'!$A$2:$C$4,2,FALSE)</f>
        <v>75000</v>
      </c>
      <c r="H439">
        <f t="shared" si="6"/>
        <v>0</v>
      </c>
      <c r="I439">
        <f>COUNTIF(deals_closed!D:D, A439)</f>
        <v>23</v>
      </c>
      <c r="K439" t="str">
        <f>_xlfn.CONCAT(B439, " ",C439)</f>
        <v>Stephannie Birt</v>
      </c>
    </row>
    <row r="440" spans="1:11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VLOOKUP(D440,'2018_commission_structure'!$A$2:$C$4,3,FALSE)</f>
        <v>65000</v>
      </c>
      <c r="G440">
        <f>VLOOKUP(D440,'2018_commission_structure'!$A$2:$C$4,2,FALSE)</f>
        <v>30000</v>
      </c>
      <c r="H440">
        <f t="shared" si="6"/>
        <v>0</v>
      </c>
      <c r="I440">
        <f>COUNTIF(deals_closed!D:D, A440)</f>
        <v>16</v>
      </c>
      <c r="K440" t="str">
        <f>_xlfn.CONCAT(B440, " ",C440)</f>
        <v>Kippy Blaver</v>
      </c>
    </row>
    <row r="441" spans="1:11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VLOOKUP(D441,'2018_commission_structure'!$A$2:$C$4,3,FALSE)</f>
        <v>80000</v>
      </c>
      <c r="G441">
        <f>VLOOKUP(D441,'2018_commission_structure'!$A$2:$C$4,2,FALSE)</f>
        <v>50000</v>
      </c>
      <c r="H441">
        <f t="shared" si="6"/>
        <v>0</v>
      </c>
      <c r="I441">
        <f>COUNTIF(deals_closed!D:D, A441)</f>
        <v>20</v>
      </c>
      <c r="K441" t="str">
        <f>_xlfn.CONCAT(B441, " ",C441)</f>
        <v>Etan Devericks</v>
      </c>
    </row>
    <row r="442" spans="1:11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VLOOKUP(D442,'2018_commission_structure'!$A$2:$C$4,3,FALSE)</f>
        <v>65000</v>
      </c>
      <c r="G442">
        <f>VLOOKUP(D442,'2018_commission_structure'!$A$2:$C$4,2,FALSE)</f>
        <v>30000</v>
      </c>
      <c r="H442">
        <f t="shared" si="6"/>
        <v>0</v>
      </c>
      <c r="I442">
        <f>COUNTIF(deals_closed!D:D, A442)</f>
        <v>11</v>
      </c>
      <c r="K442" t="str">
        <f>_xlfn.CONCAT(B442, " ",C442)</f>
        <v>Wendel Taudevin</v>
      </c>
    </row>
    <row r="443" spans="1:11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VLOOKUP(D443,'2018_commission_structure'!$A$2:$C$4,3,FALSE)</f>
        <v>80000</v>
      </c>
      <c r="G443">
        <f>VLOOKUP(D443,'2018_commission_structure'!$A$2:$C$4,2,FALSE)</f>
        <v>50000</v>
      </c>
      <c r="H443">
        <f t="shared" si="6"/>
        <v>0</v>
      </c>
      <c r="I443">
        <f>COUNTIF(deals_closed!D:D, A443)</f>
        <v>27</v>
      </c>
      <c r="K443" t="str">
        <f>_xlfn.CONCAT(B443, " ",C443)</f>
        <v>Judd Cowlard</v>
      </c>
    </row>
    <row r="444" spans="1:11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VLOOKUP(D444,'2018_commission_structure'!$A$2:$C$4,3,FALSE)</f>
        <v>125000</v>
      </c>
      <c r="G444">
        <f>VLOOKUP(D444,'2018_commission_structure'!$A$2:$C$4,2,FALSE)</f>
        <v>75000</v>
      </c>
      <c r="H444">
        <f t="shared" si="6"/>
        <v>0</v>
      </c>
      <c r="I444">
        <f>COUNTIF(deals_closed!D:D, A444)</f>
        <v>19</v>
      </c>
      <c r="K444" t="str">
        <f>_xlfn.CONCAT(B444, " ",C444)</f>
        <v>Phillip Kann</v>
      </c>
    </row>
    <row r="445" spans="1:11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VLOOKUP(D445,'2018_commission_structure'!$A$2:$C$4,3,FALSE)</f>
        <v>65000</v>
      </c>
      <c r="G445">
        <f>VLOOKUP(D445,'2018_commission_structure'!$A$2:$C$4,2,FALSE)</f>
        <v>30000</v>
      </c>
      <c r="H445">
        <f t="shared" si="6"/>
        <v>0</v>
      </c>
      <c r="I445">
        <f>COUNTIF(deals_closed!D:D, A445)</f>
        <v>20</v>
      </c>
      <c r="K445" t="str">
        <f>_xlfn.CONCAT(B445, " ",C445)</f>
        <v>Annis Francomb</v>
      </c>
    </row>
    <row r="446" spans="1:11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VLOOKUP(D446,'2018_commission_structure'!$A$2:$C$4,3,FALSE)</f>
        <v>65000</v>
      </c>
      <c r="G446">
        <f>VLOOKUP(D446,'2018_commission_structure'!$A$2:$C$4,2,FALSE)</f>
        <v>30000</v>
      </c>
      <c r="H446">
        <f t="shared" si="6"/>
        <v>0</v>
      </c>
      <c r="I446">
        <f>COUNTIF(deals_closed!D:D, A446)</f>
        <v>17</v>
      </c>
      <c r="K446" t="str">
        <f>_xlfn.CONCAT(B446, " ",C446)</f>
        <v>Martica Attenbrow</v>
      </c>
    </row>
    <row r="447" spans="1:11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VLOOKUP(D447,'2018_commission_structure'!$A$2:$C$4,3,FALSE)</f>
        <v>80000</v>
      </c>
      <c r="G447">
        <f>VLOOKUP(D447,'2018_commission_structure'!$A$2:$C$4,2,FALSE)</f>
        <v>50000</v>
      </c>
      <c r="H447">
        <f t="shared" si="6"/>
        <v>0</v>
      </c>
      <c r="I447">
        <f>COUNTIF(deals_closed!D:D, A447)</f>
        <v>18</v>
      </c>
      <c r="K447" t="str">
        <f>_xlfn.CONCAT(B447, " ",C447)</f>
        <v>Barbi Matysiak</v>
      </c>
    </row>
    <row r="448" spans="1:11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VLOOKUP(D448,'2018_commission_structure'!$A$2:$C$4,3,FALSE)</f>
        <v>125000</v>
      </c>
      <c r="G448">
        <f>VLOOKUP(D448,'2018_commission_structure'!$A$2:$C$4,2,FALSE)</f>
        <v>75000</v>
      </c>
      <c r="H448">
        <f t="shared" si="6"/>
        <v>0</v>
      </c>
      <c r="I448">
        <f>COUNTIF(deals_closed!D:D, A448)</f>
        <v>28</v>
      </c>
      <c r="K448" t="str">
        <f>_xlfn.CONCAT(B448, " ",C448)</f>
        <v>Danny Itscovitz</v>
      </c>
    </row>
    <row r="449" spans="1:11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VLOOKUP(D449,'2018_commission_structure'!$A$2:$C$4,3,FALSE)</f>
        <v>125000</v>
      </c>
      <c r="G449">
        <f>VLOOKUP(D449,'2018_commission_structure'!$A$2:$C$4,2,FALSE)</f>
        <v>75000</v>
      </c>
      <c r="H449">
        <f t="shared" si="6"/>
        <v>0</v>
      </c>
      <c r="I449">
        <f>COUNTIF(deals_closed!D:D, A449)</f>
        <v>20</v>
      </c>
      <c r="K449" t="str">
        <f>_xlfn.CONCAT(B449, " ",C449)</f>
        <v>Jasmine Cathcart</v>
      </c>
    </row>
    <row r="450" spans="1:11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VLOOKUP(D450,'2018_commission_structure'!$A$2:$C$4,3,FALSE)</f>
        <v>80000</v>
      </c>
      <c r="G450">
        <f>VLOOKUP(D450,'2018_commission_structure'!$A$2:$C$4,2,FALSE)</f>
        <v>50000</v>
      </c>
      <c r="H450">
        <f t="shared" si="6"/>
        <v>0</v>
      </c>
      <c r="I450">
        <f>COUNTIF(deals_closed!D:D, A450)</f>
        <v>20</v>
      </c>
      <c r="K450" t="str">
        <f>_xlfn.CONCAT(B450, " ",C450)</f>
        <v>Ulrike Meagher</v>
      </c>
    </row>
    <row r="451" spans="1:11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VLOOKUP(D451,'2018_commission_structure'!$A$2:$C$4,3,FALSE)</f>
        <v>125000</v>
      </c>
      <c r="G451">
        <f>VLOOKUP(D451,'2018_commission_structure'!$A$2:$C$4,2,FALSE)</f>
        <v>75000</v>
      </c>
      <c r="H451">
        <f t="shared" ref="H451:H514" si="7">IF(AND(E451&gt;=G451,E451&lt;=F451),0,1)</f>
        <v>0</v>
      </c>
      <c r="I451">
        <f>COUNTIF(deals_closed!D:D, A451)</f>
        <v>13</v>
      </c>
      <c r="K451" t="str">
        <f>_xlfn.CONCAT(B451, " ",C451)</f>
        <v>Isiahi Sealand</v>
      </c>
    </row>
    <row r="452" spans="1:11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VLOOKUP(D452,'2018_commission_structure'!$A$2:$C$4,3,FALSE)</f>
        <v>65000</v>
      </c>
      <c r="G452">
        <f>VLOOKUP(D452,'2018_commission_structure'!$A$2:$C$4,2,FALSE)</f>
        <v>30000</v>
      </c>
      <c r="H452">
        <f t="shared" si="7"/>
        <v>0</v>
      </c>
      <c r="I452">
        <f>COUNTIF(deals_closed!D:D, A452)</f>
        <v>23</v>
      </c>
      <c r="K452" t="str">
        <f>_xlfn.CONCAT(B452, " ",C452)</f>
        <v>Brew Aguirre</v>
      </c>
    </row>
    <row r="453" spans="1:11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VLOOKUP(D453,'2018_commission_structure'!$A$2:$C$4,3,FALSE)</f>
        <v>65000</v>
      </c>
      <c r="G453">
        <f>VLOOKUP(D453,'2018_commission_structure'!$A$2:$C$4,2,FALSE)</f>
        <v>30000</v>
      </c>
      <c r="H453">
        <f t="shared" si="7"/>
        <v>0</v>
      </c>
      <c r="I453">
        <f>COUNTIF(deals_closed!D:D, A453)</f>
        <v>17</v>
      </c>
      <c r="K453" t="str">
        <f>_xlfn.CONCAT(B453, " ",C453)</f>
        <v>Zebulen Skeemor</v>
      </c>
    </row>
    <row r="454" spans="1:11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VLOOKUP(D454,'2018_commission_structure'!$A$2:$C$4,3,FALSE)</f>
        <v>125000</v>
      </c>
      <c r="G454">
        <f>VLOOKUP(D454,'2018_commission_structure'!$A$2:$C$4,2,FALSE)</f>
        <v>75000</v>
      </c>
      <c r="H454">
        <f t="shared" si="7"/>
        <v>0</v>
      </c>
      <c r="I454">
        <f>COUNTIF(deals_closed!D:D, A454)</f>
        <v>14</v>
      </c>
      <c r="K454" t="str">
        <f>_xlfn.CONCAT(B454, " ",C454)</f>
        <v>Bjorn Seedman</v>
      </c>
    </row>
    <row r="455" spans="1:11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VLOOKUP(D455,'2018_commission_structure'!$A$2:$C$4,3,FALSE)</f>
        <v>80000</v>
      </c>
      <c r="G455">
        <f>VLOOKUP(D455,'2018_commission_structure'!$A$2:$C$4,2,FALSE)</f>
        <v>50000</v>
      </c>
      <c r="H455">
        <f t="shared" si="7"/>
        <v>0</v>
      </c>
      <c r="I455">
        <f>COUNTIF(deals_closed!D:D, A455)</f>
        <v>19</v>
      </c>
      <c r="K455" t="str">
        <f>_xlfn.CONCAT(B455, " ",C455)</f>
        <v>Mavis Huyge</v>
      </c>
    </row>
    <row r="456" spans="1:11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VLOOKUP(D456,'2018_commission_structure'!$A$2:$C$4,3,FALSE)</f>
        <v>65000</v>
      </c>
      <c r="G456">
        <f>VLOOKUP(D456,'2018_commission_structure'!$A$2:$C$4,2,FALSE)</f>
        <v>30000</v>
      </c>
      <c r="H456">
        <f t="shared" si="7"/>
        <v>0</v>
      </c>
      <c r="I456">
        <f>COUNTIF(deals_closed!D:D, A456)</f>
        <v>23</v>
      </c>
      <c r="K456" t="str">
        <f>_xlfn.CONCAT(B456, " ",C456)</f>
        <v>Kathe Pauly</v>
      </c>
    </row>
    <row r="457" spans="1:11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VLOOKUP(D457,'2018_commission_structure'!$A$2:$C$4,3,FALSE)</f>
        <v>65000</v>
      </c>
      <c r="G457">
        <f>VLOOKUP(D457,'2018_commission_structure'!$A$2:$C$4,2,FALSE)</f>
        <v>30000</v>
      </c>
      <c r="H457">
        <f t="shared" si="7"/>
        <v>0</v>
      </c>
      <c r="I457">
        <f>COUNTIF(deals_closed!D:D, A457)</f>
        <v>23</v>
      </c>
      <c r="K457" t="str">
        <f>_xlfn.CONCAT(B457, " ",C457)</f>
        <v>Nisse McCauley</v>
      </c>
    </row>
    <row r="458" spans="1:11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VLOOKUP(D458,'2018_commission_structure'!$A$2:$C$4,3,FALSE)</f>
        <v>125000</v>
      </c>
      <c r="G458">
        <f>VLOOKUP(D458,'2018_commission_structure'!$A$2:$C$4,2,FALSE)</f>
        <v>75000</v>
      </c>
      <c r="H458">
        <f t="shared" si="7"/>
        <v>0</v>
      </c>
      <c r="I458">
        <f>COUNTIF(deals_closed!D:D, A458)</f>
        <v>25</v>
      </c>
      <c r="K458" t="str">
        <f>_xlfn.CONCAT(B458, " ",C458)</f>
        <v>Pablo Goodhand</v>
      </c>
    </row>
    <row r="459" spans="1:11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VLOOKUP(D459,'2018_commission_structure'!$A$2:$C$4,3,FALSE)</f>
        <v>65000</v>
      </c>
      <c r="G459">
        <f>VLOOKUP(D459,'2018_commission_structure'!$A$2:$C$4,2,FALSE)</f>
        <v>30000</v>
      </c>
      <c r="H459">
        <f t="shared" si="7"/>
        <v>0</v>
      </c>
      <c r="I459">
        <f>COUNTIF(deals_closed!D:D, A459)</f>
        <v>23</v>
      </c>
      <c r="K459" t="str">
        <f>_xlfn.CONCAT(B459, " ",C459)</f>
        <v>Lil Benion</v>
      </c>
    </row>
    <row r="460" spans="1:11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VLOOKUP(D460,'2018_commission_structure'!$A$2:$C$4,3,FALSE)</f>
        <v>125000</v>
      </c>
      <c r="G460">
        <f>VLOOKUP(D460,'2018_commission_structure'!$A$2:$C$4,2,FALSE)</f>
        <v>75000</v>
      </c>
      <c r="H460">
        <f t="shared" si="7"/>
        <v>0</v>
      </c>
      <c r="I460">
        <f>COUNTIF(deals_closed!D:D, A460)</f>
        <v>15</v>
      </c>
      <c r="K460" t="str">
        <f>_xlfn.CONCAT(B460, " ",C460)</f>
        <v>Ivor Davidy</v>
      </c>
    </row>
    <row r="461" spans="1:11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VLOOKUP(D461,'2018_commission_structure'!$A$2:$C$4,3,FALSE)</f>
        <v>125000</v>
      </c>
      <c r="G461">
        <f>VLOOKUP(D461,'2018_commission_structure'!$A$2:$C$4,2,FALSE)</f>
        <v>75000</v>
      </c>
      <c r="H461">
        <f t="shared" si="7"/>
        <v>0</v>
      </c>
      <c r="I461">
        <f>COUNTIF(deals_closed!D:D, A461)</f>
        <v>20</v>
      </c>
      <c r="K461" t="str">
        <f>_xlfn.CONCAT(B461, " ",C461)</f>
        <v>Gaelan Robrow</v>
      </c>
    </row>
    <row r="462" spans="1:11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VLOOKUP(D462,'2018_commission_structure'!$A$2:$C$4,3,FALSE)</f>
        <v>80000</v>
      </c>
      <c r="G462">
        <f>VLOOKUP(D462,'2018_commission_structure'!$A$2:$C$4,2,FALSE)</f>
        <v>50000</v>
      </c>
      <c r="H462">
        <f t="shared" si="7"/>
        <v>0</v>
      </c>
      <c r="I462">
        <f>COUNTIF(deals_closed!D:D, A462)</f>
        <v>19</v>
      </c>
      <c r="K462" t="str">
        <f>_xlfn.CONCAT(B462, " ",C462)</f>
        <v>Loleta Faull</v>
      </c>
    </row>
    <row r="463" spans="1:11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VLOOKUP(D463,'2018_commission_structure'!$A$2:$C$4,3,FALSE)</f>
        <v>65000</v>
      </c>
      <c r="G463">
        <f>VLOOKUP(D463,'2018_commission_structure'!$A$2:$C$4,2,FALSE)</f>
        <v>30000</v>
      </c>
      <c r="H463">
        <f t="shared" si="7"/>
        <v>0</v>
      </c>
      <c r="I463">
        <f>COUNTIF(deals_closed!D:D, A463)</f>
        <v>20</v>
      </c>
      <c r="K463" t="str">
        <f>_xlfn.CONCAT(B463, " ",C463)</f>
        <v>Elwyn Keyzman</v>
      </c>
    </row>
    <row r="464" spans="1:11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VLOOKUP(D464,'2018_commission_structure'!$A$2:$C$4,3,FALSE)</f>
        <v>125000</v>
      </c>
      <c r="G464">
        <f>VLOOKUP(D464,'2018_commission_structure'!$A$2:$C$4,2,FALSE)</f>
        <v>75000</v>
      </c>
      <c r="H464">
        <f t="shared" si="7"/>
        <v>0</v>
      </c>
      <c r="I464">
        <f>COUNTIF(deals_closed!D:D, A464)</f>
        <v>21</v>
      </c>
      <c r="K464" t="str">
        <f>_xlfn.CONCAT(B464, " ",C464)</f>
        <v>Shanta Crooke</v>
      </c>
    </row>
    <row r="465" spans="1:11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VLOOKUP(D465,'2018_commission_structure'!$A$2:$C$4,3,FALSE)</f>
        <v>80000</v>
      </c>
      <c r="G465">
        <f>VLOOKUP(D465,'2018_commission_structure'!$A$2:$C$4,2,FALSE)</f>
        <v>50000</v>
      </c>
      <c r="H465">
        <f t="shared" si="7"/>
        <v>0</v>
      </c>
      <c r="I465">
        <f>COUNTIF(deals_closed!D:D, A465)</f>
        <v>23</v>
      </c>
      <c r="K465" t="str">
        <f>_xlfn.CONCAT(B465, " ",C465)</f>
        <v>Darsey Hooban</v>
      </c>
    </row>
    <row r="466" spans="1:11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VLOOKUP(D466,'2018_commission_structure'!$A$2:$C$4,3,FALSE)</f>
        <v>80000</v>
      </c>
      <c r="G466">
        <f>VLOOKUP(D466,'2018_commission_structure'!$A$2:$C$4,2,FALSE)</f>
        <v>50000</v>
      </c>
      <c r="H466">
        <f t="shared" si="7"/>
        <v>0</v>
      </c>
      <c r="I466">
        <f>COUNTIF(deals_closed!D:D, A466)</f>
        <v>19</v>
      </c>
      <c r="K466" t="str">
        <f>_xlfn.CONCAT(B466, " ",C466)</f>
        <v>Thebault Base</v>
      </c>
    </row>
    <row r="467" spans="1:11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VLOOKUP(D467,'2018_commission_structure'!$A$2:$C$4,3,FALSE)</f>
        <v>65000</v>
      </c>
      <c r="G467">
        <f>VLOOKUP(D467,'2018_commission_structure'!$A$2:$C$4,2,FALSE)</f>
        <v>30000</v>
      </c>
      <c r="H467">
        <f t="shared" si="7"/>
        <v>0</v>
      </c>
      <c r="I467">
        <f>COUNTIF(deals_closed!D:D, A467)</f>
        <v>24</v>
      </c>
      <c r="K467" t="str">
        <f>_xlfn.CONCAT(B467, " ",C467)</f>
        <v>Mercy Richemont</v>
      </c>
    </row>
    <row r="468" spans="1:11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VLOOKUP(D468,'2018_commission_structure'!$A$2:$C$4,3,FALSE)</f>
        <v>80000</v>
      </c>
      <c r="G468">
        <f>VLOOKUP(D468,'2018_commission_structure'!$A$2:$C$4,2,FALSE)</f>
        <v>50000</v>
      </c>
      <c r="H468">
        <f t="shared" si="7"/>
        <v>0</v>
      </c>
      <c r="I468">
        <f>COUNTIF(deals_closed!D:D, A468)</f>
        <v>23</v>
      </c>
      <c r="K468" t="str">
        <f>_xlfn.CONCAT(B468, " ",C468)</f>
        <v>Elisabetta Curzey</v>
      </c>
    </row>
    <row r="469" spans="1:11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VLOOKUP(D469,'2018_commission_structure'!$A$2:$C$4,3,FALSE)</f>
        <v>80000</v>
      </c>
      <c r="G469">
        <f>VLOOKUP(D469,'2018_commission_structure'!$A$2:$C$4,2,FALSE)</f>
        <v>50000</v>
      </c>
      <c r="H469">
        <f t="shared" si="7"/>
        <v>0</v>
      </c>
      <c r="I469">
        <f>COUNTIF(deals_closed!D:D, A469)</f>
        <v>17</v>
      </c>
      <c r="K469" t="str">
        <f>_xlfn.CONCAT(B469, " ",C469)</f>
        <v>Tori Helis</v>
      </c>
    </row>
    <row r="470" spans="1:11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VLOOKUP(D470,'2018_commission_structure'!$A$2:$C$4,3,FALSE)</f>
        <v>65000</v>
      </c>
      <c r="G470">
        <f>VLOOKUP(D470,'2018_commission_structure'!$A$2:$C$4,2,FALSE)</f>
        <v>30000</v>
      </c>
      <c r="H470">
        <f t="shared" si="7"/>
        <v>0</v>
      </c>
      <c r="I470">
        <f>COUNTIF(deals_closed!D:D, A470)</f>
        <v>14</v>
      </c>
      <c r="K470" t="str">
        <f>_xlfn.CONCAT(B470, " ",C470)</f>
        <v>Elroy Petrasso</v>
      </c>
    </row>
    <row r="471" spans="1:11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VLOOKUP(D471,'2018_commission_structure'!$A$2:$C$4,3,FALSE)</f>
        <v>65000</v>
      </c>
      <c r="G471">
        <f>VLOOKUP(D471,'2018_commission_structure'!$A$2:$C$4,2,FALSE)</f>
        <v>30000</v>
      </c>
      <c r="H471">
        <f t="shared" si="7"/>
        <v>0</v>
      </c>
      <c r="I471">
        <f>COUNTIF(deals_closed!D:D, A471)</f>
        <v>19</v>
      </c>
      <c r="K471" t="str">
        <f>_xlfn.CONCAT(B471, " ",C471)</f>
        <v>Blanche Folliott</v>
      </c>
    </row>
    <row r="472" spans="1:11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VLOOKUP(D472,'2018_commission_structure'!$A$2:$C$4,3,FALSE)</f>
        <v>65000</v>
      </c>
      <c r="G472">
        <f>VLOOKUP(D472,'2018_commission_structure'!$A$2:$C$4,2,FALSE)</f>
        <v>30000</v>
      </c>
      <c r="H472">
        <f t="shared" si="7"/>
        <v>0</v>
      </c>
      <c r="I472">
        <f>COUNTIF(deals_closed!D:D, A472)</f>
        <v>13</v>
      </c>
      <c r="K472" t="str">
        <f>_xlfn.CONCAT(B472, " ",C472)</f>
        <v>Chanda Bahls</v>
      </c>
    </row>
    <row r="473" spans="1:11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VLOOKUP(D473,'2018_commission_structure'!$A$2:$C$4,3,FALSE)</f>
        <v>65000</v>
      </c>
      <c r="G473">
        <f>VLOOKUP(D473,'2018_commission_structure'!$A$2:$C$4,2,FALSE)</f>
        <v>30000</v>
      </c>
      <c r="H473">
        <f t="shared" si="7"/>
        <v>0</v>
      </c>
      <c r="I473">
        <f>COUNTIF(deals_closed!D:D, A473)</f>
        <v>9</v>
      </c>
      <c r="K473" t="str">
        <f>_xlfn.CONCAT(B473, " ",C473)</f>
        <v>Luise Bodley</v>
      </c>
    </row>
    <row r="474" spans="1:11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VLOOKUP(D474,'2018_commission_structure'!$A$2:$C$4,3,FALSE)</f>
        <v>80000</v>
      </c>
      <c r="G474">
        <f>VLOOKUP(D474,'2018_commission_structure'!$A$2:$C$4,2,FALSE)</f>
        <v>50000</v>
      </c>
      <c r="H474">
        <f t="shared" si="7"/>
        <v>0</v>
      </c>
      <c r="I474">
        <f>COUNTIF(deals_closed!D:D, A474)</f>
        <v>19</v>
      </c>
      <c r="K474" t="str">
        <f>_xlfn.CONCAT(B474, " ",C474)</f>
        <v>Elva Aumerle</v>
      </c>
    </row>
    <row r="475" spans="1:11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VLOOKUP(D475,'2018_commission_structure'!$A$2:$C$4,3,FALSE)</f>
        <v>65000</v>
      </c>
      <c r="G475">
        <f>VLOOKUP(D475,'2018_commission_structure'!$A$2:$C$4,2,FALSE)</f>
        <v>30000</v>
      </c>
      <c r="H475">
        <f t="shared" si="7"/>
        <v>0</v>
      </c>
      <c r="I475">
        <f>COUNTIF(deals_closed!D:D, A475)</f>
        <v>16</v>
      </c>
      <c r="K475" t="str">
        <f>_xlfn.CONCAT(B475, " ",C475)</f>
        <v>Lin Ajean</v>
      </c>
    </row>
    <row r="476" spans="1:11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VLOOKUP(D476,'2018_commission_structure'!$A$2:$C$4,3,FALSE)</f>
        <v>125000</v>
      </c>
      <c r="G476">
        <f>VLOOKUP(D476,'2018_commission_structure'!$A$2:$C$4,2,FALSE)</f>
        <v>75000</v>
      </c>
      <c r="H476">
        <f t="shared" si="7"/>
        <v>0</v>
      </c>
      <c r="I476">
        <f>COUNTIF(deals_closed!D:D, A476)</f>
        <v>27</v>
      </c>
      <c r="K476" t="str">
        <f>_xlfn.CONCAT(B476, " ",C476)</f>
        <v>Mada Addie</v>
      </c>
    </row>
    <row r="477" spans="1:11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VLOOKUP(D477,'2018_commission_structure'!$A$2:$C$4,3,FALSE)</f>
        <v>80000</v>
      </c>
      <c r="G477">
        <f>VLOOKUP(D477,'2018_commission_structure'!$A$2:$C$4,2,FALSE)</f>
        <v>50000</v>
      </c>
      <c r="H477">
        <f t="shared" si="7"/>
        <v>0</v>
      </c>
      <c r="I477">
        <f>COUNTIF(deals_closed!D:D, A477)</f>
        <v>22</v>
      </c>
      <c r="K477" t="str">
        <f>_xlfn.CONCAT(B477, " ",C477)</f>
        <v>Shayne Greensall</v>
      </c>
    </row>
    <row r="478" spans="1:11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VLOOKUP(D478,'2018_commission_structure'!$A$2:$C$4,3,FALSE)</f>
        <v>65000</v>
      </c>
      <c r="G478">
        <f>VLOOKUP(D478,'2018_commission_structure'!$A$2:$C$4,2,FALSE)</f>
        <v>30000</v>
      </c>
      <c r="H478">
        <f t="shared" si="7"/>
        <v>0</v>
      </c>
      <c r="I478">
        <f>COUNTIF(deals_closed!D:D, A478)</f>
        <v>20</v>
      </c>
      <c r="K478" t="str">
        <f>_xlfn.CONCAT(B478, " ",C478)</f>
        <v>Mallory Kiss</v>
      </c>
    </row>
    <row r="479" spans="1:11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VLOOKUP(D479,'2018_commission_structure'!$A$2:$C$4,3,FALSE)</f>
        <v>80000</v>
      </c>
      <c r="G479">
        <f>VLOOKUP(D479,'2018_commission_structure'!$A$2:$C$4,2,FALSE)</f>
        <v>50000</v>
      </c>
      <c r="H479">
        <f t="shared" si="7"/>
        <v>0</v>
      </c>
      <c r="I479">
        <f>COUNTIF(deals_closed!D:D, A479)</f>
        <v>29</v>
      </c>
      <c r="K479" t="str">
        <f>_xlfn.CONCAT(B479, " ",C479)</f>
        <v>Nate Bartaletti</v>
      </c>
    </row>
    <row r="480" spans="1:11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VLOOKUP(D480,'2018_commission_structure'!$A$2:$C$4,3,FALSE)</f>
        <v>125000</v>
      </c>
      <c r="G480">
        <f>VLOOKUP(D480,'2018_commission_structure'!$A$2:$C$4,2,FALSE)</f>
        <v>75000</v>
      </c>
      <c r="H480">
        <f t="shared" si="7"/>
        <v>0</v>
      </c>
      <c r="I480">
        <f>COUNTIF(deals_closed!D:D, A480)</f>
        <v>12</v>
      </c>
      <c r="K480" t="str">
        <f>_xlfn.CONCAT(B480, " ",C480)</f>
        <v>Moll Wylie</v>
      </c>
    </row>
    <row r="481" spans="1:11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VLOOKUP(D481,'2018_commission_structure'!$A$2:$C$4,3,FALSE)</f>
        <v>125000</v>
      </c>
      <c r="G481">
        <f>VLOOKUP(D481,'2018_commission_structure'!$A$2:$C$4,2,FALSE)</f>
        <v>75000</v>
      </c>
      <c r="H481">
        <f t="shared" si="7"/>
        <v>0</v>
      </c>
      <c r="I481">
        <f>COUNTIF(deals_closed!D:D, A481)</f>
        <v>26</v>
      </c>
      <c r="K481" t="str">
        <f>_xlfn.CONCAT(B481, " ",C481)</f>
        <v>Bea Gofton</v>
      </c>
    </row>
    <row r="482" spans="1:11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VLOOKUP(D482,'2018_commission_structure'!$A$2:$C$4,3,FALSE)</f>
        <v>65000</v>
      </c>
      <c r="G482">
        <f>VLOOKUP(D482,'2018_commission_structure'!$A$2:$C$4,2,FALSE)</f>
        <v>30000</v>
      </c>
      <c r="H482">
        <f t="shared" si="7"/>
        <v>0</v>
      </c>
      <c r="I482">
        <f>COUNTIF(deals_closed!D:D, A482)</f>
        <v>16</v>
      </c>
      <c r="K482" t="str">
        <f>_xlfn.CONCAT(B482, " ",C482)</f>
        <v>Thalia Crowcher</v>
      </c>
    </row>
    <row r="483" spans="1:11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VLOOKUP(D483,'2018_commission_structure'!$A$2:$C$4,3,FALSE)</f>
        <v>65000</v>
      </c>
      <c r="G483">
        <f>VLOOKUP(D483,'2018_commission_structure'!$A$2:$C$4,2,FALSE)</f>
        <v>30000</v>
      </c>
      <c r="H483">
        <f t="shared" si="7"/>
        <v>0</v>
      </c>
      <c r="I483">
        <f>COUNTIF(deals_closed!D:D, A483)</f>
        <v>14</v>
      </c>
      <c r="K483" t="str">
        <f>_xlfn.CONCAT(B483, " ",C483)</f>
        <v>Nickolai Martins</v>
      </c>
    </row>
    <row r="484" spans="1:11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VLOOKUP(D484,'2018_commission_structure'!$A$2:$C$4,3,FALSE)</f>
        <v>80000</v>
      </c>
      <c r="G484">
        <f>VLOOKUP(D484,'2018_commission_structure'!$A$2:$C$4,2,FALSE)</f>
        <v>50000</v>
      </c>
      <c r="H484">
        <f t="shared" si="7"/>
        <v>0</v>
      </c>
      <c r="I484">
        <f>COUNTIF(deals_closed!D:D, A484)</f>
        <v>19</v>
      </c>
      <c r="K484" t="str">
        <f>_xlfn.CONCAT(B484, " ",C484)</f>
        <v>Corene Diamant</v>
      </c>
    </row>
    <row r="485" spans="1:11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VLOOKUP(D485,'2018_commission_structure'!$A$2:$C$4,3,FALSE)</f>
        <v>65000</v>
      </c>
      <c r="G485">
        <f>VLOOKUP(D485,'2018_commission_structure'!$A$2:$C$4,2,FALSE)</f>
        <v>30000</v>
      </c>
      <c r="H485">
        <f t="shared" si="7"/>
        <v>0</v>
      </c>
      <c r="I485">
        <f>COUNTIF(deals_closed!D:D, A485)</f>
        <v>24</v>
      </c>
      <c r="K485" t="str">
        <f>_xlfn.CONCAT(B485, " ",C485)</f>
        <v>Aldin Dryburgh</v>
      </c>
    </row>
    <row r="486" spans="1:11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VLOOKUP(D486,'2018_commission_structure'!$A$2:$C$4,3,FALSE)</f>
        <v>80000</v>
      </c>
      <c r="G486">
        <f>VLOOKUP(D486,'2018_commission_structure'!$A$2:$C$4,2,FALSE)</f>
        <v>50000</v>
      </c>
      <c r="H486">
        <f t="shared" si="7"/>
        <v>0</v>
      </c>
      <c r="I486">
        <f>COUNTIF(deals_closed!D:D, A486)</f>
        <v>14</v>
      </c>
      <c r="K486" t="str">
        <f>_xlfn.CONCAT(B486, " ",C486)</f>
        <v>Bernice Nucci</v>
      </c>
    </row>
    <row r="487" spans="1:11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VLOOKUP(D487,'2018_commission_structure'!$A$2:$C$4,3,FALSE)</f>
        <v>65000</v>
      </c>
      <c r="G487">
        <f>VLOOKUP(D487,'2018_commission_structure'!$A$2:$C$4,2,FALSE)</f>
        <v>30000</v>
      </c>
      <c r="H487">
        <f t="shared" si="7"/>
        <v>0</v>
      </c>
      <c r="I487">
        <f>COUNTIF(deals_closed!D:D, A487)</f>
        <v>18</v>
      </c>
      <c r="K487" t="str">
        <f>_xlfn.CONCAT(B487, " ",C487)</f>
        <v>Isadora Davana</v>
      </c>
    </row>
    <row r="488" spans="1:11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VLOOKUP(D488,'2018_commission_structure'!$A$2:$C$4,3,FALSE)</f>
        <v>125000</v>
      </c>
      <c r="G488">
        <f>VLOOKUP(D488,'2018_commission_structure'!$A$2:$C$4,2,FALSE)</f>
        <v>75000</v>
      </c>
      <c r="H488">
        <f t="shared" si="7"/>
        <v>0</v>
      </c>
      <c r="I488">
        <f>COUNTIF(deals_closed!D:D, A488)</f>
        <v>23</v>
      </c>
      <c r="K488" t="str">
        <f>_xlfn.CONCAT(B488, " ",C488)</f>
        <v>Javier Andriolli</v>
      </c>
    </row>
    <row r="489" spans="1:11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VLOOKUP(D489,'2018_commission_structure'!$A$2:$C$4,3,FALSE)</f>
        <v>125000</v>
      </c>
      <c r="G489">
        <f>VLOOKUP(D489,'2018_commission_structure'!$A$2:$C$4,2,FALSE)</f>
        <v>75000</v>
      </c>
      <c r="H489">
        <f t="shared" si="7"/>
        <v>0</v>
      </c>
      <c r="I489">
        <f>COUNTIF(deals_closed!D:D, A489)</f>
        <v>21</v>
      </c>
      <c r="K489" t="str">
        <f>_xlfn.CONCAT(B489, " ",C489)</f>
        <v>Hillary Westphalen</v>
      </c>
    </row>
    <row r="490" spans="1:11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VLOOKUP(D490,'2018_commission_structure'!$A$2:$C$4,3,FALSE)</f>
        <v>125000</v>
      </c>
      <c r="G490">
        <f>VLOOKUP(D490,'2018_commission_structure'!$A$2:$C$4,2,FALSE)</f>
        <v>75000</v>
      </c>
      <c r="H490">
        <f t="shared" si="7"/>
        <v>0</v>
      </c>
      <c r="I490">
        <f>COUNTIF(deals_closed!D:D, A490)</f>
        <v>17</v>
      </c>
      <c r="K490" t="str">
        <f>_xlfn.CONCAT(B490, " ",C490)</f>
        <v>Lorie Bamblett</v>
      </c>
    </row>
    <row r="491" spans="1:11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VLOOKUP(D491,'2018_commission_structure'!$A$2:$C$4,3,FALSE)</f>
        <v>125000</v>
      </c>
      <c r="G491">
        <f>VLOOKUP(D491,'2018_commission_structure'!$A$2:$C$4,2,FALSE)</f>
        <v>75000</v>
      </c>
      <c r="H491">
        <f t="shared" si="7"/>
        <v>0</v>
      </c>
      <c r="I491">
        <f>COUNTIF(deals_closed!D:D, A491)</f>
        <v>23</v>
      </c>
      <c r="K491" t="str">
        <f>_xlfn.CONCAT(B491, " ",C491)</f>
        <v>Trude Lindenbluth</v>
      </c>
    </row>
    <row r="492" spans="1:11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VLOOKUP(D492,'2018_commission_structure'!$A$2:$C$4,3,FALSE)</f>
        <v>125000</v>
      </c>
      <c r="G492">
        <f>VLOOKUP(D492,'2018_commission_structure'!$A$2:$C$4,2,FALSE)</f>
        <v>75000</v>
      </c>
      <c r="H492">
        <f t="shared" si="7"/>
        <v>0</v>
      </c>
      <c r="I492">
        <f>COUNTIF(deals_closed!D:D, A492)</f>
        <v>29</v>
      </c>
      <c r="K492" t="str">
        <f>_xlfn.CONCAT(B492, " ",C492)</f>
        <v>Caro Farrington</v>
      </c>
    </row>
    <row r="493" spans="1:11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VLOOKUP(D493,'2018_commission_structure'!$A$2:$C$4,3,FALSE)</f>
        <v>65000</v>
      </c>
      <c r="G493">
        <f>VLOOKUP(D493,'2018_commission_structure'!$A$2:$C$4,2,FALSE)</f>
        <v>30000</v>
      </c>
      <c r="H493">
        <f t="shared" si="7"/>
        <v>0</v>
      </c>
      <c r="I493">
        <f>COUNTIF(deals_closed!D:D, A493)</f>
        <v>19</v>
      </c>
      <c r="K493" t="str">
        <f>_xlfn.CONCAT(B493, " ",C493)</f>
        <v>Ophelia Renak</v>
      </c>
    </row>
    <row r="494" spans="1:11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VLOOKUP(D494,'2018_commission_structure'!$A$2:$C$4,3,FALSE)</f>
        <v>125000</v>
      </c>
      <c r="G494">
        <f>VLOOKUP(D494,'2018_commission_structure'!$A$2:$C$4,2,FALSE)</f>
        <v>75000</v>
      </c>
      <c r="H494">
        <f t="shared" si="7"/>
        <v>0</v>
      </c>
      <c r="I494">
        <f>COUNTIF(deals_closed!D:D, A494)</f>
        <v>17</v>
      </c>
      <c r="K494" t="str">
        <f>_xlfn.CONCAT(B494, " ",C494)</f>
        <v>Joane O' Mulderrig</v>
      </c>
    </row>
    <row r="495" spans="1:11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VLOOKUP(D495,'2018_commission_structure'!$A$2:$C$4,3,FALSE)</f>
        <v>65000</v>
      </c>
      <c r="G495">
        <f>VLOOKUP(D495,'2018_commission_structure'!$A$2:$C$4,2,FALSE)</f>
        <v>30000</v>
      </c>
      <c r="H495">
        <f t="shared" si="7"/>
        <v>0</v>
      </c>
      <c r="I495">
        <f>COUNTIF(deals_closed!D:D, A495)</f>
        <v>25</v>
      </c>
      <c r="K495" t="str">
        <f>_xlfn.CONCAT(B495, " ",C495)</f>
        <v>Alene Barneveld</v>
      </c>
    </row>
    <row r="496" spans="1:11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VLOOKUP(D496,'2018_commission_structure'!$A$2:$C$4,3,FALSE)</f>
        <v>125000</v>
      </c>
      <c r="G496">
        <f>VLOOKUP(D496,'2018_commission_structure'!$A$2:$C$4,2,FALSE)</f>
        <v>75000</v>
      </c>
      <c r="H496">
        <f t="shared" si="7"/>
        <v>0</v>
      </c>
      <c r="I496">
        <f>COUNTIF(deals_closed!D:D, A496)</f>
        <v>28</v>
      </c>
      <c r="K496" t="str">
        <f>_xlfn.CONCAT(B496, " ",C496)</f>
        <v>Sibeal Stirman</v>
      </c>
    </row>
    <row r="497" spans="1:11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VLOOKUP(D497,'2018_commission_structure'!$A$2:$C$4,3,FALSE)</f>
        <v>65000</v>
      </c>
      <c r="G497">
        <f>VLOOKUP(D497,'2018_commission_structure'!$A$2:$C$4,2,FALSE)</f>
        <v>30000</v>
      </c>
      <c r="H497">
        <f t="shared" si="7"/>
        <v>0</v>
      </c>
      <c r="I497">
        <f>COUNTIF(deals_closed!D:D, A497)</f>
        <v>28</v>
      </c>
      <c r="K497" t="str">
        <f>_xlfn.CONCAT(B497, " ",C497)</f>
        <v>Pansie Lingley</v>
      </c>
    </row>
    <row r="498" spans="1:11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VLOOKUP(D498,'2018_commission_structure'!$A$2:$C$4,3,FALSE)</f>
        <v>125000</v>
      </c>
      <c r="G498">
        <f>VLOOKUP(D498,'2018_commission_structure'!$A$2:$C$4,2,FALSE)</f>
        <v>75000</v>
      </c>
      <c r="H498">
        <f t="shared" si="7"/>
        <v>0</v>
      </c>
      <c r="I498">
        <f>COUNTIF(deals_closed!D:D, A498)</f>
        <v>14</v>
      </c>
      <c r="K498" t="str">
        <f>_xlfn.CONCAT(B498, " ",C498)</f>
        <v>Sunny Glyne</v>
      </c>
    </row>
    <row r="499" spans="1:11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VLOOKUP(D499,'2018_commission_structure'!$A$2:$C$4,3,FALSE)</f>
        <v>80000</v>
      </c>
      <c r="G499">
        <f>VLOOKUP(D499,'2018_commission_structure'!$A$2:$C$4,2,FALSE)</f>
        <v>50000</v>
      </c>
      <c r="H499">
        <f t="shared" si="7"/>
        <v>0</v>
      </c>
      <c r="I499">
        <f>COUNTIF(deals_closed!D:D, A499)</f>
        <v>23</v>
      </c>
      <c r="K499" t="str">
        <f>_xlfn.CONCAT(B499, " ",C499)</f>
        <v>Letti Howarth</v>
      </c>
    </row>
    <row r="500" spans="1:11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VLOOKUP(D500,'2018_commission_structure'!$A$2:$C$4,3,FALSE)</f>
        <v>125000</v>
      </c>
      <c r="G500">
        <f>VLOOKUP(D500,'2018_commission_structure'!$A$2:$C$4,2,FALSE)</f>
        <v>75000</v>
      </c>
      <c r="H500">
        <f t="shared" si="7"/>
        <v>0</v>
      </c>
      <c r="I500">
        <f>COUNTIF(deals_closed!D:D, A500)</f>
        <v>21</v>
      </c>
      <c r="K500" t="str">
        <f>_xlfn.CONCAT(B500, " ",C500)</f>
        <v>Noelyn Vankin</v>
      </c>
    </row>
    <row r="501" spans="1:11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VLOOKUP(D501,'2018_commission_structure'!$A$2:$C$4,3,FALSE)</f>
        <v>65000</v>
      </c>
      <c r="G501">
        <f>VLOOKUP(D501,'2018_commission_structure'!$A$2:$C$4,2,FALSE)</f>
        <v>30000</v>
      </c>
      <c r="H501">
        <f t="shared" si="7"/>
        <v>0</v>
      </c>
      <c r="I501">
        <f>COUNTIF(deals_closed!D:D, A501)</f>
        <v>12</v>
      </c>
      <c r="K501" t="str">
        <f>_xlfn.CONCAT(B501, " ",C501)</f>
        <v>Adaline Waud</v>
      </c>
    </row>
    <row r="502" spans="1:11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VLOOKUP(D502,'2018_commission_structure'!$A$2:$C$4,3,FALSE)</f>
        <v>65000</v>
      </c>
      <c r="G502">
        <f>VLOOKUP(D502,'2018_commission_structure'!$A$2:$C$4,2,FALSE)</f>
        <v>30000</v>
      </c>
      <c r="H502">
        <f t="shared" si="7"/>
        <v>0</v>
      </c>
      <c r="I502">
        <f>COUNTIF(deals_closed!D:D, A502)</f>
        <v>21</v>
      </c>
      <c r="K502" t="str">
        <f>_xlfn.CONCAT(B502, " ",C502)</f>
        <v>Reagan Jubert</v>
      </c>
    </row>
    <row r="503" spans="1:11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VLOOKUP(D503,'2018_commission_structure'!$A$2:$C$4,3,FALSE)</f>
        <v>80000</v>
      </c>
      <c r="G503">
        <f>VLOOKUP(D503,'2018_commission_structure'!$A$2:$C$4,2,FALSE)</f>
        <v>50000</v>
      </c>
      <c r="H503">
        <f t="shared" si="7"/>
        <v>0</v>
      </c>
      <c r="I503">
        <f>COUNTIF(deals_closed!D:D, A503)</f>
        <v>25</v>
      </c>
      <c r="K503" t="str">
        <f>_xlfn.CONCAT(B503, " ",C503)</f>
        <v>Talbot Kynett</v>
      </c>
    </row>
    <row r="504" spans="1:11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VLOOKUP(D504,'2018_commission_structure'!$A$2:$C$4,3,FALSE)</f>
        <v>80000</v>
      </c>
      <c r="G504">
        <f>VLOOKUP(D504,'2018_commission_structure'!$A$2:$C$4,2,FALSE)</f>
        <v>50000</v>
      </c>
      <c r="H504">
        <f t="shared" si="7"/>
        <v>0</v>
      </c>
      <c r="I504">
        <f>COUNTIF(deals_closed!D:D, A504)</f>
        <v>15</v>
      </c>
      <c r="K504" t="str">
        <f>_xlfn.CONCAT(B504, " ",C504)</f>
        <v>Lazar Durant</v>
      </c>
    </row>
    <row r="505" spans="1:11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VLOOKUP(D505,'2018_commission_structure'!$A$2:$C$4,3,FALSE)</f>
        <v>125000</v>
      </c>
      <c r="G505">
        <f>VLOOKUP(D505,'2018_commission_structure'!$A$2:$C$4,2,FALSE)</f>
        <v>75000</v>
      </c>
      <c r="H505">
        <f t="shared" si="7"/>
        <v>0</v>
      </c>
      <c r="I505">
        <f>COUNTIF(deals_closed!D:D, A505)</f>
        <v>19</v>
      </c>
      <c r="K505" t="str">
        <f>_xlfn.CONCAT(B505, " ",C505)</f>
        <v>Margit Dransfield</v>
      </c>
    </row>
    <row r="506" spans="1:11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VLOOKUP(D506,'2018_commission_structure'!$A$2:$C$4,3,FALSE)</f>
        <v>125000</v>
      </c>
      <c r="G506">
        <f>VLOOKUP(D506,'2018_commission_structure'!$A$2:$C$4,2,FALSE)</f>
        <v>75000</v>
      </c>
      <c r="H506">
        <f t="shared" si="7"/>
        <v>0</v>
      </c>
      <c r="I506">
        <f>COUNTIF(deals_closed!D:D, A506)</f>
        <v>26</v>
      </c>
      <c r="K506" t="str">
        <f>_xlfn.CONCAT(B506, " ",C506)</f>
        <v>Lucina Farndon</v>
      </c>
    </row>
    <row r="507" spans="1:11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VLOOKUP(D507,'2018_commission_structure'!$A$2:$C$4,3,FALSE)</f>
        <v>65000</v>
      </c>
      <c r="G507">
        <f>VLOOKUP(D507,'2018_commission_structure'!$A$2:$C$4,2,FALSE)</f>
        <v>30000</v>
      </c>
      <c r="H507">
        <f t="shared" si="7"/>
        <v>0</v>
      </c>
      <c r="I507">
        <f>COUNTIF(deals_closed!D:D, A507)</f>
        <v>17</v>
      </c>
      <c r="K507" t="str">
        <f>_xlfn.CONCAT(B507, " ",C507)</f>
        <v>Fabe Hutchinges</v>
      </c>
    </row>
    <row r="508" spans="1:11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VLOOKUP(D508,'2018_commission_structure'!$A$2:$C$4,3,FALSE)</f>
        <v>125000</v>
      </c>
      <c r="G508">
        <f>VLOOKUP(D508,'2018_commission_structure'!$A$2:$C$4,2,FALSE)</f>
        <v>75000</v>
      </c>
      <c r="H508">
        <f t="shared" si="7"/>
        <v>0</v>
      </c>
      <c r="I508">
        <f>COUNTIF(deals_closed!D:D, A508)</f>
        <v>17</v>
      </c>
      <c r="K508" t="str">
        <f>_xlfn.CONCAT(B508, " ",C508)</f>
        <v>Verine Gouldstone</v>
      </c>
    </row>
    <row r="509" spans="1:11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VLOOKUP(D509,'2018_commission_structure'!$A$2:$C$4,3,FALSE)</f>
        <v>80000</v>
      </c>
      <c r="G509">
        <f>VLOOKUP(D509,'2018_commission_structure'!$A$2:$C$4,2,FALSE)</f>
        <v>50000</v>
      </c>
      <c r="H509">
        <f t="shared" si="7"/>
        <v>0</v>
      </c>
      <c r="I509">
        <f>COUNTIF(deals_closed!D:D, A509)</f>
        <v>18</v>
      </c>
      <c r="K509" t="str">
        <f>_xlfn.CONCAT(B509, " ",C509)</f>
        <v>Tammy Lenden</v>
      </c>
    </row>
    <row r="510" spans="1:11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VLOOKUP(D510,'2018_commission_structure'!$A$2:$C$4,3,FALSE)</f>
        <v>125000</v>
      </c>
      <c r="G510">
        <f>VLOOKUP(D510,'2018_commission_structure'!$A$2:$C$4,2,FALSE)</f>
        <v>75000</v>
      </c>
      <c r="H510">
        <f t="shared" si="7"/>
        <v>0</v>
      </c>
      <c r="I510">
        <f>COUNTIF(deals_closed!D:D, A510)</f>
        <v>28</v>
      </c>
      <c r="K510" t="str">
        <f>_xlfn.CONCAT(B510, " ",C510)</f>
        <v>Iago Epine</v>
      </c>
    </row>
    <row r="511" spans="1:11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VLOOKUP(D511,'2018_commission_structure'!$A$2:$C$4,3,FALSE)</f>
        <v>80000</v>
      </c>
      <c r="G511">
        <f>VLOOKUP(D511,'2018_commission_structure'!$A$2:$C$4,2,FALSE)</f>
        <v>50000</v>
      </c>
      <c r="H511">
        <f t="shared" si="7"/>
        <v>0</v>
      </c>
      <c r="I511">
        <f>COUNTIF(deals_closed!D:D, A511)</f>
        <v>19</v>
      </c>
      <c r="K511" t="str">
        <f>_xlfn.CONCAT(B511, " ",C511)</f>
        <v>Georgie Seyler</v>
      </c>
    </row>
    <row r="512" spans="1:11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VLOOKUP(D512,'2018_commission_structure'!$A$2:$C$4,3,FALSE)</f>
        <v>125000</v>
      </c>
      <c r="G512">
        <f>VLOOKUP(D512,'2018_commission_structure'!$A$2:$C$4,2,FALSE)</f>
        <v>75000</v>
      </c>
      <c r="H512">
        <f t="shared" si="7"/>
        <v>0</v>
      </c>
      <c r="I512">
        <f>COUNTIF(deals_closed!D:D, A512)</f>
        <v>23</v>
      </c>
      <c r="K512" t="str">
        <f>_xlfn.CONCAT(B512, " ",C512)</f>
        <v>Bennie Drayton</v>
      </c>
    </row>
    <row r="513" spans="1:11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VLOOKUP(D513,'2018_commission_structure'!$A$2:$C$4,3,FALSE)</f>
        <v>125000</v>
      </c>
      <c r="G513">
        <f>VLOOKUP(D513,'2018_commission_structure'!$A$2:$C$4,2,FALSE)</f>
        <v>75000</v>
      </c>
      <c r="H513">
        <f t="shared" si="7"/>
        <v>0</v>
      </c>
      <c r="I513">
        <f>COUNTIF(deals_closed!D:D, A513)</f>
        <v>18</v>
      </c>
      <c r="K513" t="str">
        <f>_xlfn.CONCAT(B513, " ",C513)</f>
        <v>Bess Kubelka</v>
      </c>
    </row>
    <row r="514" spans="1:11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VLOOKUP(D514,'2018_commission_structure'!$A$2:$C$4,3,FALSE)</f>
        <v>65000</v>
      </c>
      <c r="G514">
        <f>VLOOKUP(D514,'2018_commission_structure'!$A$2:$C$4,2,FALSE)</f>
        <v>30000</v>
      </c>
      <c r="H514">
        <f t="shared" si="7"/>
        <v>0</v>
      </c>
      <c r="I514">
        <f>COUNTIF(deals_closed!D:D, A514)</f>
        <v>35</v>
      </c>
      <c r="K514" t="str">
        <f>_xlfn.CONCAT(B514, " ",C514)</f>
        <v>Evania Grime</v>
      </c>
    </row>
    <row r="515" spans="1:11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VLOOKUP(D515,'2018_commission_structure'!$A$2:$C$4,3,FALSE)</f>
        <v>125000</v>
      </c>
      <c r="G515">
        <f>VLOOKUP(D515,'2018_commission_structure'!$A$2:$C$4,2,FALSE)</f>
        <v>75000</v>
      </c>
      <c r="H515">
        <f t="shared" ref="H515:H578" si="8">IF(AND(E515&gt;=G515,E515&lt;=F515),0,1)</f>
        <v>0</v>
      </c>
      <c r="I515">
        <f>COUNTIF(deals_closed!D:D, A515)</f>
        <v>10</v>
      </c>
      <c r="K515" t="str">
        <f>_xlfn.CONCAT(B515, " ",C515)</f>
        <v>Avivah Sante</v>
      </c>
    </row>
    <row r="516" spans="1:11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VLOOKUP(D516,'2018_commission_structure'!$A$2:$C$4,3,FALSE)</f>
        <v>80000</v>
      </c>
      <c r="G516">
        <f>VLOOKUP(D516,'2018_commission_structure'!$A$2:$C$4,2,FALSE)</f>
        <v>50000</v>
      </c>
      <c r="H516">
        <f t="shared" si="8"/>
        <v>0</v>
      </c>
      <c r="I516">
        <f>COUNTIF(deals_closed!D:D, A516)</f>
        <v>21</v>
      </c>
      <c r="K516" t="str">
        <f>_xlfn.CONCAT(B516, " ",C516)</f>
        <v>Zebedee Lewzey</v>
      </c>
    </row>
    <row r="517" spans="1:11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VLOOKUP(D517,'2018_commission_structure'!$A$2:$C$4,3,FALSE)</f>
        <v>80000</v>
      </c>
      <c r="G517">
        <f>VLOOKUP(D517,'2018_commission_structure'!$A$2:$C$4,2,FALSE)</f>
        <v>50000</v>
      </c>
      <c r="H517">
        <f t="shared" si="8"/>
        <v>0</v>
      </c>
      <c r="I517">
        <f>COUNTIF(deals_closed!D:D, A517)</f>
        <v>22</v>
      </c>
      <c r="K517" t="str">
        <f>_xlfn.CONCAT(B517, " ",C517)</f>
        <v>Wenona Pawlik</v>
      </c>
    </row>
    <row r="518" spans="1:11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VLOOKUP(D518,'2018_commission_structure'!$A$2:$C$4,3,FALSE)</f>
        <v>65000</v>
      </c>
      <c r="G518">
        <f>VLOOKUP(D518,'2018_commission_structure'!$A$2:$C$4,2,FALSE)</f>
        <v>30000</v>
      </c>
      <c r="H518">
        <f t="shared" si="8"/>
        <v>0</v>
      </c>
      <c r="I518">
        <f>COUNTIF(deals_closed!D:D, A518)</f>
        <v>26</v>
      </c>
      <c r="K518" t="str">
        <f>_xlfn.CONCAT(B518, " ",C518)</f>
        <v>Derk Latham</v>
      </c>
    </row>
    <row r="519" spans="1:11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VLOOKUP(D519,'2018_commission_structure'!$A$2:$C$4,3,FALSE)</f>
        <v>125000</v>
      </c>
      <c r="G519">
        <f>VLOOKUP(D519,'2018_commission_structure'!$A$2:$C$4,2,FALSE)</f>
        <v>75000</v>
      </c>
      <c r="H519">
        <f t="shared" si="8"/>
        <v>0</v>
      </c>
      <c r="I519">
        <f>COUNTIF(deals_closed!D:D, A519)</f>
        <v>18</v>
      </c>
      <c r="K519" t="str">
        <f>_xlfn.CONCAT(B519, " ",C519)</f>
        <v>Christina Augar</v>
      </c>
    </row>
    <row r="520" spans="1:11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VLOOKUP(D520,'2018_commission_structure'!$A$2:$C$4,3,FALSE)</f>
        <v>80000</v>
      </c>
      <c r="G520">
        <f>VLOOKUP(D520,'2018_commission_structure'!$A$2:$C$4,2,FALSE)</f>
        <v>50000</v>
      </c>
      <c r="H520">
        <f t="shared" si="8"/>
        <v>0</v>
      </c>
      <c r="I520">
        <f>COUNTIF(deals_closed!D:D, A520)</f>
        <v>16</v>
      </c>
      <c r="K520" t="str">
        <f>_xlfn.CONCAT(B520, " ",C520)</f>
        <v>Minetta Claeskens</v>
      </c>
    </row>
    <row r="521" spans="1:11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VLOOKUP(D521,'2018_commission_structure'!$A$2:$C$4,3,FALSE)</f>
        <v>65000</v>
      </c>
      <c r="G521">
        <f>VLOOKUP(D521,'2018_commission_structure'!$A$2:$C$4,2,FALSE)</f>
        <v>30000</v>
      </c>
      <c r="H521">
        <f t="shared" si="8"/>
        <v>0</v>
      </c>
      <c r="I521">
        <f>COUNTIF(deals_closed!D:D, A521)</f>
        <v>20</v>
      </c>
      <c r="K521" t="str">
        <f>_xlfn.CONCAT(B521, " ",C521)</f>
        <v>Jermayne O'Grady</v>
      </c>
    </row>
    <row r="522" spans="1:11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VLOOKUP(D522,'2018_commission_structure'!$A$2:$C$4,3,FALSE)</f>
        <v>65000</v>
      </c>
      <c r="G522">
        <f>VLOOKUP(D522,'2018_commission_structure'!$A$2:$C$4,2,FALSE)</f>
        <v>30000</v>
      </c>
      <c r="H522">
        <f t="shared" si="8"/>
        <v>0</v>
      </c>
      <c r="I522">
        <f>COUNTIF(deals_closed!D:D, A522)</f>
        <v>20</v>
      </c>
      <c r="K522" t="str">
        <f>_xlfn.CONCAT(B522, " ",C522)</f>
        <v>Peter Aps</v>
      </c>
    </row>
    <row r="523" spans="1:11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VLOOKUP(D523,'2018_commission_structure'!$A$2:$C$4,3,FALSE)</f>
        <v>65000</v>
      </c>
      <c r="G523">
        <f>VLOOKUP(D523,'2018_commission_structure'!$A$2:$C$4,2,FALSE)</f>
        <v>30000</v>
      </c>
      <c r="H523">
        <f t="shared" si="8"/>
        <v>0</v>
      </c>
      <c r="I523">
        <f>COUNTIF(deals_closed!D:D, A523)</f>
        <v>13</v>
      </c>
      <c r="K523" t="str">
        <f>_xlfn.CONCAT(B523, " ",C523)</f>
        <v>Eustacia Creamer</v>
      </c>
    </row>
    <row r="524" spans="1:11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VLOOKUP(D524,'2018_commission_structure'!$A$2:$C$4,3,FALSE)</f>
        <v>80000</v>
      </c>
      <c r="G524">
        <f>VLOOKUP(D524,'2018_commission_structure'!$A$2:$C$4,2,FALSE)</f>
        <v>50000</v>
      </c>
      <c r="H524">
        <f t="shared" si="8"/>
        <v>0</v>
      </c>
      <c r="I524">
        <f>COUNTIF(deals_closed!D:D, A524)</f>
        <v>17</v>
      </c>
      <c r="K524" t="str">
        <f>_xlfn.CONCAT(B524, " ",C524)</f>
        <v>Adolf Underhill</v>
      </c>
    </row>
    <row r="525" spans="1:11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VLOOKUP(D525,'2018_commission_structure'!$A$2:$C$4,3,FALSE)</f>
        <v>125000</v>
      </c>
      <c r="G525">
        <f>VLOOKUP(D525,'2018_commission_structure'!$A$2:$C$4,2,FALSE)</f>
        <v>75000</v>
      </c>
      <c r="H525">
        <f t="shared" si="8"/>
        <v>0</v>
      </c>
      <c r="I525">
        <f>COUNTIF(deals_closed!D:D, A525)</f>
        <v>21</v>
      </c>
      <c r="K525" t="str">
        <f>_xlfn.CONCAT(B525, " ",C525)</f>
        <v>Cory Duplan</v>
      </c>
    </row>
    <row r="526" spans="1:11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VLOOKUP(D526,'2018_commission_structure'!$A$2:$C$4,3,FALSE)</f>
        <v>80000</v>
      </c>
      <c r="G526">
        <f>VLOOKUP(D526,'2018_commission_structure'!$A$2:$C$4,2,FALSE)</f>
        <v>50000</v>
      </c>
      <c r="H526">
        <f t="shared" si="8"/>
        <v>0</v>
      </c>
      <c r="I526">
        <f>COUNTIF(deals_closed!D:D, A526)</f>
        <v>20</v>
      </c>
      <c r="K526" t="str">
        <f>_xlfn.CONCAT(B526, " ",C526)</f>
        <v>Cairistiona Lyver</v>
      </c>
    </row>
    <row r="527" spans="1:11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VLOOKUP(D527,'2018_commission_structure'!$A$2:$C$4,3,FALSE)</f>
        <v>65000</v>
      </c>
      <c r="G527">
        <f>VLOOKUP(D527,'2018_commission_structure'!$A$2:$C$4,2,FALSE)</f>
        <v>30000</v>
      </c>
      <c r="H527">
        <f t="shared" si="8"/>
        <v>0</v>
      </c>
      <c r="I527">
        <f>COUNTIF(deals_closed!D:D, A527)</f>
        <v>22</v>
      </c>
      <c r="K527" t="str">
        <f>_xlfn.CONCAT(B527, " ",C527)</f>
        <v>Kiley Lartice</v>
      </c>
    </row>
    <row r="528" spans="1:11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VLOOKUP(D528,'2018_commission_structure'!$A$2:$C$4,3,FALSE)</f>
        <v>80000</v>
      </c>
      <c r="G528">
        <f>VLOOKUP(D528,'2018_commission_structure'!$A$2:$C$4,2,FALSE)</f>
        <v>50000</v>
      </c>
      <c r="H528">
        <f t="shared" si="8"/>
        <v>0</v>
      </c>
      <c r="I528">
        <f>COUNTIF(deals_closed!D:D, A528)</f>
        <v>20</v>
      </c>
      <c r="K528" t="str">
        <f>_xlfn.CONCAT(B528, " ",C528)</f>
        <v>Austine Wyer</v>
      </c>
    </row>
    <row r="529" spans="1:11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VLOOKUP(D529,'2018_commission_structure'!$A$2:$C$4,3,FALSE)</f>
        <v>125000</v>
      </c>
      <c r="G529">
        <f>VLOOKUP(D529,'2018_commission_structure'!$A$2:$C$4,2,FALSE)</f>
        <v>75000</v>
      </c>
      <c r="H529">
        <f t="shared" si="8"/>
        <v>0</v>
      </c>
      <c r="I529">
        <f>COUNTIF(deals_closed!D:D, A529)</f>
        <v>20</v>
      </c>
      <c r="K529" t="str">
        <f>_xlfn.CONCAT(B529, " ",C529)</f>
        <v>Janenna Dailey</v>
      </c>
    </row>
    <row r="530" spans="1:11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VLOOKUP(D530,'2018_commission_structure'!$A$2:$C$4,3,FALSE)</f>
        <v>80000</v>
      </c>
      <c r="G530">
        <f>VLOOKUP(D530,'2018_commission_structure'!$A$2:$C$4,2,FALSE)</f>
        <v>50000</v>
      </c>
      <c r="H530">
        <f t="shared" si="8"/>
        <v>0</v>
      </c>
      <c r="I530">
        <f>COUNTIF(deals_closed!D:D, A530)</f>
        <v>18</v>
      </c>
      <c r="K530" t="str">
        <f>_xlfn.CONCAT(B530, " ",C530)</f>
        <v>Alfi Duesberry</v>
      </c>
    </row>
    <row r="531" spans="1:11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VLOOKUP(D531,'2018_commission_structure'!$A$2:$C$4,3,FALSE)</f>
        <v>65000</v>
      </c>
      <c r="G531">
        <f>VLOOKUP(D531,'2018_commission_structure'!$A$2:$C$4,2,FALSE)</f>
        <v>30000</v>
      </c>
      <c r="H531">
        <f t="shared" si="8"/>
        <v>0</v>
      </c>
      <c r="I531">
        <f>COUNTIF(deals_closed!D:D, A531)</f>
        <v>25</v>
      </c>
      <c r="K531" t="str">
        <f>_xlfn.CONCAT(B531, " ",C531)</f>
        <v>Rosella Zamora</v>
      </c>
    </row>
    <row r="532" spans="1:11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VLOOKUP(D532,'2018_commission_structure'!$A$2:$C$4,3,FALSE)</f>
        <v>65000</v>
      </c>
      <c r="G532">
        <f>VLOOKUP(D532,'2018_commission_structure'!$A$2:$C$4,2,FALSE)</f>
        <v>30000</v>
      </c>
      <c r="H532">
        <f t="shared" si="8"/>
        <v>0</v>
      </c>
      <c r="I532">
        <f>COUNTIF(deals_closed!D:D, A532)</f>
        <v>13</v>
      </c>
      <c r="K532" t="str">
        <f>_xlfn.CONCAT(B532, " ",C532)</f>
        <v>Julianna Dunklee</v>
      </c>
    </row>
    <row r="533" spans="1:11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VLOOKUP(D533,'2018_commission_structure'!$A$2:$C$4,3,FALSE)</f>
        <v>80000</v>
      </c>
      <c r="G533">
        <f>VLOOKUP(D533,'2018_commission_structure'!$A$2:$C$4,2,FALSE)</f>
        <v>50000</v>
      </c>
      <c r="H533">
        <f t="shared" si="8"/>
        <v>0</v>
      </c>
      <c r="I533">
        <f>COUNTIF(deals_closed!D:D, A533)</f>
        <v>19</v>
      </c>
      <c r="K533" t="str">
        <f>_xlfn.CONCAT(B533, " ",C533)</f>
        <v>Aviva Shayes</v>
      </c>
    </row>
    <row r="534" spans="1:11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VLOOKUP(D534,'2018_commission_structure'!$A$2:$C$4,3,FALSE)</f>
        <v>125000</v>
      </c>
      <c r="G534">
        <f>VLOOKUP(D534,'2018_commission_structure'!$A$2:$C$4,2,FALSE)</f>
        <v>75000</v>
      </c>
      <c r="H534">
        <f t="shared" si="8"/>
        <v>0</v>
      </c>
      <c r="I534">
        <f>COUNTIF(deals_closed!D:D, A534)</f>
        <v>19</v>
      </c>
      <c r="K534" t="str">
        <f>_xlfn.CONCAT(B534, " ",C534)</f>
        <v>Wendel Hulmes</v>
      </c>
    </row>
    <row r="535" spans="1:11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VLOOKUP(D535,'2018_commission_structure'!$A$2:$C$4,3,FALSE)</f>
        <v>125000</v>
      </c>
      <c r="G535">
        <f>VLOOKUP(D535,'2018_commission_structure'!$A$2:$C$4,2,FALSE)</f>
        <v>75000</v>
      </c>
      <c r="H535">
        <f t="shared" si="8"/>
        <v>0</v>
      </c>
      <c r="I535">
        <f>COUNTIF(deals_closed!D:D, A535)</f>
        <v>30</v>
      </c>
      <c r="K535" t="str">
        <f>_xlfn.CONCAT(B535, " ",C535)</f>
        <v>Terri Dorn</v>
      </c>
    </row>
    <row r="536" spans="1:11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VLOOKUP(D536,'2018_commission_structure'!$A$2:$C$4,3,FALSE)</f>
        <v>125000</v>
      </c>
      <c r="G536">
        <f>VLOOKUP(D536,'2018_commission_structure'!$A$2:$C$4,2,FALSE)</f>
        <v>75000</v>
      </c>
      <c r="H536">
        <f t="shared" si="8"/>
        <v>0</v>
      </c>
      <c r="I536">
        <f>COUNTIF(deals_closed!D:D, A536)</f>
        <v>13</v>
      </c>
      <c r="K536" t="str">
        <f>_xlfn.CONCAT(B536, " ",C536)</f>
        <v>Rodina Calloway</v>
      </c>
    </row>
    <row r="537" spans="1:11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VLOOKUP(D537,'2018_commission_structure'!$A$2:$C$4,3,FALSE)</f>
        <v>65000</v>
      </c>
      <c r="G537">
        <f>VLOOKUP(D537,'2018_commission_structure'!$A$2:$C$4,2,FALSE)</f>
        <v>30000</v>
      </c>
      <c r="H537">
        <f t="shared" si="8"/>
        <v>0</v>
      </c>
      <c r="I537">
        <f>COUNTIF(deals_closed!D:D, A537)</f>
        <v>15</v>
      </c>
      <c r="K537" t="str">
        <f>_xlfn.CONCAT(B537, " ",C537)</f>
        <v>Adena Kop</v>
      </c>
    </row>
    <row r="538" spans="1:11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VLOOKUP(D538,'2018_commission_structure'!$A$2:$C$4,3,FALSE)</f>
        <v>125000</v>
      </c>
      <c r="G538">
        <f>VLOOKUP(D538,'2018_commission_structure'!$A$2:$C$4,2,FALSE)</f>
        <v>75000</v>
      </c>
      <c r="H538">
        <f t="shared" si="8"/>
        <v>0</v>
      </c>
      <c r="I538">
        <f>COUNTIF(deals_closed!D:D, A538)</f>
        <v>16</v>
      </c>
      <c r="K538" t="str">
        <f>_xlfn.CONCAT(B538, " ",C538)</f>
        <v>Rosina Kener</v>
      </c>
    </row>
    <row r="539" spans="1:11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VLOOKUP(D539,'2018_commission_structure'!$A$2:$C$4,3,FALSE)</f>
        <v>125000</v>
      </c>
      <c r="G539">
        <f>VLOOKUP(D539,'2018_commission_structure'!$A$2:$C$4,2,FALSE)</f>
        <v>75000</v>
      </c>
      <c r="H539">
        <f t="shared" si="8"/>
        <v>0</v>
      </c>
      <c r="I539">
        <f>COUNTIF(deals_closed!D:D, A539)</f>
        <v>20</v>
      </c>
      <c r="K539" t="str">
        <f>_xlfn.CONCAT(B539, " ",C539)</f>
        <v>Mendel Iscowitz</v>
      </c>
    </row>
    <row r="540" spans="1:11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VLOOKUP(D540,'2018_commission_structure'!$A$2:$C$4,3,FALSE)</f>
        <v>65000</v>
      </c>
      <c r="G540">
        <f>VLOOKUP(D540,'2018_commission_structure'!$A$2:$C$4,2,FALSE)</f>
        <v>30000</v>
      </c>
      <c r="H540">
        <f t="shared" si="8"/>
        <v>0</v>
      </c>
      <c r="I540">
        <f>COUNTIF(deals_closed!D:D, A540)</f>
        <v>22</v>
      </c>
      <c r="K540" t="str">
        <f>_xlfn.CONCAT(B540, " ",C540)</f>
        <v>Hillyer Garrique</v>
      </c>
    </row>
    <row r="541" spans="1:11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VLOOKUP(D541,'2018_commission_structure'!$A$2:$C$4,3,FALSE)</f>
        <v>125000</v>
      </c>
      <c r="G541">
        <f>VLOOKUP(D541,'2018_commission_structure'!$A$2:$C$4,2,FALSE)</f>
        <v>75000</v>
      </c>
      <c r="H541">
        <f t="shared" si="8"/>
        <v>0</v>
      </c>
      <c r="I541">
        <f>COUNTIF(deals_closed!D:D, A541)</f>
        <v>15</v>
      </c>
      <c r="K541" t="str">
        <f>_xlfn.CONCAT(B541, " ",C541)</f>
        <v>Luisa Antic</v>
      </c>
    </row>
    <row r="542" spans="1:11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VLOOKUP(D542,'2018_commission_structure'!$A$2:$C$4,3,FALSE)</f>
        <v>80000</v>
      </c>
      <c r="G542">
        <f>VLOOKUP(D542,'2018_commission_structure'!$A$2:$C$4,2,FALSE)</f>
        <v>50000</v>
      </c>
      <c r="H542">
        <f t="shared" si="8"/>
        <v>0</v>
      </c>
      <c r="I542">
        <f>COUNTIF(deals_closed!D:D, A542)</f>
        <v>23</v>
      </c>
      <c r="K542" t="str">
        <f>_xlfn.CONCAT(B542, " ",C542)</f>
        <v>Clyve Dayley</v>
      </c>
    </row>
    <row r="543" spans="1:11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VLOOKUP(D543,'2018_commission_structure'!$A$2:$C$4,3,FALSE)</f>
        <v>80000</v>
      </c>
      <c r="G543">
        <f>VLOOKUP(D543,'2018_commission_structure'!$A$2:$C$4,2,FALSE)</f>
        <v>50000</v>
      </c>
      <c r="H543">
        <f t="shared" si="8"/>
        <v>0</v>
      </c>
      <c r="I543">
        <f>COUNTIF(deals_closed!D:D, A543)</f>
        <v>22</v>
      </c>
      <c r="K543" t="str">
        <f>_xlfn.CONCAT(B543, " ",C543)</f>
        <v>Jessie Peabody</v>
      </c>
    </row>
    <row r="544" spans="1:11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VLOOKUP(D544,'2018_commission_structure'!$A$2:$C$4,3,FALSE)</f>
        <v>65000</v>
      </c>
      <c r="G544">
        <f>VLOOKUP(D544,'2018_commission_structure'!$A$2:$C$4,2,FALSE)</f>
        <v>30000</v>
      </c>
      <c r="H544">
        <f t="shared" si="8"/>
        <v>0</v>
      </c>
      <c r="I544">
        <f>COUNTIF(deals_closed!D:D, A544)</f>
        <v>17</v>
      </c>
      <c r="K544" t="str">
        <f>_xlfn.CONCAT(B544, " ",C544)</f>
        <v>Alberto Morgan</v>
      </c>
    </row>
    <row r="545" spans="1:11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VLOOKUP(D545,'2018_commission_structure'!$A$2:$C$4,3,FALSE)</f>
        <v>125000</v>
      </c>
      <c r="G545">
        <f>VLOOKUP(D545,'2018_commission_structure'!$A$2:$C$4,2,FALSE)</f>
        <v>75000</v>
      </c>
      <c r="H545">
        <f t="shared" si="8"/>
        <v>0</v>
      </c>
      <c r="I545">
        <f>COUNTIF(deals_closed!D:D, A545)</f>
        <v>14</v>
      </c>
      <c r="K545" t="str">
        <f>_xlfn.CONCAT(B545, " ",C545)</f>
        <v>Bengt Shillum</v>
      </c>
    </row>
    <row r="546" spans="1:11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VLOOKUP(D546,'2018_commission_structure'!$A$2:$C$4,3,FALSE)</f>
        <v>125000</v>
      </c>
      <c r="G546">
        <f>VLOOKUP(D546,'2018_commission_structure'!$A$2:$C$4,2,FALSE)</f>
        <v>75000</v>
      </c>
      <c r="H546">
        <f t="shared" si="8"/>
        <v>0</v>
      </c>
      <c r="I546">
        <f>COUNTIF(deals_closed!D:D, A546)</f>
        <v>21</v>
      </c>
      <c r="K546" t="str">
        <f>_xlfn.CONCAT(B546, " ",C546)</f>
        <v>Vania Tolefree</v>
      </c>
    </row>
    <row r="547" spans="1:11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VLOOKUP(D547,'2018_commission_structure'!$A$2:$C$4,3,FALSE)</f>
        <v>125000</v>
      </c>
      <c r="G547">
        <f>VLOOKUP(D547,'2018_commission_structure'!$A$2:$C$4,2,FALSE)</f>
        <v>75000</v>
      </c>
      <c r="H547">
        <f t="shared" si="8"/>
        <v>0</v>
      </c>
      <c r="I547">
        <f>COUNTIF(deals_closed!D:D, A547)</f>
        <v>20</v>
      </c>
      <c r="K547" t="str">
        <f>_xlfn.CONCAT(B547, " ",C547)</f>
        <v>Idell Haskew</v>
      </c>
    </row>
    <row r="548" spans="1:11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VLOOKUP(D548,'2018_commission_structure'!$A$2:$C$4,3,FALSE)</f>
        <v>125000</v>
      </c>
      <c r="G548">
        <f>VLOOKUP(D548,'2018_commission_structure'!$A$2:$C$4,2,FALSE)</f>
        <v>75000</v>
      </c>
      <c r="H548">
        <f t="shared" si="8"/>
        <v>0</v>
      </c>
      <c r="I548">
        <f>COUNTIF(deals_closed!D:D, A548)</f>
        <v>23</v>
      </c>
      <c r="K548" t="str">
        <f>_xlfn.CONCAT(B548, " ",C548)</f>
        <v>Shayne Millin</v>
      </c>
    </row>
    <row r="549" spans="1:11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VLOOKUP(D549,'2018_commission_structure'!$A$2:$C$4,3,FALSE)</f>
        <v>125000</v>
      </c>
      <c r="G549">
        <f>VLOOKUP(D549,'2018_commission_structure'!$A$2:$C$4,2,FALSE)</f>
        <v>75000</v>
      </c>
      <c r="H549">
        <f t="shared" si="8"/>
        <v>0</v>
      </c>
      <c r="I549">
        <f>COUNTIF(deals_closed!D:D, A549)</f>
        <v>18</v>
      </c>
      <c r="K549" t="str">
        <f>_xlfn.CONCAT(B549, " ",C549)</f>
        <v>Rufe Smerdon</v>
      </c>
    </row>
    <row r="550" spans="1:11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VLOOKUP(D550,'2018_commission_structure'!$A$2:$C$4,3,FALSE)</f>
        <v>125000</v>
      </c>
      <c r="G550">
        <f>VLOOKUP(D550,'2018_commission_structure'!$A$2:$C$4,2,FALSE)</f>
        <v>75000</v>
      </c>
      <c r="H550">
        <f t="shared" si="8"/>
        <v>0</v>
      </c>
      <c r="I550">
        <f>COUNTIF(deals_closed!D:D, A550)</f>
        <v>21</v>
      </c>
      <c r="K550" t="str">
        <f>_xlfn.CONCAT(B550, " ",C550)</f>
        <v>Tallie Buckner</v>
      </c>
    </row>
    <row r="551" spans="1:11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VLOOKUP(D551,'2018_commission_structure'!$A$2:$C$4,3,FALSE)</f>
        <v>65000</v>
      </c>
      <c r="G551">
        <f>VLOOKUP(D551,'2018_commission_structure'!$A$2:$C$4,2,FALSE)</f>
        <v>30000</v>
      </c>
      <c r="H551">
        <f t="shared" si="8"/>
        <v>0</v>
      </c>
      <c r="I551">
        <f>COUNTIF(deals_closed!D:D, A551)</f>
        <v>20</v>
      </c>
      <c r="K551" t="str">
        <f>_xlfn.CONCAT(B551, " ",C551)</f>
        <v>Christabella Timblett</v>
      </c>
    </row>
    <row r="552" spans="1:11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VLOOKUP(D552,'2018_commission_structure'!$A$2:$C$4,3,FALSE)</f>
        <v>125000</v>
      </c>
      <c r="G552">
        <f>VLOOKUP(D552,'2018_commission_structure'!$A$2:$C$4,2,FALSE)</f>
        <v>75000</v>
      </c>
      <c r="H552">
        <f t="shared" si="8"/>
        <v>0</v>
      </c>
      <c r="I552">
        <f>COUNTIF(deals_closed!D:D, A552)</f>
        <v>19</v>
      </c>
      <c r="K552" t="str">
        <f>_xlfn.CONCAT(B552, " ",C552)</f>
        <v>Pacorro Balden</v>
      </c>
    </row>
    <row r="553" spans="1:11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VLOOKUP(D553,'2018_commission_structure'!$A$2:$C$4,3,FALSE)</f>
        <v>125000</v>
      </c>
      <c r="G553">
        <f>VLOOKUP(D553,'2018_commission_structure'!$A$2:$C$4,2,FALSE)</f>
        <v>75000</v>
      </c>
      <c r="H553">
        <f t="shared" si="8"/>
        <v>0</v>
      </c>
      <c r="I553">
        <f>COUNTIF(deals_closed!D:D, A553)</f>
        <v>14</v>
      </c>
      <c r="K553" t="str">
        <f>_xlfn.CONCAT(B553, " ",C553)</f>
        <v>Elizabet Kentish</v>
      </c>
    </row>
    <row r="554" spans="1:11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VLOOKUP(D554,'2018_commission_structure'!$A$2:$C$4,3,FALSE)</f>
        <v>80000</v>
      </c>
      <c r="G554">
        <f>VLOOKUP(D554,'2018_commission_structure'!$A$2:$C$4,2,FALSE)</f>
        <v>50000</v>
      </c>
      <c r="H554">
        <f t="shared" si="8"/>
        <v>0</v>
      </c>
      <c r="I554">
        <f>COUNTIF(deals_closed!D:D, A554)</f>
        <v>22</v>
      </c>
      <c r="K554" t="str">
        <f>_xlfn.CONCAT(B554, " ",C554)</f>
        <v>Cecilius Messam</v>
      </c>
    </row>
    <row r="555" spans="1:11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VLOOKUP(D555,'2018_commission_structure'!$A$2:$C$4,3,FALSE)</f>
        <v>65000</v>
      </c>
      <c r="G555">
        <f>VLOOKUP(D555,'2018_commission_structure'!$A$2:$C$4,2,FALSE)</f>
        <v>30000</v>
      </c>
      <c r="H555">
        <f t="shared" si="8"/>
        <v>0</v>
      </c>
      <c r="I555">
        <f>COUNTIF(deals_closed!D:D, A555)</f>
        <v>17</v>
      </c>
      <c r="K555" t="str">
        <f>_xlfn.CONCAT(B555, " ",C555)</f>
        <v>Aurelie Pickaver</v>
      </c>
    </row>
    <row r="556" spans="1:11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VLOOKUP(D556,'2018_commission_structure'!$A$2:$C$4,3,FALSE)</f>
        <v>65000</v>
      </c>
      <c r="G556">
        <f>VLOOKUP(D556,'2018_commission_structure'!$A$2:$C$4,2,FALSE)</f>
        <v>30000</v>
      </c>
      <c r="H556">
        <f t="shared" si="8"/>
        <v>0</v>
      </c>
      <c r="I556">
        <f>COUNTIF(deals_closed!D:D, A556)</f>
        <v>26</v>
      </c>
      <c r="K556" t="str">
        <f>_xlfn.CONCAT(B556, " ",C556)</f>
        <v>Huey Strognell</v>
      </c>
    </row>
    <row r="557" spans="1:11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VLOOKUP(D557,'2018_commission_structure'!$A$2:$C$4,3,FALSE)</f>
        <v>65000</v>
      </c>
      <c r="G557">
        <f>VLOOKUP(D557,'2018_commission_structure'!$A$2:$C$4,2,FALSE)</f>
        <v>30000</v>
      </c>
      <c r="H557">
        <f t="shared" si="8"/>
        <v>0</v>
      </c>
      <c r="I557">
        <f>COUNTIF(deals_closed!D:D, A557)</f>
        <v>20</v>
      </c>
      <c r="K557" t="str">
        <f>_xlfn.CONCAT(B557, " ",C557)</f>
        <v>Lawrence Minchindon</v>
      </c>
    </row>
    <row r="558" spans="1:11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VLOOKUP(D558,'2018_commission_structure'!$A$2:$C$4,3,FALSE)</f>
        <v>80000</v>
      </c>
      <c r="G558">
        <f>VLOOKUP(D558,'2018_commission_structure'!$A$2:$C$4,2,FALSE)</f>
        <v>50000</v>
      </c>
      <c r="H558">
        <f t="shared" si="8"/>
        <v>0</v>
      </c>
      <c r="I558">
        <f>COUNTIF(deals_closed!D:D, A558)</f>
        <v>14</v>
      </c>
      <c r="K558" t="str">
        <f>_xlfn.CONCAT(B558, " ",C558)</f>
        <v>Ivan Gonzalo</v>
      </c>
    </row>
    <row r="559" spans="1:11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VLOOKUP(D559,'2018_commission_structure'!$A$2:$C$4,3,FALSE)</f>
        <v>65000</v>
      </c>
      <c r="G559">
        <f>VLOOKUP(D559,'2018_commission_structure'!$A$2:$C$4,2,FALSE)</f>
        <v>30000</v>
      </c>
      <c r="H559">
        <f t="shared" si="8"/>
        <v>0</v>
      </c>
      <c r="I559">
        <f>COUNTIF(deals_closed!D:D, A559)</f>
        <v>14</v>
      </c>
      <c r="K559" t="str">
        <f>_xlfn.CONCAT(B559, " ",C559)</f>
        <v>Gar Mueller</v>
      </c>
    </row>
    <row r="560" spans="1:11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VLOOKUP(D560,'2018_commission_structure'!$A$2:$C$4,3,FALSE)</f>
        <v>125000</v>
      </c>
      <c r="G560">
        <f>VLOOKUP(D560,'2018_commission_structure'!$A$2:$C$4,2,FALSE)</f>
        <v>75000</v>
      </c>
      <c r="H560">
        <f t="shared" si="8"/>
        <v>0</v>
      </c>
      <c r="I560">
        <f>COUNTIF(deals_closed!D:D, A560)</f>
        <v>11</v>
      </c>
      <c r="K560" t="str">
        <f>_xlfn.CONCAT(B560, " ",C560)</f>
        <v>Travers Nequest</v>
      </c>
    </row>
    <row r="561" spans="1:11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VLOOKUP(D561,'2018_commission_structure'!$A$2:$C$4,3,FALSE)</f>
        <v>80000</v>
      </c>
      <c r="G561">
        <f>VLOOKUP(D561,'2018_commission_structure'!$A$2:$C$4,2,FALSE)</f>
        <v>50000</v>
      </c>
      <c r="H561">
        <f t="shared" si="8"/>
        <v>0</v>
      </c>
      <c r="I561">
        <f>COUNTIF(deals_closed!D:D, A561)</f>
        <v>24</v>
      </c>
      <c r="K561" t="str">
        <f>_xlfn.CONCAT(B561, " ",C561)</f>
        <v>Mauricio Smooth</v>
      </c>
    </row>
    <row r="562" spans="1:11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VLOOKUP(D562,'2018_commission_structure'!$A$2:$C$4,3,FALSE)</f>
        <v>65000</v>
      </c>
      <c r="G562">
        <f>VLOOKUP(D562,'2018_commission_structure'!$A$2:$C$4,2,FALSE)</f>
        <v>30000</v>
      </c>
      <c r="H562">
        <f t="shared" si="8"/>
        <v>0</v>
      </c>
      <c r="I562">
        <f>COUNTIF(deals_closed!D:D, A562)</f>
        <v>20</v>
      </c>
      <c r="K562" t="str">
        <f>_xlfn.CONCAT(B562, " ",C562)</f>
        <v>Elroy Lenaghen</v>
      </c>
    </row>
    <row r="563" spans="1:11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VLOOKUP(D563,'2018_commission_structure'!$A$2:$C$4,3,FALSE)</f>
        <v>125000</v>
      </c>
      <c r="G563">
        <f>VLOOKUP(D563,'2018_commission_structure'!$A$2:$C$4,2,FALSE)</f>
        <v>75000</v>
      </c>
      <c r="H563">
        <f t="shared" si="8"/>
        <v>0</v>
      </c>
      <c r="I563">
        <f>COUNTIF(deals_closed!D:D, A563)</f>
        <v>24</v>
      </c>
      <c r="K563" t="str">
        <f>_xlfn.CONCAT(B563, " ",C563)</f>
        <v>Elie Cantillion</v>
      </c>
    </row>
    <row r="564" spans="1:11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VLOOKUP(D564,'2018_commission_structure'!$A$2:$C$4,3,FALSE)</f>
        <v>65000</v>
      </c>
      <c r="G564">
        <f>VLOOKUP(D564,'2018_commission_structure'!$A$2:$C$4,2,FALSE)</f>
        <v>30000</v>
      </c>
      <c r="H564">
        <f t="shared" si="8"/>
        <v>0</v>
      </c>
      <c r="I564">
        <f>COUNTIF(deals_closed!D:D, A564)</f>
        <v>25</v>
      </c>
      <c r="K564" t="str">
        <f>_xlfn.CONCAT(B564, " ",C564)</f>
        <v>Tuckie Mullenger</v>
      </c>
    </row>
    <row r="565" spans="1:11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VLOOKUP(D565,'2018_commission_structure'!$A$2:$C$4,3,FALSE)</f>
        <v>80000</v>
      </c>
      <c r="G565">
        <f>VLOOKUP(D565,'2018_commission_structure'!$A$2:$C$4,2,FALSE)</f>
        <v>50000</v>
      </c>
      <c r="H565">
        <f t="shared" si="8"/>
        <v>0</v>
      </c>
      <c r="I565">
        <f>COUNTIF(deals_closed!D:D, A565)</f>
        <v>20</v>
      </c>
      <c r="K565" t="str">
        <f>_xlfn.CONCAT(B565, " ",C565)</f>
        <v>Nichols Exton</v>
      </c>
    </row>
    <row r="566" spans="1:11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VLOOKUP(D566,'2018_commission_structure'!$A$2:$C$4,3,FALSE)</f>
        <v>65000</v>
      </c>
      <c r="G566">
        <f>VLOOKUP(D566,'2018_commission_structure'!$A$2:$C$4,2,FALSE)</f>
        <v>30000</v>
      </c>
      <c r="H566">
        <f t="shared" si="8"/>
        <v>0</v>
      </c>
      <c r="I566">
        <f>COUNTIF(deals_closed!D:D, A566)</f>
        <v>18</v>
      </c>
      <c r="K566" t="str">
        <f>_xlfn.CONCAT(B566, " ",C566)</f>
        <v>Fraze Laing</v>
      </c>
    </row>
    <row r="567" spans="1:11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VLOOKUP(D567,'2018_commission_structure'!$A$2:$C$4,3,FALSE)</f>
        <v>65000</v>
      </c>
      <c r="G567">
        <f>VLOOKUP(D567,'2018_commission_structure'!$A$2:$C$4,2,FALSE)</f>
        <v>30000</v>
      </c>
      <c r="H567">
        <f t="shared" si="8"/>
        <v>0</v>
      </c>
      <c r="I567">
        <f>COUNTIF(deals_closed!D:D, A567)</f>
        <v>19</v>
      </c>
      <c r="K567" t="str">
        <f>_xlfn.CONCAT(B567, " ",C567)</f>
        <v>Erika Forsaith</v>
      </c>
    </row>
    <row r="568" spans="1:11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VLOOKUP(D568,'2018_commission_structure'!$A$2:$C$4,3,FALSE)</f>
        <v>80000</v>
      </c>
      <c r="G568">
        <f>VLOOKUP(D568,'2018_commission_structure'!$A$2:$C$4,2,FALSE)</f>
        <v>50000</v>
      </c>
      <c r="H568">
        <f t="shared" si="8"/>
        <v>0</v>
      </c>
      <c r="I568">
        <f>COUNTIF(deals_closed!D:D, A568)</f>
        <v>21</v>
      </c>
      <c r="K568" t="str">
        <f>_xlfn.CONCAT(B568, " ",C568)</f>
        <v>Salli Gooda</v>
      </c>
    </row>
    <row r="569" spans="1:11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VLOOKUP(D569,'2018_commission_structure'!$A$2:$C$4,3,FALSE)</f>
        <v>65000</v>
      </c>
      <c r="G569">
        <f>VLOOKUP(D569,'2018_commission_structure'!$A$2:$C$4,2,FALSE)</f>
        <v>30000</v>
      </c>
      <c r="H569">
        <f t="shared" si="8"/>
        <v>0</v>
      </c>
      <c r="I569">
        <f>COUNTIF(deals_closed!D:D, A569)</f>
        <v>21</v>
      </c>
      <c r="K569" t="str">
        <f>_xlfn.CONCAT(B569, " ",C569)</f>
        <v>Amalea Murty</v>
      </c>
    </row>
    <row r="570" spans="1:11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VLOOKUP(D570,'2018_commission_structure'!$A$2:$C$4,3,FALSE)</f>
        <v>125000</v>
      </c>
      <c r="G570">
        <f>VLOOKUP(D570,'2018_commission_structure'!$A$2:$C$4,2,FALSE)</f>
        <v>75000</v>
      </c>
      <c r="H570">
        <f t="shared" si="8"/>
        <v>0</v>
      </c>
      <c r="I570">
        <f>COUNTIF(deals_closed!D:D, A570)</f>
        <v>23</v>
      </c>
      <c r="K570" t="str">
        <f>_xlfn.CONCAT(B570, " ",C570)</f>
        <v>Alexa Balch</v>
      </c>
    </row>
    <row r="571" spans="1:11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VLOOKUP(D571,'2018_commission_structure'!$A$2:$C$4,3,FALSE)</f>
        <v>80000</v>
      </c>
      <c r="G571">
        <f>VLOOKUP(D571,'2018_commission_structure'!$A$2:$C$4,2,FALSE)</f>
        <v>50000</v>
      </c>
      <c r="H571">
        <f t="shared" si="8"/>
        <v>0</v>
      </c>
      <c r="I571">
        <f>COUNTIF(deals_closed!D:D, A571)</f>
        <v>21</v>
      </c>
      <c r="K571" t="str">
        <f>_xlfn.CONCAT(B571, " ",C571)</f>
        <v>Nolie Gonnin</v>
      </c>
    </row>
    <row r="572" spans="1:11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VLOOKUP(D572,'2018_commission_structure'!$A$2:$C$4,3,FALSE)</f>
        <v>80000</v>
      </c>
      <c r="G572">
        <f>VLOOKUP(D572,'2018_commission_structure'!$A$2:$C$4,2,FALSE)</f>
        <v>50000</v>
      </c>
      <c r="H572">
        <f t="shared" si="8"/>
        <v>0</v>
      </c>
      <c r="I572">
        <f>COUNTIF(deals_closed!D:D, A572)</f>
        <v>28</v>
      </c>
      <c r="K572" t="str">
        <f>_xlfn.CONCAT(B572, " ",C572)</f>
        <v>Orelia Philipson</v>
      </c>
    </row>
    <row r="573" spans="1:11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VLOOKUP(D573,'2018_commission_structure'!$A$2:$C$4,3,FALSE)</f>
        <v>125000</v>
      </c>
      <c r="G573">
        <f>VLOOKUP(D573,'2018_commission_structure'!$A$2:$C$4,2,FALSE)</f>
        <v>75000</v>
      </c>
      <c r="H573">
        <f t="shared" si="8"/>
        <v>0</v>
      </c>
      <c r="I573">
        <f>COUNTIF(deals_closed!D:D, A573)</f>
        <v>25</v>
      </c>
      <c r="K573" t="str">
        <f>_xlfn.CONCAT(B573, " ",C573)</f>
        <v>Krisha Rotherham</v>
      </c>
    </row>
    <row r="574" spans="1:11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VLOOKUP(D574,'2018_commission_structure'!$A$2:$C$4,3,FALSE)</f>
        <v>65000</v>
      </c>
      <c r="G574">
        <f>VLOOKUP(D574,'2018_commission_structure'!$A$2:$C$4,2,FALSE)</f>
        <v>30000</v>
      </c>
      <c r="H574">
        <f t="shared" si="8"/>
        <v>0</v>
      </c>
      <c r="I574">
        <f>COUNTIF(deals_closed!D:D, A574)</f>
        <v>9</v>
      </c>
      <c r="K574" t="str">
        <f>_xlfn.CONCAT(B574, " ",C574)</f>
        <v>Elisabetta Martinec</v>
      </c>
    </row>
    <row r="575" spans="1:11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VLOOKUP(D575,'2018_commission_structure'!$A$2:$C$4,3,FALSE)</f>
        <v>125000</v>
      </c>
      <c r="G575">
        <f>VLOOKUP(D575,'2018_commission_structure'!$A$2:$C$4,2,FALSE)</f>
        <v>75000</v>
      </c>
      <c r="H575">
        <f t="shared" si="8"/>
        <v>0</v>
      </c>
      <c r="I575">
        <f>COUNTIF(deals_closed!D:D, A575)</f>
        <v>26</v>
      </c>
      <c r="K575" t="str">
        <f>_xlfn.CONCAT(B575, " ",C575)</f>
        <v>Renaud Highwood</v>
      </c>
    </row>
    <row r="576" spans="1:11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VLOOKUP(D576,'2018_commission_structure'!$A$2:$C$4,3,FALSE)</f>
        <v>65000</v>
      </c>
      <c r="G576">
        <f>VLOOKUP(D576,'2018_commission_structure'!$A$2:$C$4,2,FALSE)</f>
        <v>30000</v>
      </c>
      <c r="H576">
        <f t="shared" si="8"/>
        <v>0</v>
      </c>
      <c r="I576">
        <f>COUNTIF(deals_closed!D:D, A576)</f>
        <v>21</v>
      </c>
      <c r="K576" t="str">
        <f>_xlfn.CONCAT(B576, " ",C576)</f>
        <v>Chastity Benninger</v>
      </c>
    </row>
    <row r="577" spans="1:11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VLOOKUP(D577,'2018_commission_structure'!$A$2:$C$4,3,FALSE)</f>
        <v>65000</v>
      </c>
      <c r="G577">
        <f>VLOOKUP(D577,'2018_commission_structure'!$A$2:$C$4,2,FALSE)</f>
        <v>30000</v>
      </c>
      <c r="H577">
        <f t="shared" si="8"/>
        <v>0</v>
      </c>
      <c r="I577">
        <f>COUNTIF(deals_closed!D:D, A577)</f>
        <v>16</v>
      </c>
      <c r="K577" t="str">
        <f>_xlfn.CONCAT(B577, " ",C577)</f>
        <v>Misty Whitrod</v>
      </c>
    </row>
    <row r="578" spans="1:11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VLOOKUP(D578,'2018_commission_structure'!$A$2:$C$4,3,FALSE)</f>
        <v>125000</v>
      </c>
      <c r="G578">
        <f>VLOOKUP(D578,'2018_commission_structure'!$A$2:$C$4,2,FALSE)</f>
        <v>75000</v>
      </c>
      <c r="H578">
        <f t="shared" si="8"/>
        <v>0</v>
      </c>
      <c r="I578">
        <f>COUNTIF(deals_closed!D:D, A578)</f>
        <v>19</v>
      </c>
      <c r="K578" t="str">
        <f>_xlfn.CONCAT(B578, " ",C578)</f>
        <v>Darwin Tinsley</v>
      </c>
    </row>
    <row r="579" spans="1:11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VLOOKUP(D579,'2018_commission_structure'!$A$2:$C$4,3,FALSE)</f>
        <v>125000</v>
      </c>
      <c r="G579">
        <f>VLOOKUP(D579,'2018_commission_structure'!$A$2:$C$4,2,FALSE)</f>
        <v>75000</v>
      </c>
      <c r="H579">
        <f t="shared" ref="H579:H642" si="9">IF(AND(E579&gt;=G579,E579&lt;=F579),0,1)</f>
        <v>0</v>
      </c>
      <c r="I579">
        <f>COUNTIF(deals_closed!D:D, A579)</f>
        <v>16</v>
      </c>
      <c r="K579" t="str">
        <f>_xlfn.CONCAT(B579, " ",C579)</f>
        <v>Ddene Castree</v>
      </c>
    </row>
    <row r="580" spans="1:11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VLOOKUP(D580,'2018_commission_structure'!$A$2:$C$4,3,FALSE)</f>
        <v>125000</v>
      </c>
      <c r="G580">
        <f>VLOOKUP(D580,'2018_commission_structure'!$A$2:$C$4,2,FALSE)</f>
        <v>75000</v>
      </c>
      <c r="H580">
        <f t="shared" si="9"/>
        <v>0</v>
      </c>
      <c r="I580">
        <f>COUNTIF(deals_closed!D:D, A580)</f>
        <v>9</v>
      </c>
      <c r="K580" t="str">
        <f>_xlfn.CONCAT(B580, " ",C580)</f>
        <v>Dexter Ewington</v>
      </c>
    </row>
    <row r="581" spans="1:11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VLOOKUP(D581,'2018_commission_structure'!$A$2:$C$4,3,FALSE)</f>
        <v>65000</v>
      </c>
      <c r="G581">
        <f>VLOOKUP(D581,'2018_commission_structure'!$A$2:$C$4,2,FALSE)</f>
        <v>30000</v>
      </c>
      <c r="H581">
        <f t="shared" si="9"/>
        <v>0</v>
      </c>
      <c r="I581">
        <f>COUNTIF(deals_closed!D:D, A581)</f>
        <v>21</v>
      </c>
      <c r="K581" t="str">
        <f>_xlfn.CONCAT(B581, " ",C581)</f>
        <v>Titos Shelmardine</v>
      </c>
    </row>
    <row r="582" spans="1:11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VLOOKUP(D582,'2018_commission_structure'!$A$2:$C$4,3,FALSE)</f>
        <v>65000</v>
      </c>
      <c r="G582">
        <f>VLOOKUP(D582,'2018_commission_structure'!$A$2:$C$4,2,FALSE)</f>
        <v>30000</v>
      </c>
      <c r="H582">
        <f t="shared" si="9"/>
        <v>0</v>
      </c>
      <c r="I582">
        <f>COUNTIF(deals_closed!D:D, A582)</f>
        <v>22</v>
      </c>
      <c r="K582" t="str">
        <f>_xlfn.CONCAT(B582, " ",C582)</f>
        <v>Giorgio Suett</v>
      </c>
    </row>
    <row r="583" spans="1:11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VLOOKUP(D583,'2018_commission_structure'!$A$2:$C$4,3,FALSE)</f>
        <v>65000</v>
      </c>
      <c r="G583">
        <f>VLOOKUP(D583,'2018_commission_structure'!$A$2:$C$4,2,FALSE)</f>
        <v>30000</v>
      </c>
      <c r="H583">
        <f t="shared" si="9"/>
        <v>0</v>
      </c>
      <c r="I583">
        <f>COUNTIF(deals_closed!D:D, A583)</f>
        <v>19</v>
      </c>
      <c r="K583" t="str">
        <f>_xlfn.CONCAT(B583, " ",C583)</f>
        <v>Cherye Grunbaum</v>
      </c>
    </row>
    <row r="584" spans="1:11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VLOOKUP(D584,'2018_commission_structure'!$A$2:$C$4,3,FALSE)</f>
        <v>80000</v>
      </c>
      <c r="G584">
        <f>VLOOKUP(D584,'2018_commission_structure'!$A$2:$C$4,2,FALSE)</f>
        <v>50000</v>
      </c>
      <c r="H584">
        <f t="shared" si="9"/>
        <v>0</v>
      </c>
      <c r="I584">
        <f>COUNTIF(deals_closed!D:D, A584)</f>
        <v>13</v>
      </c>
      <c r="K584" t="str">
        <f>_xlfn.CONCAT(B584, " ",C584)</f>
        <v>Duffy Grimsdyke</v>
      </c>
    </row>
    <row r="585" spans="1:11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VLOOKUP(D585,'2018_commission_structure'!$A$2:$C$4,3,FALSE)</f>
        <v>65000</v>
      </c>
      <c r="G585">
        <f>VLOOKUP(D585,'2018_commission_structure'!$A$2:$C$4,2,FALSE)</f>
        <v>30000</v>
      </c>
      <c r="H585">
        <f t="shared" si="9"/>
        <v>0</v>
      </c>
      <c r="I585">
        <f>COUNTIF(deals_closed!D:D, A585)</f>
        <v>17</v>
      </c>
      <c r="K585" t="str">
        <f>_xlfn.CONCAT(B585, " ",C585)</f>
        <v>Barde Pound</v>
      </c>
    </row>
    <row r="586" spans="1:11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VLOOKUP(D586,'2018_commission_structure'!$A$2:$C$4,3,FALSE)</f>
        <v>80000</v>
      </c>
      <c r="G586">
        <f>VLOOKUP(D586,'2018_commission_structure'!$A$2:$C$4,2,FALSE)</f>
        <v>50000</v>
      </c>
      <c r="H586">
        <f t="shared" si="9"/>
        <v>0</v>
      </c>
      <c r="I586">
        <f>COUNTIF(deals_closed!D:D, A586)</f>
        <v>18</v>
      </c>
      <c r="K586" t="str">
        <f>_xlfn.CONCAT(B586, " ",C586)</f>
        <v>Nial Giovanazzi</v>
      </c>
    </row>
    <row r="587" spans="1:11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VLOOKUP(D587,'2018_commission_structure'!$A$2:$C$4,3,FALSE)</f>
        <v>65000</v>
      </c>
      <c r="G587">
        <f>VLOOKUP(D587,'2018_commission_structure'!$A$2:$C$4,2,FALSE)</f>
        <v>30000</v>
      </c>
      <c r="H587">
        <f t="shared" si="9"/>
        <v>0</v>
      </c>
      <c r="I587">
        <f>COUNTIF(deals_closed!D:D, A587)</f>
        <v>12</v>
      </c>
      <c r="K587" t="str">
        <f>_xlfn.CONCAT(B587, " ",C587)</f>
        <v>Erin Ducker</v>
      </c>
    </row>
    <row r="588" spans="1:11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VLOOKUP(D588,'2018_commission_structure'!$A$2:$C$4,3,FALSE)</f>
        <v>65000</v>
      </c>
      <c r="G588">
        <f>VLOOKUP(D588,'2018_commission_structure'!$A$2:$C$4,2,FALSE)</f>
        <v>30000</v>
      </c>
      <c r="H588">
        <f t="shared" si="9"/>
        <v>0</v>
      </c>
      <c r="I588">
        <f>COUNTIF(deals_closed!D:D, A588)</f>
        <v>9</v>
      </c>
      <c r="K588" t="str">
        <f>_xlfn.CONCAT(B588, " ",C588)</f>
        <v>Nicko Ledington</v>
      </c>
    </row>
    <row r="589" spans="1:11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VLOOKUP(D589,'2018_commission_structure'!$A$2:$C$4,3,FALSE)</f>
        <v>80000</v>
      </c>
      <c r="G589">
        <f>VLOOKUP(D589,'2018_commission_structure'!$A$2:$C$4,2,FALSE)</f>
        <v>50000</v>
      </c>
      <c r="H589">
        <f t="shared" si="9"/>
        <v>0</v>
      </c>
      <c r="I589">
        <f>COUNTIF(deals_closed!D:D, A589)</f>
        <v>21</v>
      </c>
      <c r="K589" t="str">
        <f>_xlfn.CONCAT(B589, " ",C589)</f>
        <v>Damaris Metson</v>
      </c>
    </row>
    <row r="590" spans="1:11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VLOOKUP(D590,'2018_commission_structure'!$A$2:$C$4,3,FALSE)</f>
        <v>125000</v>
      </c>
      <c r="G590">
        <f>VLOOKUP(D590,'2018_commission_structure'!$A$2:$C$4,2,FALSE)</f>
        <v>75000</v>
      </c>
      <c r="H590">
        <f t="shared" si="9"/>
        <v>0</v>
      </c>
      <c r="I590">
        <f>COUNTIF(deals_closed!D:D, A590)</f>
        <v>22</v>
      </c>
      <c r="K590" t="str">
        <f>_xlfn.CONCAT(B590, " ",C590)</f>
        <v>Merrill Speakman</v>
      </c>
    </row>
    <row r="591" spans="1:11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VLOOKUP(D591,'2018_commission_structure'!$A$2:$C$4,3,FALSE)</f>
        <v>125000</v>
      </c>
      <c r="G591">
        <f>VLOOKUP(D591,'2018_commission_structure'!$A$2:$C$4,2,FALSE)</f>
        <v>75000</v>
      </c>
      <c r="H591">
        <f t="shared" si="9"/>
        <v>0</v>
      </c>
      <c r="I591">
        <f>COUNTIF(deals_closed!D:D, A591)</f>
        <v>25</v>
      </c>
      <c r="K591" t="str">
        <f>_xlfn.CONCAT(B591, " ",C591)</f>
        <v>Darcie Hylands</v>
      </c>
    </row>
    <row r="592" spans="1:11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VLOOKUP(D592,'2018_commission_structure'!$A$2:$C$4,3,FALSE)</f>
        <v>65000</v>
      </c>
      <c r="G592">
        <f>VLOOKUP(D592,'2018_commission_structure'!$A$2:$C$4,2,FALSE)</f>
        <v>30000</v>
      </c>
      <c r="H592">
        <f t="shared" si="9"/>
        <v>0</v>
      </c>
      <c r="I592">
        <f>COUNTIF(deals_closed!D:D, A592)</f>
        <v>27</v>
      </c>
      <c r="K592" t="str">
        <f>_xlfn.CONCAT(B592, " ",C592)</f>
        <v>Tedmund Lardeux</v>
      </c>
    </row>
    <row r="593" spans="1:11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VLOOKUP(D593,'2018_commission_structure'!$A$2:$C$4,3,FALSE)</f>
        <v>125000</v>
      </c>
      <c r="G593">
        <f>VLOOKUP(D593,'2018_commission_structure'!$A$2:$C$4,2,FALSE)</f>
        <v>75000</v>
      </c>
      <c r="H593">
        <f t="shared" si="9"/>
        <v>0</v>
      </c>
      <c r="I593">
        <f>COUNTIF(deals_closed!D:D, A593)</f>
        <v>22</v>
      </c>
      <c r="K593" t="str">
        <f>_xlfn.CONCAT(B593, " ",C593)</f>
        <v>Jamil Regnard</v>
      </c>
    </row>
    <row r="594" spans="1:11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VLOOKUP(D594,'2018_commission_structure'!$A$2:$C$4,3,FALSE)</f>
        <v>125000</v>
      </c>
      <c r="G594">
        <f>VLOOKUP(D594,'2018_commission_structure'!$A$2:$C$4,2,FALSE)</f>
        <v>75000</v>
      </c>
      <c r="H594">
        <f t="shared" si="9"/>
        <v>0</v>
      </c>
      <c r="I594">
        <f>COUNTIF(deals_closed!D:D, A594)</f>
        <v>21</v>
      </c>
      <c r="K594" t="str">
        <f>_xlfn.CONCAT(B594, " ",C594)</f>
        <v>Merrile Urrey</v>
      </c>
    </row>
    <row r="595" spans="1:11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VLOOKUP(D595,'2018_commission_structure'!$A$2:$C$4,3,FALSE)</f>
        <v>80000</v>
      </c>
      <c r="G595">
        <f>VLOOKUP(D595,'2018_commission_structure'!$A$2:$C$4,2,FALSE)</f>
        <v>50000</v>
      </c>
      <c r="H595">
        <f t="shared" si="9"/>
        <v>0</v>
      </c>
      <c r="I595">
        <f>COUNTIF(deals_closed!D:D, A595)</f>
        <v>19</v>
      </c>
      <c r="K595" t="str">
        <f>_xlfn.CONCAT(B595, " ",C595)</f>
        <v>Jess Martini</v>
      </c>
    </row>
    <row r="596" spans="1:11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VLOOKUP(D596,'2018_commission_structure'!$A$2:$C$4,3,FALSE)</f>
        <v>80000</v>
      </c>
      <c r="G596">
        <f>VLOOKUP(D596,'2018_commission_structure'!$A$2:$C$4,2,FALSE)</f>
        <v>50000</v>
      </c>
      <c r="H596">
        <f t="shared" si="9"/>
        <v>0</v>
      </c>
      <c r="I596">
        <f>COUNTIF(deals_closed!D:D, A596)</f>
        <v>21</v>
      </c>
      <c r="K596" t="str">
        <f>_xlfn.CONCAT(B596, " ",C596)</f>
        <v>Sherwynd Southerell</v>
      </c>
    </row>
    <row r="597" spans="1:11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VLOOKUP(D597,'2018_commission_structure'!$A$2:$C$4,3,FALSE)</f>
        <v>65000</v>
      </c>
      <c r="G597">
        <f>VLOOKUP(D597,'2018_commission_structure'!$A$2:$C$4,2,FALSE)</f>
        <v>30000</v>
      </c>
      <c r="H597">
        <f t="shared" si="9"/>
        <v>0</v>
      </c>
      <c r="I597">
        <f>COUNTIF(deals_closed!D:D, A597)</f>
        <v>16</v>
      </c>
      <c r="K597" t="str">
        <f>_xlfn.CONCAT(B597, " ",C597)</f>
        <v>Lucky Whittlesey</v>
      </c>
    </row>
    <row r="598" spans="1:11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VLOOKUP(D598,'2018_commission_structure'!$A$2:$C$4,3,FALSE)</f>
        <v>125000</v>
      </c>
      <c r="G598">
        <f>VLOOKUP(D598,'2018_commission_structure'!$A$2:$C$4,2,FALSE)</f>
        <v>75000</v>
      </c>
      <c r="H598">
        <f t="shared" si="9"/>
        <v>0</v>
      </c>
      <c r="I598">
        <f>COUNTIF(deals_closed!D:D, A598)</f>
        <v>26</v>
      </c>
      <c r="K598" t="str">
        <f>_xlfn.CONCAT(B598, " ",C598)</f>
        <v>Christan Dukesbury</v>
      </c>
    </row>
    <row r="599" spans="1:11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VLOOKUP(D599,'2018_commission_structure'!$A$2:$C$4,3,FALSE)</f>
        <v>125000</v>
      </c>
      <c r="G599">
        <f>VLOOKUP(D599,'2018_commission_structure'!$A$2:$C$4,2,FALSE)</f>
        <v>75000</v>
      </c>
      <c r="H599">
        <f t="shared" si="9"/>
        <v>0</v>
      </c>
      <c r="I599">
        <f>COUNTIF(deals_closed!D:D, A599)</f>
        <v>24</v>
      </c>
      <c r="K599" t="str">
        <f>_xlfn.CONCAT(B599, " ",C599)</f>
        <v>Melloney Brown</v>
      </c>
    </row>
    <row r="600" spans="1:11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VLOOKUP(D600,'2018_commission_structure'!$A$2:$C$4,3,FALSE)</f>
        <v>65000</v>
      </c>
      <c r="G600">
        <f>VLOOKUP(D600,'2018_commission_structure'!$A$2:$C$4,2,FALSE)</f>
        <v>30000</v>
      </c>
      <c r="H600">
        <f t="shared" si="9"/>
        <v>0</v>
      </c>
      <c r="I600">
        <f>COUNTIF(deals_closed!D:D, A600)</f>
        <v>18</v>
      </c>
      <c r="K600" t="str">
        <f>_xlfn.CONCAT(B600, " ",C600)</f>
        <v>Emanuele Blackden</v>
      </c>
    </row>
    <row r="601" spans="1:11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VLOOKUP(D601,'2018_commission_structure'!$A$2:$C$4,3,FALSE)</f>
        <v>125000</v>
      </c>
      <c r="G601">
        <f>VLOOKUP(D601,'2018_commission_structure'!$A$2:$C$4,2,FALSE)</f>
        <v>75000</v>
      </c>
      <c r="H601">
        <f t="shared" si="9"/>
        <v>0</v>
      </c>
      <c r="I601">
        <f>COUNTIF(deals_closed!D:D, A601)</f>
        <v>25</v>
      </c>
      <c r="K601" t="str">
        <f>_xlfn.CONCAT(B601, " ",C601)</f>
        <v>Florri Coldbath</v>
      </c>
    </row>
    <row r="602" spans="1:11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VLOOKUP(D602,'2018_commission_structure'!$A$2:$C$4,3,FALSE)</f>
        <v>80000</v>
      </c>
      <c r="G602">
        <f>VLOOKUP(D602,'2018_commission_structure'!$A$2:$C$4,2,FALSE)</f>
        <v>50000</v>
      </c>
      <c r="H602">
        <f t="shared" si="9"/>
        <v>0</v>
      </c>
      <c r="I602">
        <f>COUNTIF(deals_closed!D:D, A602)</f>
        <v>31</v>
      </c>
      <c r="K602" t="str">
        <f>_xlfn.CONCAT(B602, " ",C602)</f>
        <v>Marvin Pochin</v>
      </c>
    </row>
    <row r="603" spans="1:11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VLOOKUP(D603,'2018_commission_structure'!$A$2:$C$4,3,FALSE)</f>
        <v>125000</v>
      </c>
      <c r="G603">
        <f>VLOOKUP(D603,'2018_commission_structure'!$A$2:$C$4,2,FALSE)</f>
        <v>75000</v>
      </c>
      <c r="H603">
        <f t="shared" si="9"/>
        <v>0</v>
      </c>
      <c r="I603">
        <f>COUNTIF(deals_closed!D:D, A603)</f>
        <v>19</v>
      </c>
      <c r="K603" t="str">
        <f>_xlfn.CONCAT(B603, " ",C603)</f>
        <v>Kalindi Hedin</v>
      </c>
    </row>
    <row r="604" spans="1:11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VLOOKUP(D604,'2018_commission_structure'!$A$2:$C$4,3,FALSE)</f>
        <v>125000</v>
      </c>
      <c r="G604">
        <f>VLOOKUP(D604,'2018_commission_structure'!$A$2:$C$4,2,FALSE)</f>
        <v>75000</v>
      </c>
      <c r="H604">
        <f t="shared" si="9"/>
        <v>0</v>
      </c>
      <c r="I604">
        <f>COUNTIF(deals_closed!D:D, A604)</f>
        <v>15</v>
      </c>
      <c r="K604" t="str">
        <f>_xlfn.CONCAT(B604, " ",C604)</f>
        <v>Sena Bartholomieu</v>
      </c>
    </row>
    <row r="605" spans="1:11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VLOOKUP(D605,'2018_commission_structure'!$A$2:$C$4,3,FALSE)</f>
        <v>65000</v>
      </c>
      <c r="G605">
        <f>VLOOKUP(D605,'2018_commission_structure'!$A$2:$C$4,2,FALSE)</f>
        <v>30000</v>
      </c>
      <c r="H605">
        <f t="shared" si="9"/>
        <v>0</v>
      </c>
      <c r="I605">
        <f>COUNTIF(deals_closed!D:D, A605)</f>
        <v>13</v>
      </c>
      <c r="K605" t="str">
        <f>_xlfn.CONCAT(B605, " ",C605)</f>
        <v>Claudie Armin</v>
      </c>
    </row>
    <row r="606" spans="1:11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VLOOKUP(D606,'2018_commission_structure'!$A$2:$C$4,3,FALSE)</f>
        <v>80000</v>
      </c>
      <c r="G606">
        <f>VLOOKUP(D606,'2018_commission_structure'!$A$2:$C$4,2,FALSE)</f>
        <v>50000</v>
      </c>
      <c r="H606">
        <f t="shared" si="9"/>
        <v>0</v>
      </c>
      <c r="I606">
        <f>COUNTIF(deals_closed!D:D, A606)</f>
        <v>20</v>
      </c>
      <c r="K606" t="str">
        <f>_xlfn.CONCAT(B606, " ",C606)</f>
        <v>Cami Wagstaffe</v>
      </c>
    </row>
    <row r="607" spans="1:11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VLOOKUP(D607,'2018_commission_structure'!$A$2:$C$4,3,FALSE)</f>
        <v>125000</v>
      </c>
      <c r="G607">
        <f>VLOOKUP(D607,'2018_commission_structure'!$A$2:$C$4,2,FALSE)</f>
        <v>75000</v>
      </c>
      <c r="H607">
        <f t="shared" si="9"/>
        <v>0</v>
      </c>
      <c r="I607">
        <f>COUNTIF(deals_closed!D:D, A607)</f>
        <v>21</v>
      </c>
      <c r="K607" t="str">
        <f>_xlfn.CONCAT(B607, " ",C607)</f>
        <v>Monty Spellward</v>
      </c>
    </row>
    <row r="608" spans="1:11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VLOOKUP(D608,'2018_commission_structure'!$A$2:$C$4,3,FALSE)</f>
        <v>125000</v>
      </c>
      <c r="G608">
        <f>VLOOKUP(D608,'2018_commission_structure'!$A$2:$C$4,2,FALSE)</f>
        <v>75000</v>
      </c>
      <c r="H608">
        <f t="shared" si="9"/>
        <v>0</v>
      </c>
      <c r="I608">
        <f>COUNTIF(deals_closed!D:D, A608)</f>
        <v>15</v>
      </c>
      <c r="K608" t="str">
        <f>_xlfn.CONCAT(B608, " ",C608)</f>
        <v>Vickie Jocic</v>
      </c>
    </row>
    <row r="609" spans="1:11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VLOOKUP(D609,'2018_commission_structure'!$A$2:$C$4,3,FALSE)</f>
        <v>125000</v>
      </c>
      <c r="G609">
        <f>VLOOKUP(D609,'2018_commission_structure'!$A$2:$C$4,2,FALSE)</f>
        <v>75000</v>
      </c>
      <c r="H609">
        <f t="shared" si="9"/>
        <v>0</v>
      </c>
      <c r="I609">
        <f>COUNTIF(deals_closed!D:D, A609)</f>
        <v>19</v>
      </c>
      <c r="K609" t="str">
        <f>_xlfn.CONCAT(B609, " ",C609)</f>
        <v>Gayelord Coffin</v>
      </c>
    </row>
    <row r="610" spans="1:11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VLOOKUP(D610,'2018_commission_structure'!$A$2:$C$4,3,FALSE)</f>
        <v>125000</v>
      </c>
      <c r="G610">
        <f>VLOOKUP(D610,'2018_commission_structure'!$A$2:$C$4,2,FALSE)</f>
        <v>75000</v>
      </c>
      <c r="H610">
        <f t="shared" si="9"/>
        <v>0</v>
      </c>
      <c r="I610">
        <f>COUNTIF(deals_closed!D:D, A610)</f>
        <v>18</v>
      </c>
      <c r="K610" t="str">
        <f>_xlfn.CONCAT(B610, " ",C610)</f>
        <v>Waldemar Vaggers</v>
      </c>
    </row>
    <row r="611" spans="1:11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VLOOKUP(D611,'2018_commission_structure'!$A$2:$C$4,3,FALSE)</f>
        <v>65000</v>
      </c>
      <c r="G611">
        <f>VLOOKUP(D611,'2018_commission_structure'!$A$2:$C$4,2,FALSE)</f>
        <v>30000</v>
      </c>
      <c r="H611">
        <f t="shared" si="9"/>
        <v>0</v>
      </c>
      <c r="I611">
        <f>COUNTIF(deals_closed!D:D, A611)</f>
        <v>17</v>
      </c>
      <c r="K611" t="str">
        <f>_xlfn.CONCAT(B611, " ",C611)</f>
        <v>Hanson Hadigate</v>
      </c>
    </row>
    <row r="612" spans="1:11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VLOOKUP(D612,'2018_commission_structure'!$A$2:$C$4,3,FALSE)</f>
        <v>65000</v>
      </c>
      <c r="G612">
        <f>VLOOKUP(D612,'2018_commission_structure'!$A$2:$C$4,2,FALSE)</f>
        <v>30000</v>
      </c>
      <c r="H612">
        <f t="shared" si="9"/>
        <v>0</v>
      </c>
      <c r="I612">
        <f>COUNTIF(deals_closed!D:D, A612)</f>
        <v>16</v>
      </c>
      <c r="K612" t="str">
        <f>_xlfn.CONCAT(B612, " ",C612)</f>
        <v>Marie-jeanne Marrow</v>
      </c>
    </row>
    <row r="613" spans="1:11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VLOOKUP(D613,'2018_commission_structure'!$A$2:$C$4,3,FALSE)</f>
        <v>125000</v>
      </c>
      <c r="G613">
        <f>VLOOKUP(D613,'2018_commission_structure'!$A$2:$C$4,2,FALSE)</f>
        <v>75000</v>
      </c>
      <c r="H613">
        <f t="shared" si="9"/>
        <v>0</v>
      </c>
      <c r="I613">
        <f>COUNTIF(deals_closed!D:D, A613)</f>
        <v>19</v>
      </c>
      <c r="K613" t="str">
        <f>_xlfn.CONCAT(B613, " ",C613)</f>
        <v>Raff Menichini</v>
      </c>
    </row>
    <row r="614" spans="1:11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VLOOKUP(D614,'2018_commission_structure'!$A$2:$C$4,3,FALSE)</f>
        <v>80000</v>
      </c>
      <c r="G614">
        <f>VLOOKUP(D614,'2018_commission_structure'!$A$2:$C$4,2,FALSE)</f>
        <v>50000</v>
      </c>
      <c r="H614">
        <f t="shared" si="9"/>
        <v>0</v>
      </c>
      <c r="I614">
        <f>COUNTIF(deals_closed!D:D, A614)</f>
        <v>16</v>
      </c>
      <c r="K614" t="str">
        <f>_xlfn.CONCAT(B614, " ",C614)</f>
        <v>Barbra Pistol</v>
      </c>
    </row>
    <row r="615" spans="1:11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VLOOKUP(D615,'2018_commission_structure'!$A$2:$C$4,3,FALSE)</f>
        <v>125000</v>
      </c>
      <c r="G615">
        <f>VLOOKUP(D615,'2018_commission_structure'!$A$2:$C$4,2,FALSE)</f>
        <v>75000</v>
      </c>
      <c r="H615">
        <f t="shared" si="9"/>
        <v>0</v>
      </c>
      <c r="I615">
        <f>COUNTIF(deals_closed!D:D, A615)</f>
        <v>21</v>
      </c>
      <c r="K615" t="str">
        <f>_xlfn.CONCAT(B615, " ",C615)</f>
        <v>Patin Scardifield</v>
      </c>
    </row>
    <row r="616" spans="1:11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VLOOKUP(D616,'2018_commission_structure'!$A$2:$C$4,3,FALSE)</f>
        <v>80000</v>
      </c>
      <c r="G616">
        <f>VLOOKUP(D616,'2018_commission_structure'!$A$2:$C$4,2,FALSE)</f>
        <v>50000</v>
      </c>
      <c r="H616">
        <f t="shared" si="9"/>
        <v>0</v>
      </c>
      <c r="I616">
        <f>COUNTIF(deals_closed!D:D, A616)</f>
        <v>20</v>
      </c>
      <c r="K616" t="str">
        <f>_xlfn.CONCAT(B616, " ",C616)</f>
        <v>Webster Akerman</v>
      </c>
    </row>
    <row r="617" spans="1:11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VLOOKUP(D617,'2018_commission_structure'!$A$2:$C$4,3,FALSE)</f>
        <v>125000</v>
      </c>
      <c r="G617">
        <f>VLOOKUP(D617,'2018_commission_structure'!$A$2:$C$4,2,FALSE)</f>
        <v>75000</v>
      </c>
      <c r="H617">
        <f t="shared" si="9"/>
        <v>0</v>
      </c>
      <c r="I617">
        <f>COUNTIF(deals_closed!D:D, A617)</f>
        <v>28</v>
      </c>
      <c r="K617" t="str">
        <f>_xlfn.CONCAT(B617, " ",C617)</f>
        <v>Juliet Semered</v>
      </c>
    </row>
    <row r="618" spans="1:11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VLOOKUP(D618,'2018_commission_structure'!$A$2:$C$4,3,FALSE)</f>
        <v>65000</v>
      </c>
      <c r="G618">
        <f>VLOOKUP(D618,'2018_commission_structure'!$A$2:$C$4,2,FALSE)</f>
        <v>30000</v>
      </c>
      <c r="H618">
        <f t="shared" si="9"/>
        <v>0</v>
      </c>
      <c r="I618">
        <f>COUNTIF(deals_closed!D:D, A618)</f>
        <v>22</v>
      </c>
      <c r="K618" t="str">
        <f>_xlfn.CONCAT(B618, " ",C618)</f>
        <v>Andris Worboy</v>
      </c>
    </row>
    <row r="619" spans="1:11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VLOOKUP(D619,'2018_commission_structure'!$A$2:$C$4,3,FALSE)</f>
        <v>80000</v>
      </c>
      <c r="G619">
        <f>VLOOKUP(D619,'2018_commission_structure'!$A$2:$C$4,2,FALSE)</f>
        <v>50000</v>
      </c>
      <c r="H619">
        <f t="shared" si="9"/>
        <v>0</v>
      </c>
      <c r="I619">
        <f>COUNTIF(deals_closed!D:D, A619)</f>
        <v>21</v>
      </c>
      <c r="K619" t="str">
        <f>_xlfn.CONCAT(B619, " ",C619)</f>
        <v>Antonina Grammer</v>
      </c>
    </row>
    <row r="620" spans="1:11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VLOOKUP(D620,'2018_commission_structure'!$A$2:$C$4,3,FALSE)</f>
        <v>80000</v>
      </c>
      <c r="G620">
        <f>VLOOKUP(D620,'2018_commission_structure'!$A$2:$C$4,2,FALSE)</f>
        <v>50000</v>
      </c>
      <c r="H620">
        <f t="shared" si="9"/>
        <v>0</v>
      </c>
      <c r="I620">
        <f>COUNTIF(deals_closed!D:D, A620)</f>
        <v>17</v>
      </c>
      <c r="K620" t="str">
        <f>_xlfn.CONCAT(B620, " ",C620)</f>
        <v>Rance Medwell</v>
      </c>
    </row>
    <row r="621" spans="1:11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VLOOKUP(D621,'2018_commission_structure'!$A$2:$C$4,3,FALSE)</f>
        <v>80000</v>
      </c>
      <c r="G621">
        <f>VLOOKUP(D621,'2018_commission_structure'!$A$2:$C$4,2,FALSE)</f>
        <v>50000</v>
      </c>
      <c r="H621">
        <f t="shared" si="9"/>
        <v>0</v>
      </c>
      <c r="I621">
        <f>COUNTIF(deals_closed!D:D, A621)</f>
        <v>19</v>
      </c>
      <c r="K621" t="str">
        <f>_xlfn.CONCAT(B621, " ",C621)</f>
        <v>Derrik Bacchus</v>
      </c>
    </row>
    <row r="622" spans="1:11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VLOOKUP(D622,'2018_commission_structure'!$A$2:$C$4,3,FALSE)</f>
        <v>125000</v>
      </c>
      <c r="G622">
        <f>VLOOKUP(D622,'2018_commission_structure'!$A$2:$C$4,2,FALSE)</f>
        <v>75000</v>
      </c>
      <c r="H622">
        <f t="shared" si="9"/>
        <v>0</v>
      </c>
      <c r="I622">
        <f>COUNTIF(deals_closed!D:D, A622)</f>
        <v>24</v>
      </c>
      <c r="K622" t="str">
        <f>_xlfn.CONCAT(B622, " ",C622)</f>
        <v>Pietro Coenraets</v>
      </c>
    </row>
    <row r="623" spans="1:11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VLOOKUP(D623,'2018_commission_structure'!$A$2:$C$4,3,FALSE)</f>
        <v>125000</v>
      </c>
      <c r="G623">
        <f>VLOOKUP(D623,'2018_commission_structure'!$A$2:$C$4,2,FALSE)</f>
        <v>75000</v>
      </c>
      <c r="H623">
        <f t="shared" si="9"/>
        <v>0</v>
      </c>
      <c r="I623">
        <f>COUNTIF(deals_closed!D:D, A623)</f>
        <v>22</v>
      </c>
      <c r="K623" t="str">
        <f>_xlfn.CONCAT(B623, " ",C623)</f>
        <v>Daile Kettel</v>
      </c>
    </row>
    <row r="624" spans="1:11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VLOOKUP(D624,'2018_commission_structure'!$A$2:$C$4,3,FALSE)</f>
        <v>80000</v>
      </c>
      <c r="G624">
        <f>VLOOKUP(D624,'2018_commission_structure'!$A$2:$C$4,2,FALSE)</f>
        <v>50000</v>
      </c>
      <c r="H624">
        <f t="shared" si="9"/>
        <v>0</v>
      </c>
      <c r="I624">
        <f>COUNTIF(deals_closed!D:D, A624)</f>
        <v>25</v>
      </c>
      <c r="K624" t="str">
        <f>_xlfn.CONCAT(B624, " ",C624)</f>
        <v>Curry Coiley</v>
      </c>
    </row>
    <row r="625" spans="1:11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VLOOKUP(D625,'2018_commission_structure'!$A$2:$C$4,3,FALSE)</f>
        <v>65000</v>
      </c>
      <c r="G625">
        <f>VLOOKUP(D625,'2018_commission_structure'!$A$2:$C$4,2,FALSE)</f>
        <v>30000</v>
      </c>
      <c r="H625">
        <f t="shared" si="9"/>
        <v>0</v>
      </c>
      <c r="I625">
        <f>COUNTIF(deals_closed!D:D, A625)</f>
        <v>18</v>
      </c>
      <c r="K625" t="str">
        <f>_xlfn.CONCAT(B625, " ",C625)</f>
        <v>Antons Porkiss</v>
      </c>
    </row>
    <row r="626" spans="1:11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VLOOKUP(D626,'2018_commission_structure'!$A$2:$C$4,3,FALSE)</f>
        <v>80000</v>
      </c>
      <c r="G626">
        <f>VLOOKUP(D626,'2018_commission_structure'!$A$2:$C$4,2,FALSE)</f>
        <v>50000</v>
      </c>
      <c r="H626">
        <f t="shared" si="9"/>
        <v>0</v>
      </c>
      <c r="I626">
        <f>COUNTIF(deals_closed!D:D, A626)</f>
        <v>28</v>
      </c>
      <c r="K626" t="str">
        <f>_xlfn.CONCAT(B626, " ",C626)</f>
        <v>Millie Shayler</v>
      </c>
    </row>
    <row r="627" spans="1:11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VLOOKUP(D627,'2018_commission_structure'!$A$2:$C$4,3,FALSE)</f>
        <v>80000</v>
      </c>
      <c r="G627">
        <f>VLOOKUP(D627,'2018_commission_structure'!$A$2:$C$4,2,FALSE)</f>
        <v>50000</v>
      </c>
      <c r="H627">
        <f t="shared" si="9"/>
        <v>0</v>
      </c>
      <c r="I627">
        <f>COUNTIF(deals_closed!D:D, A627)</f>
        <v>23</v>
      </c>
      <c r="K627" t="str">
        <f>_xlfn.CONCAT(B627, " ",C627)</f>
        <v>Rossie Harget</v>
      </c>
    </row>
    <row r="628" spans="1:11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VLOOKUP(D628,'2018_commission_structure'!$A$2:$C$4,3,FALSE)</f>
        <v>65000</v>
      </c>
      <c r="G628">
        <f>VLOOKUP(D628,'2018_commission_structure'!$A$2:$C$4,2,FALSE)</f>
        <v>30000</v>
      </c>
      <c r="H628">
        <f t="shared" si="9"/>
        <v>0</v>
      </c>
      <c r="I628">
        <f>COUNTIF(deals_closed!D:D, A628)</f>
        <v>18</v>
      </c>
      <c r="K628" t="str">
        <f>_xlfn.CONCAT(B628, " ",C628)</f>
        <v>Abram Hopfer</v>
      </c>
    </row>
    <row r="629" spans="1:11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VLOOKUP(D629,'2018_commission_structure'!$A$2:$C$4,3,FALSE)</f>
        <v>80000</v>
      </c>
      <c r="G629">
        <f>VLOOKUP(D629,'2018_commission_structure'!$A$2:$C$4,2,FALSE)</f>
        <v>50000</v>
      </c>
      <c r="H629">
        <f t="shared" si="9"/>
        <v>0</v>
      </c>
      <c r="I629">
        <f>COUNTIF(deals_closed!D:D, A629)</f>
        <v>21</v>
      </c>
      <c r="K629" t="str">
        <f>_xlfn.CONCAT(B629, " ",C629)</f>
        <v>Carree Crayker</v>
      </c>
    </row>
    <row r="630" spans="1:11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VLOOKUP(D630,'2018_commission_structure'!$A$2:$C$4,3,FALSE)</f>
        <v>65000</v>
      </c>
      <c r="G630">
        <f>VLOOKUP(D630,'2018_commission_structure'!$A$2:$C$4,2,FALSE)</f>
        <v>30000</v>
      </c>
      <c r="H630">
        <f t="shared" si="9"/>
        <v>0</v>
      </c>
      <c r="I630">
        <f>COUNTIF(deals_closed!D:D, A630)</f>
        <v>13</v>
      </c>
      <c r="K630" t="str">
        <f>_xlfn.CONCAT(B630, " ",C630)</f>
        <v>Alyssa Forsyth</v>
      </c>
    </row>
    <row r="631" spans="1:11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VLOOKUP(D631,'2018_commission_structure'!$A$2:$C$4,3,FALSE)</f>
        <v>65000</v>
      </c>
      <c r="G631">
        <f>VLOOKUP(D631,'2018_commission_structure'!$A$2:$C$4,2,FALSE)</f>
        <v>30000</v>
      </c>
      <c r="H631">
        <f t="shared" si="9"/>
        <v>0</v>
      </c>
      <c r="I631">
        <f>COUNTIF(deals_closed!D:D, A631)</f>
        <v>23</v>
      </c>
      <c r="K631" t="str">
        <f>_xlfn.CONCAT(B631, " ",C631)</f>
        <v>Dyanne Simper</v>
      </c>
    </row>
    <row r="632" spans="1:11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VLOOKUP(D632,'2018_commission_structure'!$A$2:$C$4,3,FALSE)</f>
        <v>80000</v>
      </c>
      <c r="G632">
        <f>VLOOKUP(D632,'2018_commission_structure'!$A$2:$C$4,2,FALSE)</f>
        <v>50000</v>
      </c>
      <c r="H632">
        <f t="shared" si="9"/>
        <v>0</v>
      </c>
      <c r="I632">
        <f>COUNTIF(deals_closed!D:D, A632)</f>
        <v>19</v>
      </c>
      <c r="K632" t="str">
        <f>_xlfn.CONCAT(B632, " ",C632)</f>
        <v>Pren Shanahan</v>
      </c>
    </row>
    <row r="633" spans="1:11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VLOOKUP(D633,'2018_commission_structure'!$A$2:$C$4,3,FALSE)</f>
        <v>80000</v>
      </c>
      <c r="G633">
        <f>VLOOKUP(D633,'2018_commission_structure'!$A$2:$C$4,2,FALSE)</f>
        <v>50000</v>
      </c>
      <c r="H633">
        <f t="shared" si="9"/>
        <v>0</v>
      </c>
      <c r="I633">
        <f>COUNTIF(deals_closed!D:D, A633)</f>
        <v>22</v>
      </c>
      <c r="K633" t="str">
        <f>_xlfn.CONCAT(B633, " ",C633)</f>
        <v>Ollie Allsupp</v>
      </c>
    </row>
    <row r="634" spans="1:11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VLOOKUP(D634,'2018_commission_structure'!$A$2:$C$4,3,FALSE)</f>
        <v>65000</v>
      </c>
      <c r="G634">
        <f>VLOOKUP(D634,'2018_commission_structure'!$A$2:$C$4,2,FALSE)</f>
        <v>30000</v>
      </c>
      <c r="H634">
        <f t="shared" si="9"/>
        <v>0</v>
      </c>
      <c r="I634">
        <f>COUNTIF(deals_closed!D:D, A634)</f>
        <v>21</v>
      </c>
      <c r="K634" t="str">
        <f>_xlfn.CONCAT(B634, " ",C634)</f>
        <v>Zaneta Swaddle</v>
      </c>
    </row>
    <row r="635" spans="1:11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VLOOKUP(D635,'2018_commission_structure'!$A$2:$C$4,3,FALSE)</f>
        <v>65000</v>
      </c>
      <c r="G635">
        <f>VLOOKUP(D635,'2018_commission_structure'!$A$2:$C$4,2,FALSE)</f>
        <v>30000</v>
      </c>
      <c r="H635">
        <f t="shared" si="9"/>
        <v>0</v>
      </c>
      <c r="I635">
        <f>COUNTIF(deals_closed!D:D, A635)</f>
        <v>15</v>
      </c>
      <c r="K635" t="str">
        <f>_xlfn.CONCAT(B635, " ",C635)</f>
        <v>Hamlin Matchitt</v>
      </c>
    </row>
    <row r="636" spans="1:11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VLOOKUP(D636,'2018_commission_structure'!$A$2:$C$4,3,FALSE)</f>
        <v>65000</v>
      </c>
      <c r="G636">
        <f>VLOOKUP(D636,'2018_commission_structure'!$A$2:$C$4,2,FALSE)</f>
        <v>30000</v>
      </c>
      <c r="H636">
        <f t="shared" si="9"/>
        <v>0</v>
      </c>
      <c r="I636">
        <f>COUNTIF(deals_closed!D:D, A636)</f>
        <v>24</v>
      </c>
      <c r="K636" t="str">
        <f>_xlfn.CONCAT(B636, " ",C636)</f>
        <v>Lucila Fosh</v>
      </c>
    </row>
    <row r="637" spans="1:11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VLOOKUP(D637,'2018_commission_structure'!$A$2:$C$4,3,FALSE)</f>
        <v>65000</v>
      </c>
      <c r="G637">
        <f>VLOOKUP(D637,'2018_commission_structure'!$A$2:$C$4,2,FALSE)</f>
        <v>30000</v>
      </c>
      <c r="H637">
        <f t="shared" si="9"/>
        <v>0</v>
      </c>
      <c r="I637">
        <f>COUNTIF(deals_closed!D:D, A637)</f>
        <v>22</v>
      </c>
      <c r="K637" t="str">
        <f>_xlfn.CONCAT(B637, " ",C637)</f>
        <v>Chan Shillabeare</v>
      </c>
    </row>
    <row r="638" spans="1:11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VLOOKUP(D638,'2018_commission_structure'!$A$2:$C$4,3,FALSE)</f>
        <v>125000</v>
      </c>
      <c r="G638">
        <f>VLOOKUP(D638,'2018_commission_structure'!$A$2:$C$4,2,FALSE)</f>
        <v>75000</v>
      </c>
      <c r="H638">
        <f t="shared" si="9"/>
        <v>0</v>
      </c>
      <c r="I638">
        <f>COUNTIF(deals_closed!D:D, A638)</f>
        <v>16</v>
      </c>
      <c r="K638" t="str">
        <f>_xlfn.CONCAT(B638, " ",C638)</f>
        <v>Nathaniel Evered</v>
      </c>
    </row>
    <row r="639" spans="1:11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VLOOKUP(D639,'2018_commission_structure'!$A$2:$C$4,3,FALSE)</f>
        <v>65000</v>
      </c>
      <c r="G639">
        <f>VLOOKUP(D639,'2018_commission_structure'!$A$2:$C$4,2,FALSE)</f>
        <v>30000</v>
      </c>
      <c r="H639">
        <f t="shared" si="9"/>
        <v>0</v>
      </c>
      <c r="I639">
        <f>COUNTIF(deals_closed!D:D, A639)</f>
        <v>15</v>
      </c>
      <c r="K639" t="str">
        <f>_xlfn.CONCAT(B639, " ",C639)</f>
        <v>Ddene Iddiens</v>
      </c>
    </row>
    <row r="640" spans="1:11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VLOOKUP(D640,'2018_commission_structure'!$A$2:$C$4,3,FALSE)</f>
        <v>125000</v>
      </c>
      <c r="G640">
        <f>VLOOKUP(D640,'2018_commission_structure'!$A$2:$C$4,2,FALSE)</f>
        <v>75000</v>
      </c>
      <c r="H640">
        <f t="shared" si="9"/>
        <v>0</v>
      </c>
      <c r="I640">
        <f>COUNTIF(deals_closed!D:D, A640)</f>
        <v>27</v>
      </c>
      <c r="K640" t="str">
        <f>_xlfn.CONCAT(B640, " ",C640)</f>
        <v>Nikolos Santino</v>
      </c>
    </row>
    <row r="641" spans="1:11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VLOOKUP(D641,'2018_commission_structure'!$A$2:$C$4,3,FALSE)</f>
        <v>125000</v>
      </c>
      <c r="G641">
        <f>VLOOKUP(D641,'2018_commission_structure'!$A$2:$C$4,2,FALSE)</f>
        <v>75000</v>
      </c>
      <c r="H641">
        <f t="shared" si="9"/>
        <v>0</v>
      </c>
      <c r="I641">
        <f>COUNTIF(deals_closed!D:D, A641)</f>
        <v>28</v>
      </c>
      <c r="K641" t="str">
        <f>_xlfn.CONCAT(B641, " ",C641)</f>
        <v>Barbi Ayshford</v>
      </c>
    </row>
    <row r="642" spans="1:11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VLOOKUP(D642,'2018_commission_structure'!$A$2:$C$4,3,FALSE)</f>
        <v>125000</v>
      </c>
      <c r="G642">
        <f>VLOOKUP(D642,'2018_commission_structure'!$A$2:$C$4,2,FALSE)</f>
        <v>75000</v>
      </c>
      <c r="H642">
        <f t="shared" si="9"/>
        <v>0</v>
      </c>
      <c r="I642">
        <f>COUNTIF(deals_closed!D:D, A642)</f>
        <v>18</v>
      </c>
      <c r="K642" t="str">
        <f>_xlfn.CONCAT(B642, " ",C642)</f>
        <v>Pamela Banke</v>
      </c>
    </row>
    <row r="643" spans="1:11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VLOOKUP(D643,'2018_commission_structure'!$A$2:$C$4,3,FALSE)</f>
        <v>80000</v>
      </c>
      <c r="G643">
        <f>VLOOKUP(D643,'2018_commission_structure'!$A$2:$C$4,2,FALSE)</f>
        <v>50000</v>
      </c>
      <c r="H643">
        <f t="shared" ref="H643:H706" si="10">IF(AND(E643&gt;=G643,E643&lt;=F643),0,1)</f>
        <v>0</v>
      </c>
      <c r="I643">
        <f>COUNTIF(deals_closed!D:D, A643)</f>
        <v>21</v>
      </c>
      <c r="K643" t="str">
        <f>_xlfn.CONCAT(B643, " ",C643)</f>
        <v>Anthe McNish</v>
      </c>
    </row>
    <row r="644" spans="1:11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VLOOKUP(D644,'2018_commission_structure'!$A$2:$C$4,3,FALSE)</f>
        <v>80000</v>
      </c>
      <c r="G644">
        <f>VLOOKUP(D644,'2018_commission_structure'!$A$2:$C$4,2,FALSE)</f>
        <v>50000</v>
      </c>
      <c r="H644">
        <f t="shared" si="10"/>
        <v>0</v>
      </c>
      <c r="I644">
        <f>COUNTIF(deals_closed!D:D, A644)</f>
        <v>18</v>
      </c>
      <c r="K644" t="str">
        <f>_xlfn.CONCAT(B644, " ",C644)</f>
        <v>Emilio Schimke</v>
      </c>
    </row>
    <row r="645" spans="1:11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VLOOKUP(D645,'2018_commission_structure'!$A$2:$C$4,3,FALSE)</f>
        <v>80000</v>
      </c>
      <c r="G645">
        <f>VLOOKUP(D645,'2018_commission_structure'!$A$2:$C$4,2,FALSE)</f>
        <v>50000</v>
      </c>
      <c r="H645">
        <f t="shared" si="10"/>
        <v>0</v>
      </c>
      <c r="I645">
        <f>COUNTIF(deals_closed!D:D, A645)</f>
        <v>26</v>
      </c>
      <c r="K645" t="str">
        <f>_xlfn.CONCAT(B645, " ",C645)</f>
        <v>Van Vedmore</v>
      </c>
    </row>
    <row r="646" spans="1:11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VLOOKUP(D646,'2018_commission_structure'!$A$2:$C$4,3,FALSE)</f>
        <v>80000</v>
      </c>
      <c r="G646">
        <f>VLOOKUP(D646,'2018_commission_structure'!$A$2:$C$4,2,FALSE)</f>
        <v>50000</v>
      </c>
      <c r="H646">
        <f t="shared" si="10"/>
        <v>0</v>
      </c>
      <c r="I646">
        <f>COUNTIF(deals_closed!D:D, A646)</f>
        <v>22</v>
      </c>
      <c r="K646" t="str">
        <f>_xlfn.CONCAT(B646, " ",C646)</f>
        <v>Nicki Minnock</v>
      </c>
    </row>
    <row r="647" spans="1:11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VLOOKUP(D647,'2018_commission_structure'!$A$2:$C$4,3,FALSE)</f>
        <v>65000</v>
      </c>
      <c r="G647">
        <f>VLOOKUP(D647,'2018_commission_structure'!$A$2:$C$4,2,FALSE)</f>
        <v>30000</v>
      </c>
      <c r="H647">
        <f t="shared" si="10"/>
        <v>0</v>
      </c>
      <c r="I647">
        <f>COUNTIF(deals_closed!D:D, A647)</f>
        <v>18</v>
      </c>
      <c r="K647" t="str">
        <f>_xlfn.CONCAT(B647, " ",C647)</f>
        <v>Mildred Antonio</v>
      </c>
    </row>
    <row r="648" spans="1:11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VLOOKUP(D648,'2018_commission_structure'!$A$2:$C$4,3,FALSE)</f>
        <v>80000</v>
      </c>
      <c r="G648">
        <f>VLOOKUP(D648,'2018_commission_structure'!$A$2:$C$4,2,FALSE)</f>
        <v>50000</v>
      </c>
      <c r="H648">
        <f t="shared" si="10"/>
        <v>0</v>
      </c>
      <c r="I648">
        <f>COUNTIF(deals_closed!D:D, A648)</f>
        <v>17</v>
      </c>
      <c r="K648" t="str">
        <f>_xlfn.CONCAT(B648, " ",C648)</f>
        <v>Rosalie Brankley</v>
      </c>
    </row>
    <row r="649" spans="1:11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VLOOKUP(D649,'2018_commission_structure'!$A$2:$C$4,3,FALSE)</f>
        <v>125000</v>
      </c>
      <c r="G649">
        <f>VLOOKUP(D649,'2018_commission_structure'!$A$2:$C$4,2,FALSE)</f>
        <v>75000</v>
      </c>
      <c r="H649">
        <f t="shared" si="10"/>
        <v>0</v>
      </c>
      <c r="I649">
        <f>COUNTIF(deals_closed!D:D, A649)</f>
        <v>14</v>
      </c>
      <c r="K649" t="str">
        <f>_xlfn.CONCAT(B649, " ",C649)</f>
        <v>Josiah Pepi</v>
      </c>
    </row>
    <row r="650" spans="1:11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VLOOKUP(D650,'2018_commission_structure'!$A$2:$C$4,3,FALSE)</f>
        <v>80000</v>
      </c>
      <c r="G650">
        <f>VLOOKUP(D650,'2018_commission_structure'!$A$2:$C$4,2,FALSE)</f>
        <v>50000</v>
      </c>
      <c r="H650">
        <f t="shared" si="10"/>
        <v>0</v>
      </c>
      <c r="I650">
        <f>COUNTIF(deals_closed!D:D, A650)</f>
        <v>21</v>
      </c>
      <c r="K650" t="str">
        <f>_xlfn.CONCAT(B650, " ",C650)</f>
        <v>Amandie McDyer</v>
      </c>
    </row>
    <row r="651" spans="1:11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VLOOKUP(D651,'2018_commission_structure'!$A$2:$C$4,3,FALSE)</f>
        <v>125000</v>
      </c>
      <c r="G651">
        <f>VLOOKUP(D651,'2018_commission_structure'!$A$2:$C$4,2,FALSE)</f>
        <v>75000</v>
      </c>
      <c r="H651">
        <f t="shared" si="10"/>
        <v>0</v>
      </c>
      <c r="I651">
        <f>COUNTIF(deals_closed!D:D, A651)</f>
        <v>26</v>
      </c>
      <c r="K651" t="str">
        <f>_xlfn.CONCAT(B651, " ",C651)</f>
        <v>Kaitlin Greeveson</v>
      </c>
    </row>
    <row r="652" spans="1:11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VLOOKUP(D652,'2018_commission_structure'!$A$2:$C$4,3,FALSE)</f>
        <v>80000</v>
      </c>
      <c r="G652">
        <f>VLOOKUP(D652,'2018_commission_structure'!$A$2:$C$4,2,FALSE)</f>
        <v>50000</v>
      </c>
      <c r="H652">
        <f t="shared" si="10"/>
        <v>0</v>
      </c>
      <c r="I652">
        <f>COUNTIF(deals_closed!D:D, A652)</f>
        <v>18</v>
      </c>
      <c r="K652" t="str">
        <f>_xlfn.CONCAT(B652, " ",C652)</f>
        <v>Phillipe Shildrake</v>
      </c>
    </row>
    <row r="653" spans="1:11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VLOOKUP(D653,'2018_commission_structure'!$A$2:$C$4,3,FALSE)</f>
        <v>125000</v>
      </c>
      <c r="G653">
        <f>VLOOKUP(D653,'2018_commission_structure'!$A$2:$C$4,2,FALSE)</f>
        <v>75000</v>
      </c>
      <c r="H653">
        <f t="shared" si="10"/>
        <v>0</v>
      </c>
      <c r="I653">
        <f>COUNTIF(deals_closed!D:D, A653)</f>
        <v>22</v>
      </c>
      <c r="K653" t="str">
        <f>_xlfn.CONCAT(B653, " ",C653)</f>
        <v>Carleen Mingus</v>
      </c>
    </row>
    <row r="654" spans="1:11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VLOOKUP(D654,'2018_commission_structure'!$A$2:$C$4,3,FALSE)</f>
        <v>65000</v>
      </c>
      <c r="G654">
        <f>VLOOKUP(D654,'2018_commission_structure'!$A$2:$C$4,2,FALSE)</f>
        <v>30000</v>
      </c>
      <c r="H654">
        <f t="shared" si="10"/>
        <v>0</v>
      </c>
      <c r="I654">
        <f>COUNTIF(deals_closed!D:D, A654)</f>
        <v>15</v>
      </c>
      <c r="K654" t="str">
        <f>_xlfn.CONCAT(B654, " ",C654)</f>
        <v>Darin Landal</v>
      </c>
    </row>
    <row r="655" spans="1:11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VLOOKUP(D655,'2018_commission_structure'!$A$2:$C$4,3,FALSE)</f>
        <v>80000</v>
      </c>
      <c r="G655">
        <f>VLOOKUP(D655,'2018_commission_structure'!$A$2:$C$4,2,FALSE)</f>
        <v>50000</v>
      </c>
      <c r="H655">
        <f t="shared" si="10"/>
        <v>0</v>
      </c>
      <c r="I655">
        <f>COUNTIF(deals_closed!D:D, A655)</f>
        <v>27</v>
      </c>
      <c r="K655" t="str">
        <f>_xlfn.CONCAT(B655, " ",C655)</f>
        <v>Marjory Lindman</v>
      </c>
    </row>
    <row r="656" spans="1:11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VLOOKUP(D656,'2018_commission_structure'!$A$2:$C$4,3,FALSE)</f>
        <v>65000</v>
      </c>
      <c r="G656">
        <f>VLOOKUP(D656,'2018_commission_structure'!$A$2:$C$4,2,FALSE)</f>
        <v>30000</v>
      </c>
      <c r="H656">
        <f t="shared" si="10"/>
        <v>0</v>
      </c>
      <c r="I656">
        <f>COUNTIF(deals_closed!D:D, A656)</f>
        <v>23</v>
      </c>
      <c r="K656" t="str">
        <f>_xlfn.CONCAT(B656, " ",C656)</f>
        <v>Luisa Parradice</v>
      </c>
    </row>
    <row r="657" spans="1:11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VLOOKUP(D657,'2018_commission_structure'!$A$2:$C$4,3,FALSE)</f>
        <v>65000</v>
      </c>
      <c r="G657">
        <f>VLOOKUP(D657,'2018_commission_structure'!$A$2:$C$4,2,FALSE)</f>
        <v>30000</v>
      </c>
      <c r="H657">
        <f t="shared" si="10"/>
        <v>0</v>
      </c>
      <c r="I657">
        <f>COUNTIF(deals_closed!D:D, A657)</f>
        <v>19</v>
      </c>
      <c r="K657" t="str">
        <f>_xlfn.CONCAT(B657, " ",C657)</f>
        <v>Phillipe Greenroyd</v>
      </c>
    </row>
    <row r="658" spans="1:11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VLOOKUP(D658,'2018_commission_structure'!$A$2:$C$4,3,FALSE)</f>
        <v>80000</v>
      </c>
      <c r="G658">
        <f>VLOOKUP(D658,'2018_commission_structure'!$A$2:$C$4,2,FALSE)</f>
        <v>50000</v>
      </c>
      <c r="H658">
        <f t="shared" si="10"/>
        <v>0</v>
      </c>
      <c r="I658">
        <f>COUNTIF(deals_closed!D:D, A658)</f>
        <v>19</v>
      </c>
      <c r="K658" t="str">
        <f>_xlfn.CONCAT(B658, " ",C658)</f>
        <v>Norbert Segges</v>
      </c>
    </row>
    <row r="659" spans="1:11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VLOOKUP(D659,'2018_commission_structure'!$A$2:$C$4,3,FALSE)</f>
        <v>65000</v>
      </c>
      <c r="G659">
        <f>VLOOKUP(D659,'2018_commission_structure'!$A$2:$C$4,2,FALSE)</f>
        <v>30000</v>
      </c>
      <c r="H659">
        <f t="shared" si="10"/>
        <v>0</v>
      </c>
      <c r="I659">
        <f>COUNTIF(deals_closed!D:D, A659)</f>
        <v>20</v>
      </c>
      <c r="K659" t="str">
        <f>_xlfn.CONCAT(B659, " ",C659)</f>
        <v>Bianka Sertin</v>
      </c>
    </row>
    <row r="660" spans="1:11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VLOOKUP(D660,'2018_commission_structure'!$A$2:$C$4,3,FALSE)</f>
        <v>80000</v>
      </c>
      <c r="G660">
        <f>VLOOKUP(D660,'2018_commission_structure'!$A$2:$C$4,2,FALSE)</f>
        <v>50000</v>
      </c>
      <c r="H660">
        <f t="shared" si="10"/>
        <v>0</v>
      </c>
      <c r="I660">
        <f>COUNTIF(deals_closed!D:D, A660)</f>
        <v>16</v>
      </c>
      <c r="K660" t="str">
        <f>_xlfn.CONCAT(B660, " ",C660)</f>
        <v>Miguel Chasemore</v>
      </c>
    </row>
    <row r="661" spans="1:11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VLOOKUP(D661,'2018_commission_structure'!$A$2:$C$4,3,FALSE)</f>
        <v>125000</v>
      </c>
      <c r="G661">
        <f>VLOOKUP(D661,'2018_commission_structure'!$A$2:$C$4,2,FALSE)</f>
        <v>75000</v>
      </c>
      <c r="H661">
        <f t="shared" si="10"/>
        <v>0</v>
      </c>
      <c r="I661">
        <f>COUNTIF(deals_closed!D:D, A661)</f>
        <v>13</v>
      </c>
      <c r="K661" t="str">
        <f>_xlfn.CONCAT(B661, " ",C661)</f>
        <v>Weylin Daouze</v>
      </c>
    </row>
    <row r="662" spans="1:11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VLOOKUP(D662,'2018_commission_structure'!$A$2:$C$4,3,FALSE)</f>
        <v>80000</v>
      </c>
      <c r="G662">
        <f>VLOOKUP(D662,'2018_commission_structure'!$A$2:$C$4,2,FALSE)</f>
        <v>50000</v>
      </c>
      <c r="H662">
        <f t="shared" si="10"/>
        <v>0</v>
      </c>
      <c r="I662">
        <f>COUNTIF(deals_closed!D:D, A662)</f>
        <v>18</v>
      </c>
      <c r="K662" t="str">
        <f>_xlfn.CONCAT(B662, " ",C662)</f>
        <v>Winfred Siggee</v>
      </c>
    </row>
    <row r="663" spans="1:11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VLOOKUP(D663,'2018_commission_structure'!$A$2:$C$4,3,FALSE)</f>
        <v>65000</v>
      </c>
      <c r="G663">
        <f>VLOOKUP(D663,'2018_commission_structure'!$A$2:$C$4,2,FALSE)</f>
        <v>30000</v>
      </c>
      <c r="H663">
        <f t="shared" si="10"/>
        <v>0</v>
      </c>
      <c r="I663">
        <f>COUNTIF(deals_closed!D:D, A663)</f>
        <v>25</v>
      </c>
      <c r="K663" t="str">
        <f>_xlfn.CONCAT(B663, " ",C663)</f>
        <v>Nikolos Ruppeli</v>
      </c>
    </row>
    <row r="664" spans="1:11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VLOOKUP(D664,'2018_commission_structure'!$A$2:$C$4,3,FALSE)</f>
        <v>80000</v>
      </c>
      <c r="G664">
        <f>VLOOKUP(D664,'2018_commission_structure'!$A$2:$C$4,2,FALSE)</f>
        <v>50000</v>
      </c>
      <c r="H664">
        <f t="shared" si="10"/>
        <v>0</v>
      </c>
      <c r="I664">
        <f>COUNTIF(deals_closed!D:D, A664)</f>
        <v>24</v>
      </c>
      <c r="K664" t="str">
        <f>_xlfn.CONCAT(B664, " ",C664)</f>
        <v>Myrilla Purvey</v>
      </c>
    </row>
    <row r="665" spans="1:11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VLOOKUP(D665,'2018_commission_structure'!$A$2:$C$4,3,FALSE)</f>
        <v>80000</v>
      </c>
      <c r="G665">
        <f>VLOOKUP(D665,'2018_commission_structure'!$A$2:$C$4,2,FALSE)</f>
        <v>50000</v>
      </c>
      <c r="H665">
        <f t="shared" si="10"/>
        <v>0</v>
      </c>
      <c r="I665">
        <f>COUNTIF(deals_closed!D:D, A665)</f>
        <v>21</v>
      </c>
      <c r="K665" t="str">
        <f>_xlfn.CONCAT(B665, " ",C665)</f>
        <v>Deena Leeming</v>
      </c>
    </row>
    <row r="666" spans="1:11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VLOOKUP(D666,'2018_commission_structure'!$A$2:$C$4,3,FALSE)</f>
        <v>125000</v>
      </c>
      <c r="G666">
        <f>VLOOKUP(D666,'2018_commission_structure'!$A$2:$C$4,2,FALSE)</f>
        <v>75000</v>
      </c>
      <c r="H666">
        <f t="shared" si="10"/>
        <v>0</v>
      </c>
      <c r="I666">
        <f>COUNTIF(deals_closed!D:D, A666)</f>
        <v>23</v>
      </c>
      <c r="K666" t="str">
        <f>_xlfn.CONCAT(B666, " ",C666)</f>
        <v>Carri Howis</v>
      </c>
    </row>
    <row r="667" spans="1:11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VLOOKUP(D667,'2018_commission_structure'!$A$2:$C$4,3,FALSE)</f>
        <v>65000</v>
      </c>
      <c r="G667">
        <f>VLOOKUP(D667,'2018_commission_structure'!$A$2:$C$4,2,FALSE)</f>
        <v>30000</v>
      </c>
      <c r="H667">
        <f t="shared" si="10"/>
        <v>0</v>
      </c>
      <c r="I667">
        <f>COUNTIF(deals_closed!D:D, A667)</f>
        <v>19</v>
      </c>
      <c r="K667" t="str">
        <f>_xlfn.CONCAT(B667, " ",C667)</f>
        <v>Lesley Letford</v>
      </c>
    </row>
    <row r="668" spans="1:11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VLOOKUP(D668,'2018_commission_structure'!$A$2:$C$4,3,FALSE)</f>
        <v>125000</v>
      </c>
      <c r="G668">
        <f>VLOOKUP(D668,'2018_commission_structure'!$A$2:$C$4,2,FALSE)</f>
        <v>75000</v>
      </c>
      <c r="H668">
        <f t="shared" si="10"/>
        <v>0</v>
      </c>
      <c r="I668">
        <f>COUNTIF(deals_closed!D:D, A668)</f>
        <v>25</v>
      </c>
      <c r="K668" t="str">
        <f>_xlfn.CONCAT(B668, " ",C668)</f>
        <v>Madella Seabert</v>
      </c>
    </row>
    <row r="669" spans="1:11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VLOOKUP(D669,'2018_commission_structure'!$A$2:$C$4,3,FALSE)</f>
        <v>80000</v>
      </c>
      <c r="G669">
        <f>VLOOKUP(D669,'2018_commission_structure'!$A$2:$C$4,2,FALSE)</f>
        <v>50000</v>
      </c>
      <c r="H669">
        <f t="shared" si="10"/>
        <v>0</v>
      </c>
      <c r="I669">
        <f>COUNTIF(deals_closed!D:D, A669)</f>
        <v>27</v>
      </c>
      <c r="K669" t="str">
        <f>_xlfn.CONCAT(B669, " ",C669)</f>
        <v>Godard Truett</v>
      </c>
    </row>
    <row r="670" spans="1:11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VLOOKUP(D670,'2018_commission_structure'!$A$2:$C$4,3,FALSE)</f>
        <v>65000</v>
      </c>
      <c r="G670">
        <f>VLOOKUP(D670,'2018_commission_structure'!$A$2:$C$4,2,FALSE)</f>
        <v>30000</v>
      </c>
      <c r="H670">
        <f t="shared" si="10"/>
        <v>0</v>
      </c>
      <c r="I670">
        <f>COUNTIF(deals_closed!D:D, A670)</f>
        <v>18</v>
      </c>
      <c r="K670" t="str">
        <f>_xlfn.CONCAT(B670, " ",C670)</f>
        <v>Demetris Hazlegrove</v>
      </c>
    </row>
    <row r="671" spans="1:11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VLOOKUP(D671,'2018_commission_structure'!$A$2:$C$4,3,FALSE)</f>
        <v>125000</v>
      </c>
      <c r="G671">
        <f>VLOOKUP(D671,'2018_commission_structure'!$A$2:$C$4,2,FALSE)</f>
        <v>75000</v>
      </c>
      <c r="H671">
        <f t="shared" si="10"/>
        <v>0</v>
      </c>
      <c r="I671">
        <f>COUNTIF(deals_closed!D:D, A671)</f>
        <v>14</v>
      </c>
      <c r="K671" t="str">
        <f>_xlfn.CONCAT(B671, " ",C671)</f>
        <v>Zane Cheverton</v>
      </c>
    </row>
    <row r="672" spans="1:11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VLOOKUP(D672,'2018_commission_structure'!$A$2:$C$4,3,FALSE)</f>
        <v>125000</v>
      </c>
      <c r="G672">
        <f>VLOOKUP(D672,'2018_commission_structure'!$A$2:$C$4,2,FALSE)</f>
        <v>75000</v>
      </c>
      <c r="H672">
        <f t="shared" si="10"/>
        <v>0</v>
      </c>
      <c r="I672">
        <f>COUNTIF(deals_closed!D:D, A672)</f>
        <v>22</v>
      </c>
      <c r="K672" t="str">
        <f>_xlfn.CONCAT(B672, " ",C672)</f>
        <v>Emmie Ivamy</v>
      </c>
    </row>
    <row r="673" spans="1:11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VLOOKUP(D673,'2018_commission_structure'!$A$2:$C$4,3,FALSE)</f>
        <v>125000</v>
      </c>
      <c r="G673">
        <f>VLOOKUP(D673,'2018_commission_structure'!$A$2:$C$4,2,FALSE)</f>
        <v>75000</v>
      </c>
      <c r="H673">
        <f t="shared" si="10"/>
        <v>0</v>
      </c>
      <c r="I673">
        <f>COUNTIF(deals_closed!D:D, A673)</f>
        <v>27</v>
      </c>
      <c r="K673" t="str">
        <f>_xlfn.CONCAT(B673, " ",C673)</f>
        <v>Fulvia Aldie</v>
      </c>
    </row>
    <row r="674" spans="1:11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VLOOKUP(D674,'2018_commission_structure'!$A$2:$C$4,3,FALSE)</f>
        <v>65000</v>
      </c>
      <c r="G674">
        <f>VLOOKUP(D674,'2018_commission_structure'!$A$2:$C$4,2,FALSE)</f>
        <v>30000</v>
      </c>
      <c r="H674">
        <f t="shared" si="10"/>
        <v>0</v>
      </c>
      <c r="I674">
        <f>COUNTIF(deals_closed!D:D, A674)</f>
        <v>18</v>
      </c>
      <c r="K674" t="str">
        <f>_xlfn.CONCAT(B674, " ",C674)</f>
        <v>Eal Ezzle</v>
      </c>
    </row>
    <row r="675" spans="1:11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VLOOKUP(D675,'2018_commission_structure'!$A$2:$C$4,3,FALSE)</f>
        <v>65000</v>
      </c>
      <c r="G675">
        <f>VLOOKUP(D675,'2018_commission_structure'!$A$2:$C$4,2,FALSE)</f>
        <v>30000</v>
      </c>
      <c r="H675">
        <f t="shared" si="10"/>
        <v>0</v>
      </c>
      <c r="I675">
        <f>COUNTIF(deals_closed!D:D, A675)</f>
        <v>25</v>
      </c>
      <c r="K675" t="str">
        <f>_xlfn.CONCAT(B675, " ",C675)</f>
        <v>Brice O'Sheeryne</v>
      </c>
    </row>
    <row r="676" spans="1:11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VLOOKUP(D676,'2018_commission_structure'!$A$2:$C$4,3,FALSE)</f>
        <v>125000</v>
      </c>
      <c r="G676">
        <f>VLOOKUP(D676,'2018_commission_structure'!$A$2:$C$4,2,FALSE)</f>
        <v>75000</v>
      </c>
      <c r="H676">
        <f t="shared" si="10"/>
        <v>0</v>
      </c>
      <c r="I676">
        <f>COUNTIF(deals_closed!D:D, A676)</f>
        <v>21</v>
      </c>
      <c r="K676" t="str">
        <f>_xlfn.CONCAT(B676, " ",C676)</f>
        <v>Vail Mailey</v>
      </c>
    </row>
    <row r="677" spans="1:11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VLOOKUP(D677,'2018_commission_structure'!$A$2:$C$4,3,FALSE)</f>
        <v>80000</v>
      </c>
      <c r="G677">
        <f>VLOOKUP(D677,'2018_commission_structure'!$A$2:$C$4,2,FALSE)</f>
        <v>50000</v>
      </c>
      <c r="H677">
        <f t="shared" si="10"/>
        <v>0</v>
      </c>
      <c r="I677">
        <f>COUNTIF(deals_closed!D:D, A677)</f>
        <v>26</v>
      </c>
      <c r="K677" t="str">
        <f>_xlfn.CONCAT(B677, " ",C677)</f>
        <v>Maury Belshaw</v>
      </c>
    </row>
    <row r="678" spans="1:11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VLOOKUP(D678,'2018_commission_structure'!$A$2:$C$4,3,FALSE)</f>
        <v>65000</v>
      </c>
      <c r="G678">
        <f>VLOOKUP(D678,'2018_commission_structure'!$A$2:$C$4,2,FALSE)</f>
        <v>30000</v>
      </c>
      <c r="H678">
        <f t="shared" si="10"/>
        <v>0</v>
      </c>
      <c r="I678">
        <f>COUNTIF(deals_closed!D:D, A678)</f>
        <v>11</v>
      </c>
      <c r="K678" t="str">
        <f>_xlfn.CONCAT(B678, " ",C678)</f>
        <v>Vladimir Nassy</v>
      </c>
    </row>
    <row r="679" spans="1:11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VLOOKUP(D679,'2018_commission_structure'!$A$2:$C$4,3,FALSE)</f>
        <v>125000</v>
      </c>
      <c r="G679">
        <f>VLOOKUP(D679,'2018_commission_structure'!$A$2:$C$4,2,FALSE)</f>
        <v>75000</v>
      </c>
      <c r="H679">
        <f t="shared" si="10"/>
        <v>0</v>
      </c>
      <c r="I679">
        <f>COUNTIF(deals_closed!D:D, A679)</f>
        <v>18</v>
      </c>
      <c r="K679" t="str">
        <f>_xlfn.CONCAT(B679, " ",C679)</f>
        <v>Martica Whyler</v>
      </c>
    </row>
    <row r="680" spans="1:11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VLOOKUP(D680,'2018_commission_structure'!$A$2:$C$4,3,FALSE)</f>
        <v>65000</v>
      </c>
      <c r="G680">
        <f>VLOOKUP(D680,'2018_commission_structure'!$A$2:$C$4,2,FALSE)</f>
        <v>30000</v>
      </c>
      <c r="H680">
        <f t="shared" si="10"/>
        <v>0</v>
      </c>
      <c r="I680">
        <f>COUNTIF(deals_closed!D:D, A680)</f>
        <v>21</v>
      </c>
      <c r="K680" t="str">
        <f>_xlfn.CONCAT(B680, " ",C680)</f>
        <v>Boycie Marten</v>
      </c>
    </row>
    <row r="681" spans="1:11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VLOOKUP(D681,'2018_commission_structure'!$A$2:$C$4,3,FALSE)</f>
        <v>125000</v>
      </c>
      <c r="G681">
        <f>VLOOKUP(D681,'2018_commission_structure'!$A$2:$C$4,2,FALSE)</f>
        <v>75000</v>
      </c>
      <c r="H681">
        <f t="shared" si="10"/>
        <v>0</v>
      </c>
      <c r="I681">
        <f>COUNTIF(deals_closed!D:D, A681)</f>
        <v>14</v>
      </c>
      <c r="K681" t="str">
        <f>_xlfn.CONCAT(B681, " ",C681)</f>
        <v>Sebastiano Cloute</v>
      </c>
    </row>
    <row r="682" spans="1:11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VLOOKUP(D682,'2018_commission_structure'!$A$2:$C$4,3,FALSE)</f>
        <v>65000</v>
      </c>
      <c r="G682">
        <f>VLOOKUP(D682,'2018_commission_structure'!$A$2:$C$4,2,FALSE)</f>
        <v>30000</v>
      </c>
      <c r="H682">
        <f t="shared" si="10"/>
        <v>0</v>
      </c>
      <c r="I682">
        <f>COUNTIF(deals_closed!D:D, A682)</f>
        <v>22</v>
      </c>
      <c r="K682" t="str">
        <f>_xlfn.CONCAT(B682, " ",C682)</f>
        <v>Amory Crasswell</v>
      </c>
    </row>
    <row r="683" spans="1:11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VLOOKUP(D683,'2018_commission_structure'!$A$2:$C$4,3,FALSE)</f>
        <v>80000</v>
      </c>
      <c r="G683">
        <f>VLOOKUP(D683,'2018_commission_structure'!$A$2:$C$4,2,FALSE)</f>
        <v>50000</v>
      </c>
      <c r="H683">
        <f t="shared" si="10"/>
        <v>0</v>
      </c>
      <c r="I683">
        <f>COUNTIF(deals_closed!D:D, A683)</f>
        <v>9</v>
      </c>
      <c r="K683" t="str">
        <f>_xlfn.CONCAT(B683, " ",C683)</f>
        <v>Sergio Itzakovitz</v>
      </c>
    </row>
    <row r="684" spans="1:11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VLOOKUP(D684,'2018_commission_structure'!$A$2:$C$4,3,FALSE)</f>
        <v>125000</v>
      </c>
      <c r="G684">
        <f>VLOOKUP(D684,'2018_commission_structure'!$A$2:$C$4,2,FALSE)</f>
        <v>75000</v>
      </c>
      <c r="H684">
        <f t="shared" si="10"/>
        <v>0</v>
      </c>
      <c r="I684">
        <f>COUNTIF(deals_closed!D:D, A684)</f>
        <v>23</v>
      </c>
      <c r="K684" t="str">
        <f>_xlfn.CONCAT(B684, " ",C684)</f>
        <v>Donavon Cheer</v>
      </c>
    </row>
    <row r="685" spans="1:11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VLOOKUP(D685,'2018_commission_structure'!$A$2:$C$4,3,FALSE)</f>
        <v>65000</v>
      </c>
      <c r="G685">
        <f>VLOOKUP(D685,'2018_commission_structure'!$A$2:$C$4,2,FALSE)</f>
        <v>30000</v>
      </c>
      <c r="H685">
        <f t="shared" si="10"/>
        <v>0</v>
      </c>
      <c r="I685">
        <f>COUNTIF(deals_closed!D:D, A685)</f>
        <v>20</v>
      </c>
      <c r="K685" t="str">
        <f>_xlfn.CONCAT(B685, " ",C685)</f>
        <v>Kippar Ricardin</v>
      </c>
    </row>
    <row r="686" spans="1:11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VLOOKUP(D686,'2018_commission_structure'!$A$2:$C$4,3,FALSE)</f>
        <v>65000</v>
      </c>
      <c r="G686">
        <f>VLOOKUP(D686,'2018_commission_structure'!$A$2:$C$4,2,FALSE)</f>
        <v>30000</v>
      </c>
      <c r="H686">
        <f t="shared" si="10"/>
        <v>0</v>
      </c>
      <c r="I686">
        <f>COUNTIF(deals_closed!D:D, A686)</f>
        <v>20</v>
      </c>
      <c r="K686" t="str">
        <f>_xlfn.CONCAT(B686, " ",C686)</f>
        <v>Barnabas Jozefczak</v>
      </c>
    </row>
    <row r="687" spans="1:11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VLOOKUP(D687,'2018_commission_structure'!$A$2:$C$4,3,FALSE)</f>
        <v>125000</v>
      </c>
      <c r="G687">
        <f>VLOOKUP(D687,'2018_commission_structure'!$A$2:$C$4,2,FALSE)</f>
        <v>75000</v>
      </c>
      <c r="H687">
        <f t="shared" si="10"/>
        <v>0</v>
      </c>
      <c r="I687">
        <f>COUNTIF(deals_closed!D:D, A687)</f>
        <v>13</v>
      </c>
      <c r="K687" t="str">
        <f>_xlfn.CONCAT(B687, " ",C687)</f>
        <v>Sheilakathryn Buckberry</v>
      </c>
    </row>
    <row r="688" spans="1:11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VLOOKUP(D688,'2018_commission_structure'!$A$2:$C$4,3,FALSE)</f>
        <v>125000</v>
      </c>
      <c r="G688">
        <f>VLOOKUP(D688,'2018_commission_structure'!$A$2:$C$4,2,FALSE)</f>
        <v>75000</v>
      </c>
      <c r="H688">
        <f t="shared" si="10"/>
        <v>0</v>
      </c>
      <c r="I688">
        <f>COUNTIF(deals_closed!D:D, A688)</f>
        <v>21</v>
      </c>
      <c r="K688" t="str">
        <f>_xlfn.CONCAT(B688, " ",C688)</f>
        <v>Tani Haddock</v>
      </c>
    </row>
    <row r="689" spans="1:11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VLOOKUP(D689,'2018_commission_structure'!$A$2:$C$4,3,FALSE)</f>
        <v>65000</v>
      </c>
      <c r="G689">
        <f>VLOOKUP(D689,'2018_commission_structure'!$A$2:$C$4,2,FALSE)</f>
        <v>30000</v>
      </c>
      <c r="H689">
        <f t="shared" si="10"/>
        <v>0</v>
      </c>
      <c r="I689">
        <f>COUNTIF(deals_closed!D:D, A689)</f>
        <v>21</v>
      </c>
      <c r="K689" t="str">
        <f>_xlfn.CONCAT(B689, " ",C689)</f>
        <v>Beaufort Rentcome</v>
      </c>
    </row>
    <row r="690" spans="1:11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VLOOKUP(D690,'2018_commission_structure'!$A$2:$C$4,3,FALSE)</f>
        <v>80000</v>
      </c>
      <c r="G690">
        <f>VLOOKUP(D690,'2018_commission_structure'!$A$2:$C$4,2,FALSE)</f>
        <v>50000</v>
      </c>
      <c r="H690">
        <f t="shared" si="10"/>
        <v>0</v>
      </c>
      <c r="I690">
        <f>COUNTIF(deals_closed!D:D, A690)</f>
        <v>19</v>
      </c>
      <c r="K690" t="str">
        <f>_xlfn.CONCAT(B690, " ",C690)</f>
        <v>Petronille Niles</v>
      </c>
    </row>
    <row r="691" spans="1:11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VLOOKUP(D691,'2018_commission_structure'!$A$2:$C$4,3,FALSE)</f>
        <v>80000</v>
      </c>
      <c r="G691">
        <f>VLOOKUP(D691,'2018_commission_structure'!$A$2:$C$4,2,FALSE)</f>
        <v>50000</v>
      </c>
      <c r="H691">
        <f t="shared" si="10"/>
        <v>0</v>
      </c>
      <c r="I691">
        <f>COUNTIF(deals_closed!D:D, A691)</f>
        <v>7</v>
      </c>
      <c r="K691" t="str">
        <f>_xlfn.CONCAT(B691, " ",C691)</f>
        <v>Hillel Burdett</v>
      </c>
    </row>
    <row r="692" spans="1:11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VLOOKUP(D692,'2018_commission_structure'!$A$2:$C$4,3,FALSE)</f>
        <v>65000</v>
      </c>
      <c r="G692">
        <f>VLOOKUP(D692,'2018_commission_structure'!$A$2:$C$4,2,FALSE)</f>
        <v>30000</v>
      </c>
      <c r="H692">
        <f t="shared" si="10"/>
        <v>0</v>
      </c>
      <c r="I692">
        <f>COUNTIF(deals_closed!D:D, A692)</f>
        <v>20</v>
      </c>
      <c r="K692" t="str">
        <f>_xlfn.CONCAT(B692, " ",C692)</f>
        <v>Shawna Powland</v>
      </c>
    </row>
    <row r="693" spans="1:11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VLOOKUP(D693,'2018_commission_structure'!$A$2:$C$4,3,FALSE)</f>
        <v>80000</v>
      </c>
      <c r="G693">
        <f>VLOOKUP(D693,'2018_commission_structure'!$A$2:$C$4,2,FALSE)</f>
        <v>50000</v>
      </c>
      <c r="H693">
        <f t="shared" si="10"/>
        <v>0</v>
      </c>
      <c r="I693">
        <f>COUNTIF(deals_closed!D:D, A693)</f>
        <v>17</v>
      </c>
      <c r="K693" t="str">
        <f>_xlfn.CONCAT(B693, " ",C693)</f>
        <v>Simone Garz</v>
      </c>
    </row>
    <row r="694" spans="1:11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VLOOKUP(D694,'2018_commission_structure'!$A$2:$C$4,3,FALSE)</f>
        <v>125000</v>
      </c>
      <c r="G694">
        <f>VLOOKUP(D694,'2018_commission_structure'!$A$2:$C$4,2,FALSE)</f>
        <v>75000</v>
      </c>
      <c r="H694">
        <f t="shared" si="10"/>
        <v>0</v>
      </c>
      <c r="I694">
        <f>COUNTIF(deals_closed!D:D, A694)</f>
        <v>18</v>
      </c>
      <c r="K694" t="str">
        <f>_xlfn.CONCAT(B694, " ",C694)</f>
        <v>Alric McNaught</v>
      </c>
    </row>
    <row r="695" spans="1:11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VLOOKUP(D695,'2018_commission_structure'!$A$2:$C$4,3,FALSE)</f>
        <v>80000</v>
      </c>
      <c r="G695">
        <f>VLOOKUP(D695,'2018_commission_structure'!$A$2:$C$4,2,FALSE)</f>
        <v>50000</v>
      </c>
      <c r="H695">
        <f t="shared" si="10"/>
        <v>0</v>
      </c>
      <c r="I695">
        <f>COUNTIF(deals_closed!D:D, A695)</f>
        <v>24</v>
      </c>
      <c r="K695" t="str">
        <f>_xlfn.CONCAT(B695, " ",C695)</f>
        <v>Della Tapson</v>
      </c>
    </row>
    <row r="696" spans="1:11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VLOOKUP(D696,'2018_commission_structure'!$A$2:$C$4,3,FALSE)</f>
        <v>80000</v>
      </c>
      <c r="G696">
        <f>VLOOKUP(D696,'2018_commission_structure'!$A$2:$C$4,2,FALSE)</f>
        <v>50000</v>
      </c>
      <c r="H696">
        <f t="shared" si="10"/>
        <v>0</v>
      </c>
      <c r="I696">
        <f>COUNTIF(deals_closed!D:D, A696)</f>
        <v>20</v>
      </c>
      <c r="K696" t="str">
        <f>_xlfn.CONCAT(B696, " ",C696)</f>
        <v>Cristina Seegar</v>
      </c>
    </row>
    <row r="697" spans="1:11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VLOOKUP(D697,'2018_commission_structure'!$A$2:$C$4,3,FALSE)</f>
        <v>125000</v>
      </c>
      <c r="G697">
        <f>VLOOKUP(D697,'2018_commission_structure'!$A$2:$C$4,2,FALSE)</f>
        <v>75000</v>
      </c>
      <c r="H697">
        <f t="shared" si="10"/>
        <v>0</v>
      </c>
      <c r="I697">
        <f>COUNTIF(deals_closed!D:D, A697)</f>
        <v>23</v>
      </c>
      <c r="K697" t="str">
        <f>_xlfn.CONCAT(B697, " ",C697)</f>
        <v>Osbourne Kuhnke</v>
      </c>
    </row>
    <row r="698" spans="1:11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VLOOKUP(D698,'2018_commission_structure'!$A$2:$C$4,3,FALSE)</f>
        <v>80000</v>
      </c>
      <c r="G698">
        <f>VLOOKUP(D698,'2018_commission_structure'!$A$2:$C$4,2,FALSE)</f>
        <v>50000</v>
      </c>
      <c r="H698">
        <f t="shared" si="10"/>
        <v>0</v>
      </c>
      <c r="I698">
        <f>COUNTIF(deals_closed!D:D, A698)</f>
        <v>17</v>
      </c>
      <c r="K698" t="str">
        <f>_xlfn.CONCAT(B698, " ",C698)</f>
        <v>Phil Falconar</v>
      </c>
    </row>
    <row r="699" spans="1:11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VLOOKUP(D699,'2018_commission_structure'!$A$2:$C$4,3,FALSE)</f>
        <v>80000</v>
      </c>
      <c r="G699">
        <f>VLOOKUP(D699,'2018_commission_structure'!$A$2:$C$4,2,FALSE)</f>
        <v>50000</v>
      </c>
      <c r="H699">
        <f t="shared" si="10"/>
        <v>0</v>
      </c>
      <c r="I699">
        <f>COUNTIF(deals_closed!D:D, A699)</f>
        <v>27</v>
      </c>
      <c r="K699" t="str">
        <f>_xlfn.CONCAT(B699, " ",C699)</f>
        <v>Sibbie Cutbush</v>
      </c>
    </row>
    <row r="700" spans="1:11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VLOOKUP(D700,'2018_commission_structure'!$A$2:$C$4,3,FALSE)</f>
        <v>65000</v>
      </c>
      <c r="G700">
        <f>VLOOKUP(D700,'2018_commission_structure'!$A$2:$C$4,2,FALSE)</f>
        <v>30000</v>
      </c>
      <c r="H700">
        <f t="shared" si="10"/>
        <v>0</v>
      </c>
      <c r="I700">
        <f>COUNTIF(deals_closed!D:D, A700)</f>
        <v>20</v>
      </c>
      <c r="K700" t="str">
        <f>_xlfn.CONCAT(B700, " ",C700)</f>
        <v>Andris Dunbleton</v>
      </c>
    </row>
    <row r="701" spans="1:11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VLOOKUP(D701,'2018_commission_structure'!$A$2:$C$4,3,FALSE)</f>
        <v>80000</v>
      </c>
      <c r="G701">
        <f>VLOOKUP(D701,'2018_commission_structure'!$A$2:$C$4,2,FALSE)</f>
        <v>50000</v>
      </c>
      <c r="H701">
        <f t="shared" si="10"/>
        <v>0</v>
      </c>
      <c r="I701">
        <f>COUNTIF(deals_closed!D:D, A701)</f>
        <v>21</v>
      </c>
      <c r="K701" t="str">
        <f>_xlfn.CONCAT(B701, " ",C701)</f>
        <v>Eward Cureton</v>
      </c>
    </row>
    <row r="702" spans="1:11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VLOOKUP(D702,'2018_commission_structure'!$A$2:$C$4,3,FALSE)</f>
        <v>80000</v>
      </c>
      <c r="G702">
        <f>VLOOKUP(D702,'2018_commission_structure'!$A$2:$C$4,2,FALSE)</f>
        <v>50000</v>
      </c>
      <c r="H702">
        <f t="shared" si="10"/>
        <v>0</v>
      </c>
      <c r="I702">
        <f>COUNTIF(deals_closed!D:D, A702)</f>
        <v>28</v>
      </c>
      <c r="K702" t="str">
        <f>_xlfn.CONCAT(B702, " ",C702)</f>
        <v>Cecilia Livingstone</v>
      </c>
    </row>
    <row r="703" spans="1:11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VLOOKUP(D703,'2018_commission_structure'!$A$2:$C$4,3,FALSE)</f>
        <v>80000</v>
      </c>
      <c r="G703">
        <f>VLOOKUP(D703,'2018_commission_structure'!$A$2:$C$4,2,FALSE)</f>
        <v>50000</v>
      </c>
      <c r="H703">
        <f t="shared" si="10"/>
        <v>0</v>
      </c>
      <c r="I703">
        <f>COUNTIF(deals_closed!D:D, A703)</f>
        <v>32</v>
      </c>
      <c r="K703" t="str">
        <f>_xlfn.CONCAT(B703, " ",C703)</f>
        <v>Glynis Garaghan</v>
      </c>
    </row>
    <row r="704" spans="1:11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VLOOKUP(D704,'2018_commission_structure'!$A$2:$C$4,3,FALSE)</f>
        <v>65000</v>
      </c>
      <c r="G704">
        <f>VLOOKUP(D704,'2018_commission_structure'!$A$2:$C$4,2,FALSE)</f>
        <v>30000</v>
      </c>
      <c r="H704">
        <f t="shared" si="10"/>
        <v>0</v>
      </c>
      <c r="I704">
        <f>COUNTIF(deals_closed!D:D, A704)</f>
        <v>21</v>
      </c>
      <c r="K704" t="str">
        <f>_xlfn.CONCAT(B704, " ",C704)</f>
        <v>Wash Aizlewood</v>
      </c>
    </row>
    <row r="705" spans="1:11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VLOOKUP(D705,'2018_commission_structure'!$A$2:$C$4,3,FALSE)</f>
        <v>65000</v>
      </c>
      <c r="G705">
        <f>VLOOKUP(D705,'2018_commission_structure'!$A$2:$C$4,2,FALSE)</f>
        <v>30000</v>
      </c>
      <c r="H705">
        <f t="shared" si="10"/>
        <v>0</v>
      </c>
      <c r="I705">
        <f>COUNTIF(deals_closed!D:D, A705)</f>
        <v>15</v>
      </c>
      <c r="K705" t="str">
        <f>_xlfn.CONCAT(B705, " ",C705)</f>
        <v>Had Drew</v>
      </c>
    </row>
    <row r="706" spans="1:11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VLOOKUP(D706,'2018_commission_structure'!$A$2:$C$4,3,FALSE)</f>
        <v>65000</v>
      </c>
      <c r="G706">
        <f>VLOOKUP(D706,'2018_commission_structure'!$A$2:$C$4,2,FALSE)</f>
        <v>30000</v>
      </c>
      <c r="H706">
        <f t="shared" si="10"/>
        <v>0</v>
      </c>
      <c r="I706">
        <f>COUNTIF(deals_closed!D:D, A706)</f>
        <v>20</v>
      </c>
      <c r="K706" t="str">
        <f>_xlfn.CONCAT(B706, " ",C706)</f>
        <v>Krishnah Capelle</v>
      </c>
    </row>
    <row r="707" spans="1:11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VLOOKUP(D707,'2018_commission_structure'!$A$2:$C$4,3,FALSE)</f>
        <v>65000</v>
      </c>
      <c r="G707">
        <f>VLOOKUP(D707,'2018_commission_structure'!$A$2:$C$4,2,FALSE)</f>
        <v>30000</v>
      </c>
      <c r="H707">
        <f t="shared" ref="H707:H770" si="11">IF(AND(E707&gt;=G707,E707&lt;=F707),0,1)</f>
        <v>0</v>
      </c>
      <c r="I707">
        <f>COUNTIF(deals_closed!D:D, A707)</f>
        <v>18</v>
      </c>
      <c r="K707" t="str">
        <f>_xlfn.CONCAT(B707, " ",C707)</f>
        <v>May Fortesquieu</v>
      </c>
    </row>
    <row r="708" spans="1:11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VLOOKUP(D708,'2018_commission_structure'!$A$2:$C$4,3,FALSE)</f>
        <v>65000</v>
      </c>
      <c r="G708">
        <f>VLOOKUP(D708,'2018_commission_structure'!$A$2:$C$4,2,FALSE)</f>
        <v>30000</v>
      </c>
      <c r="H708">
        <f t="shared" si="11"/>
        <v>0</v>
      </c>
      <c r="I708">
        <f>COUNTIF(deals_closed!D:D, A708)</f>
        <v>16</v>
      </c>
      <c r="K708" t="str">
        <f>_xlfn.CONCAT(B708, " ",C708)</f>
        <v>Hymie LeEstut</v>
      </c>
    </row>
    <row r="709" spans="1:11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VLOOKUP(D709,'2018_commission_structure'!$A$2:$C$4,3,FALSE)</f>
        <v>80000</v>
      </c>
      <c r="G709">
        <f>VLOOKUP(D709,'2018_commission_structure'!$A$2:$C$4,2,FALSE)</f>
        <v>50000</v>
      </c>
      <c r="H709">
        <f t="shared" si="11"/>
        <v>0</v>
      </c>
      <c r="I709">
        <f>COUNTIF(deals_closed!D:D, A709)</f>
        <v>15</v>
      </c>
      <c r="K709" t="str">
        <f>_xlfn.CONCAT(B709, " ",C709)</f>
        <v>Gerick Callar</v>
      </c>
    </row>
    <row r="710" spans="1:11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VLOOKUP(D710,'2018_commission_structure'!$A$2:$C$4,3,FALSE)</f>
        <v>125000</v>
      </c>
      <c r="G710">
        <f>VLOOKUP(D710,'2018_commission_structure'!$A$2:$C$4,2,FALSE)</f>
        <v>75000</v>
      </c>
      <c r="H710">
        <f t="shared" si="11"/>
        <v>0</v>
      </c>
      <c r="I710">
        <f>COUNTIF(deals_closed!D:D, A710)</f>
        <v>22</v>
      </c>
      <c r="K710" t="str">
        <f>_xlfn.CONCAT(B710, " ",C710)</f>
        <v>Wheeler Renoden</v>
      </c>
    </row>
    <row r="711" spans="1:11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VLOOKUP(D711,'2018_commission_structure'!$A$2:$C$4,3,FALSE)</f>
        <v>125000</v>
      </c>
      <c r="G711">
        <f>VLOOKUP(D711,'2018_commission_structure'!$A$2:$C$4,2,FALSE)</f>
        <v>75000</v>
      </c>
      <c r="H711">
        <f t="shared" si="11"/>
        <v>0</v>
      </c>
      <c r="I711">
        <f>COUNTIF(deals_closed!D:D, A711)</f>
        <v>20</v>
      </c>
      <c r="K711" t="str">
        <f>_xlfn.CONCAT(B711, " ",C711)</f>
        <v>Brendis Marsie</v>
      </c>
    </row>
    <row r="712" spans="1:11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VLOOKUP(D712,'2018_commission_structure'!$A$2:$C$4,3,FALSE)</f>
        <v>65000</v>
      </c>
      <c r="G712">
        <f>VLOOKUP(D712,'2018_commission_structure'!$A$2:$C$4,2,FALSE)</f>
        <v>30000</v>
      </c>
      <c r="H712">
        <f t="shared" si="11"/>
        <v>0</v>
      </c>
      <c r="I712">
        <f>COUNTIF(deals_closed!D:D, A712)</f>
        <v>17</v>
      </c>
      <c r="K712" t="str">
        <f>_xlfn.CONCAT(B712, " ",C712)</f>
        <v>Consolata Rosier</v>
      </c>
    </row>
    <row r="713" spans="1:11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VLOOKUP(D713,'2018_commission_structure'!$A$2:$C$4,3,FALSE)</f>
        <v>80000</v>
      </c>
      <c r="G713">
        <f>VLOOKUP(D713,'2018_commission_structure'!$A$2:$C$4,2,FALSE)</f>
        <v>50000</v>
      </c>
      <c r="H713">
        <f t="shared" si="11"/>
        <v>0</v>
      </c>
      <c r="I713">
        <f>COUNTIF(deals_closed!D:D, A713)</f>
        <v>28</v>
      </c>
      <c r="K713" t="str">
        <f>_xlfn.CONCAT(B713, " ",C713)</f>
        <v>Arlin Glacken</v>
      </c>
    </row>
    <row r="714" spans="1:11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VLOOKUP(D714,'2018_commission_structure'!$A$2:$C$4,3,FALSE)</f>
        <v>65000</v>
      </c>
      <c r="G714">
        <f>VLOOKUP(D714,'2018_commission_structure'!$A$2:$C$4,2,FALSE)</f>
        <v>30000</v>
      </c>
      <c r="H714">
        <f t="shared" si="11"/>
        <v>0</v>
      </c>
      <c r="I714">
        <f>COUNTIF(deals_closed!D:D, A714)</f>
        <v>18</v>
      </c>
      <c r="K714" t="str">
        <f>_xlfn.CONCAT(B714, " ",C714)</f>
        <v>Paulo Sibbert</v>
      </c>
    </row>
    <row r="715" spans="1:11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VLOOKUP(D715,'2018_commission_structure'!$A$2:$C$4,3,FALSE)</f>
        <v>125000</v>
      </c>
      <c r="G715">
        <f>VLOOKUP(D715,'2018_commission_structure'!$A$2:$C$4,2,FALSE)</f>
        <v>75000</v>
      </c>
      <c r="H715">
        <f t="shared" si="11"/>
        <v>0</v>
      </c>
      <c r="I715">
        <f>COUNTIF(deals_closed!D:D, A715)</f>
        <v>28</v>
      </c>
      <c r="K715" t="str">
        <f>_xlfn.CONCAT(B715, " ",C715)</f>
        <v>Mariquilla Arsmith</v>
      </c>
    </row>
    <row r="716" spans="1:11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VLOOKUP(D716,'2018_commission_structure'!$A$2:$C$4,3,FALSE)</f>
        <v>65000</v>
      </c>
      <c r="G716">
        <f>VLOOKUP(D716,'2018_commission_structure'!$A$2:$C$4,2,FALSE)</f>
        <v>30000</v>
      </c>
      <c r="H716">
        <f t="shared" si="11"/>
        <v>0</v>
      </c>
      <c r="I716">
        <f>COUNTIF(deals_closed!D:D, A716)</f>
        <v>18</v>
      </c>
      <c r="K716" t="str">
        <f>_xlfn.CONCAT(B716, " ",C716)</f>
        <v>Engracia Rigolle</v>
      </c>
    </row>
    <row r="717" spans="1:11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VLOOKUP(D717,'2018_commission_structure'!$A$2:$C$4,3,FALSE)</f>
        <v>80000</v>
      </c>
      <c r="G717">
        <f>VLOOKUP(D717,'2018_commission_structure'!$A$2:$C$4,2,FALSE)</f>
        <v>50000</v>
      </c>
      <c r="H717">
        <f t="shared" si="11"/>
        <v>0</v>
      </c>
      <c r="I717">
        <f>COUNTIF(deals_closed!D:D, A717)</f>
        <v>16</v>
      </c>
      <c r="K717" t="str">
        <f>_xlfn.CONCAT(B717, " ",C717)</f>
        <v>Dennis Cranage</v>
      </c>
    </row>
    <row r="718" spans="1:11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VLOOKUP(D718,'2018_commission_structure'!$A$2:$C$4,3,FALSE)</f>
        <v>125000</v>
      </c>
      <c r="G718">
        <f>VLOOKUP(D718,'2018_commission_structure'!$A$2:$C$4,2,FALSE)</f>
        <v>75000</v>
      </c>
      <c r="H718">
        <f t="shared" si="11"/>
        <v>0</v>
      </c>
      <c r="I718">
        <f>COUNTIF(deals_closed!D:D, A718)</f>
        <v>24</v>
      </c>
      <c r="K718" t="str">
        <f>_xlfn.CONCAT(B718, " ",C718)</f>
        <v>Sayer McGonagle</v>
      </c>
    </row>
    <row r="719" spans="1:11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VLOOKUP(D719,'2018_commission_structure'!$A$2:$C$4,3,FALSE)</f>
        <v>80000</v>
      </c>
      <c r="G719">
        <f>VLOOKUP(D719,'2018_commission_structure'!$A$2:$C$4,2,FALSE)</f>
        <v>50000</v>
      </c>
      <c r="H719">
        <f t="shared" si="11"/>
        <v>0</v>
      </c>
      <c r="I719">
        <f>COUNTIF(deals_closed!D:D, A719)</f>
        <v>16</v>
      </c>
      <c r="K719" t="str">
        <f>_xlfn.CONCAT(B719, " ",C719)</f>
        <v>Arther Plant</v>
      </c>
    </row>
    <row r="720" spans="1:11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VLOOKUP(D720,'2018_commission_structure'!$A$2:$C$4,3,FALSE)</f>
        <v>125000</v>
      </c>
      <c r="G720">
        <f>VLOOKUP(D720,'2018_commission_structure'!$A$2:$C$4,2,FALSE)</f>
        <v>75000</v>
      </c>
      <c r="H720">
        <f t="shared" si="11"/>
        <v>0</v>
      </c>
      <c r="I720">
        <f>COUNTIF(deals_closed!D:D, A720)</f>
        <v>26</v>
      </c>
      <c r="K720" t="str">
        <f>_xlfn.CONCAT(B720, " ",C720)</f>
        <v>Mallissa Renak</v>
      </c>
    </row>
    <row r="721" spans="1:11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VLOOKUP(D721,'2018_commission_structure'!$A$2:$C$4,3,FALSE)</f>
        <v>125000</v>
      </c>
      <c r="G721">
        <f>VLOOKUP(D721,'2018_commission_structure'!$A$2:$C$4,2,FALSE)</f>
        <v>75000</v>
      </c>
      <c r="H721">
        <f t="shared" si="11"/>
        <v>0</v>
      </c>
      <c r="I721">
        <f>COUNTIF(deals_closed!D:D, A721)</f>
        <v>22</v>
      </c>
      <c r="K721" t="str">
        <f>_xlfn.CONCAT(B721, " ",C721)</f>
        <v>Sibby Rastrick</v>
      </c>
    </row>
    <row r="722" spans="1:11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VLOOKUP(D722,'2018_commission_structure'!$A$2:$C$4,3,FALSE)</f>
        <v>65000</v>
      </c>
      <c r="G722">
        <f>VLOOKUP(D722,'2018_commission_structure'!$A$2:$C$4,2,FALSE)</f>
        <v>30000</v>
      </c>
      <c r="H722">
        <f t="shared" si="11"/>
        <v>0</v>
      </c>
      <c r="I722">
        <f>COUNTIF(deals_closed!D:D, A722)</f>
        <v>21</v>
      </c>
      <c r="K722" t="str">
        <f>_xlfn.CONCAT(B722, " ",C722)</f>
        <v>Tracy Briztman</v>
      </c>
    </row>
    <row r="723" spans="1:11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VLOOKUP(D723,'2018_commission_structure'!$A$2:$C$4,3,FALSE)</f>
        <v>65000</v>
      </c>
      <c r="G723">
        <f>VLOOKUP(D723,'2018_commission_structure'!$A$2:$C$4,2,FALSE)</f>
        <v>30000</v>
      </c>
      <c r="H723">
        <f t="shared" si="11"/>
        <v>0</v>
      </c>
      <c r="I723">
        <f>COUNTIF(deals_closed!D:D, A723)</f>
        <v>20</v>
      </c>
      <c r="K723" t="str">
        <f>_xlfn.CONCAT(B723, " ",C723)</f>
        <v>Kristien Llewelly</v>
      </c>
    </row>
    <row r="724" spans="1:11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VLOOKUP(D724,'2018_commission_structure'!$A$2:$C$4,3,FALSE)</f>
        <v>65000</v>
      </c>
      <c r="G724">
        <f>VLOOKUP(D724,'2018_commission_structure'!$A$2:$C$4,2,FALSE)</f>
        <v>30000</v>
      </c>
      <c r="H724">
        <f t="shared" si="11"/>
        <v>0</v>
      </c>
      <c r="I724">
        <f>COUNTIF(deals_closed!D:D, A724)</f>
        <v>21</v>
      </c>
      <c r="K724" t="str">
        <f>_xlfn.CONCAT(B724, " ",C724)</f>
        <v>Beverie Ducket</v>
      </c>
    </row>
    <row r="725" spans="1:11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VLOOKUP(D725,'2018_commission_structure'!$A$2:$C$4,3,FALSE)</f>
        <v>125000</v>
      </c>
      <c r="G725">
        <f>VLOOKUP(D725,'2018_commission_structure'!$A$2:$C$4,2,FALSE)</f>
        <v>75000</v>
      </c>
      <c r="H725">
        <f t="shared" si="11"/>
        <v>0</v>
      </c>
      <c r="I725">
        <f>COUNTIF(deals_closed!D:D, A725)</f>
        <v>11</v>
      </c>
      <c r="K725" t="str">
        <f>_xlfn.CONCAT(B725, " ",C725)</f>
        <v>Meg Greensides</v>
      </c>
    </row>
    <row r="726" spans="1:11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VLOOKUP(D726,'2018_commission_structure'!$A$2:$C$4,3,FALSE)</f>
        <v>125000</v>
      </c>
      <c r="G726">
        <f>VLOOKUP(D726,'2018_commission_structure'!$A$2:$C$4,2,FALSE)</f>
        <v>75000</v>
      </c>
      <c r="H726">
        <f t="shared" si="11"/>
        <v>0</v>
      </c>
      <c r="I726">
        <f>COUNTIF(deals_closed!D:D, A726)</f>
        <v>17</v>
      </c>
      <c r="K726" t="str">
        <f>_xlfn.CONCAT(B726, " ",C726)</f>
        <v>Abram Causton</v>
      </c>
    </row>
    <row r="727" spans="1:11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VLOOKUP(D727,'2018_commission_structure'!$A$2:$C$4,3,FALSE)</f>
        <v>80000</v>
      </c>
      <c r="G727">
        <f>VLOOKUP(D727,'2018_commission_structure'!$A$2:$C$4,2,FALSE)</f>
        <v>50000</v>
      </c>
      <c r="H727">
        <f t="shared" si="11"/>
        <v>0</v>
      </c>
      <c r="I727">
        <f>COUNTIF(deals_closed!D:D, A727)</f>
        <v>24</v>
      </c>
      <c r="K727" t="str">
        <f>_xlfn.CONCAT(B727, " ",C727)</f>
        <v>Sophie MacLoughlin</v>
      </c>
    </row>
    <row r="728" spans="1:11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VLOOKUP(D728,'2018_commission_structure'!$A$2:$C$4,3,FALSE)</f>
        <v>125000</v>
      </c>
      <c r="G728">
        <f>VLOOKUP(D728,'2018_commission_structure'!$A$2:$C$4,2,FALSE)</f>
        <v>75000</v>
      </c>
      <c r="H728">
        <f t="shared" si="11"/>
        <v>0</v>
      </c>
      <c r="I728">
        <f>COUNTIF(deals_closed!D:D, A728)</f>
        <v>23</v>
      </c>
      <c r="K728" t="str">
        <f>_xlfn.CONCAT(B728, " ",C728)</f>
        <v>Tiebout Roby</v>
      </c>
    </row>
    <row r="729" spans="1:11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VLOOKUP(D729,'2018_commission_structure'!$A$2:$C$4,3,FALSE)</f>
        <v>65000</v>
      </c>
      <c r="G729">
        <f>VLOOKUP(D729,'2018_commission_structure'!$A$2:$C$4,2,FALSE)</f>
        <v>30000</v>
      </c>
      <c r="H729">
        <f t="shared" si="11"/>
        <v>0</v>
      </c>
      <c r="I729">
        <f>COUNTIF(deals_closed!D:D, A729)</f>
        <v>22</v>
      </c>
      <c r="K729" t="str">
        <f>_xlfn.CONCAT(B729, " ",C729)</f>
        <v>Karalee Durrance</v>
      </c>
    </row>
    <row r="730" spans="1:11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VLOOKUP(D730,'2018_commission_structure'!$A$2:$C$4,3,FALSE)</f>
        <v>125000</v>
      </c>
      <c r="G730">
        <f>VLOOKUP(D730,'2018_commission_structure'!$A$2:$C$4,2,FALSE)</f>
        <v>75000</v>
      </c>
      <c r="H730">
        <f t="shared" si="11"/>
        <v>0</v>
      </c>
      <c r="I730">
        <f>COUNTIF(deals_closed!D:D, A730)</f>
        <v>15</v>
      </c>
      <c r="K730" t="str">
        <f>_xlfn.CONCAT(B730, " ",C730)</f>
        <v>Reginauld Gurner</v>
      </c>
    </row>
    <row r="731" spans="1:11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VLOOKUP(D731,'2018_commission_structure'!$A$2:$C$4,3,FALSE)</f>
        <v>80000</v>
      </c>
      <c r="G731">
        <f>VLOOKUP(D731,'2018_commission_structure'!$A$2:$C$4,2,FALSE)</f>
        <v>50000</v>
      </c>
      <c r="H731">
        <f t="shared" si="11"/>
        <v>0</v>
      </c>
      <c r="I731">
        <f>COUNTIF(deals_closed!D:D, A731)</f>
        <v>22</v>
      </c>
      <c r="K731" t="str">
        <f>_xlfn.CONCAT(B731, " ",C731)</f>
        <v>Kiel Woolveridge</v>
      </c>
    </row>
    <row r="732" spans="1:11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VLOOKUP(D732,'2018_commission_structure'!$A$2:$C$4,3,FALSE)</f>
        <v>65000</v>
      </c>
      <c r="G732">
        <f>VLOOKUP(D732,'2018_commission_structure'!$A$2:$C$4,2,FALSE)</f>
        <v>30000</v>
      </c>
      <c r="H732">
        <f t="shared" si="11"/>
        <v>0</v>
      </c>
      <c r="I732">
        <f>COUNTIF(deals_closed!D:D, A732)</f>
        <v>23</v>
      </c>
      <c r="K732" t="str">
        <f>_xlfn.CONCAT(B732, " ",C732)</f>
        <v>Delia Fylan</v>
      </c>
    </row>
    <row r="733" spans="1:11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VLOOKUP(D733,'2018_commission_structure'!$A$2:$C$4,3,FALSE)</f>
        <v>80000</v>
      </c>
      <c r="G733">
        <f>VLOOKUP(D733,'2018_commission_structure'!$A$2:$C$4,2,FALSE)</f>
        <v>50000</v>
      </c>
      <c r="H733">
        <f t="shared" si="11"/>
        <v>0</v>
      </c>
      <c r="I733">
        <f>COUNTIF(deals_closed!D:D, A733)</f>
        <v>17</v>
      </c>
      <c r="K733" t="str">
        <f>_xlfn.CONCAT(B733, " ",C733)</f>
        <v>Berkly Barg</v>
      </c>
    </row>
    <row r="734" spans="1:11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VLOOKUP(D734,'2018_commission_structure'!$A$2:$C$4,3,FALSE)</f>
        <v>65000</v>
      </c>
      <c r="G734">
        <f>VLOOKUP(D734,'2018_commission_structure'!$A$2:$C$4,2,FALSE)</f>
        <v>30000</v>
      </c>
      <c r="H734">
        <f t="shared" si="11"/>
        <v>0</v>
      </c>
      <c r="I734">
        <f>COUNTIF(deals_closed!D:D, A734)</f>
        <v>18</v>
      </c>
      <c r="K734" t="str">
        <f>_xlfn.CONCAT(B734, " ",C734)</f>
        <v>Arleyne Piens</v>
      </c>
    </row>
    <row r="735" spans="1:11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VLOOKUP(D735,'2018_commission_structure'!$A$2:$C$4,3,FALSE)</f>
        <v>80000</v>
      </c>
      <c r="G735">
        <f>VLOOKUP(D735,'2018_commission_structure'!$A$2:$C$4,2,FALSE)</f>
        <v>50000</v>
      </c>
      <c r="H735">
        <f t="shared" si="11"/>
        <v>0</v>
      </c>
      <c r="I735">
        <f>COUNTIF(deals_closed!D:D, A735)</f>
        <v>16</v>
      </c>
      <c r="K735" t="str">
        <f>_xlfn.CONCAT(B735, " ",C735)</f>
        <v>Lancelot Watmough</v>
      </c>
    </row>
    <row r="736" spans="1:11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VLOOKUP(D736,'2018_commission_structure'!$A$2:$C$4,3,FALSE)</f>
        <v>125000</v>
      </c>
      <c r="G736">
        <f>VLOOKUP(D736,'2018_commission_structure'!$A$2:$C$4,2,FALSE)</f>
        <v>75000</v>
      </c>
      <c r="H736">
        <f t="shared" si="11"/>
        <v>0</v>
      </c>
      <c r="I736">
        <f>COUNTIF(deals_closed!D:D, A736)</f>
        <v>25</v>
      </c>
      <c r="K736" t="str">
        <f>_xlfn.CONCAT(B736, " ",C736)</f>
        <v>Ramsay Dawdry</v>
      </c>
    </row>
    <row r="737" spans="1:11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VLOOKUP(D737,'2018_commission_structure'!$A$2:$C$4,3,FALSE)</f>
        <v>65000</v>
      </c>
      <c r="G737">
        <f>VLOOKUP(D737,'2018_commission_structure'!$A$2:$C$4,2,FALSE)</f>
        <v>30000</v>
      </c>
      <c r="H737">
        <f t="shared" si="11"/>
        <v>0</v>
      </c>
      <c r="I737">
        <f>COUNTIF(deals_closed!D:D, A737)</f>
        <v>17</v>
      </c>
      <c r="K737" t="str">
        <f>_xlfn.CONCAT(B737, " ",C737)</f>
        <v>Dionisio Gethyn</v>
      </c>
    </row>
    <row r="738" spans="1:11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VLOOKUP(D738,'2018_commission_structure'!$A$2:$C$4,3,FALSE)</f>
        <v>80000</v>
      </c>
      <c r="G738">
        <f>VLOOKUP(D738,'2018_commission_structure'!$A$2:$C$4,2,FALSE)</f>
        <v>50000</v>
      </c>
      <c r="H738">
        <f t="shared" si="11"/>
        <v>0</v>
      </c>
      <c r="I738">
        <f>COUNTIF(deals_closed!D:D, A738)</f>
        <v>22</v>
      </c>
      <c r="K738" t="str">
        <f>_xlfn.CONCAT(B738, " ",C738)</f>
        <v>Megan Churchard</v>
      </c>
    </row>
    <row r="739" spans="1:11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VLOOKUP(D739,'2018_commission_structure'!$A$2:$C$4,3,FALSE)</f>
        <v>80000</v>
      </c>
      <c r="G739">
        <f>VLOOKUP(D739,'2018_commission_structure'!$A$2:$C$4,2,FALSE)</f>
        <v>50000</v>
      </c>
      <c r="H739">
        <f t="shared" si="11"/>
        <v>0</v>
      </c>
      <c r="I739">
        <f>COUNTIF(deals_closed!D:D, A739)</f>
        <v>20</v>
      </c>
      <c r="K739" t="str">
        <f>_xlfn.CONCAT(B739, " ",C739)</f>
        <v>Hedwig Wooding</v>
      </c>
    </row>
    <row r="740" spans="1:11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VLOOKUP(D740,'2018_commission_structure'!$A$2:$C$4,3,FALSE)</f>
        <v>80000</v>
      </c>
      <c r="G740">
        <f>VLOOKUP(D740,'2018_commission_structure'!$A$2:$C$4,2,FALSE)</f>
        <v>50000</v>
      </c>
      <c r="H740">
        <f t="shared" si="11"/>
        <v>0</v>
      </c>
      <c r="I740">
        <f>COUNTIF(deals_closed!D:D, A740)</f>
        <v>16</v>
      </c>
      <c r="K740" t="str">
        <f>_xlfn.CONCAT(B740, " ",C740)</f>
        <v>Artie Etheredge</v>
      </c>
    </row>
    <row r="741" spans="1:11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VLOOKUP(D741,'2018_commission_structure'!$A$2:$C$4,3,FALSE)</f>
        <v>65000</v>
      </c>
      <c r="G741">
        <f>VLOOKUP(D741,'2018_commission_structure'!$A$2:$C$4,2,FALSE)</f>
        <v>30000</v>
      </c>
      <c r="H741">
        <f t="shared" si="11"/>
        <v>0</v>
      </c>
      <c r="I741">
        <f>COUNTIF(deals_closed!D:D, A741)</f>
        <v>17</v>
      </c>
      <c r="K741" t="str">
        <f>_xlfn.CONCAT(B741, " ",C741)</f>
        <v>Martyn Bunhill</v>
      </c>
    </row>
    <row r="742" spans="1:11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VLOOKUP(D742,'2018_commission_structure'!$A$2:$C$4,3,FALSE)</f>
        <v>65000</v>
      </c>
      <c r="G742">
        <f>VLOOKUP(D742,'2018_commission_structure'!$A$2:$C$4,2,FALSE)</f>
        <v>30000</v>
      </c>
      <c r="H742">
        <f t="shared" si="11"/>
        <v>0</v>
      </c>
      <c r="I742">
        <f>COUNTIF(deals_closed!D:D, A742)</f>
        <v>19</v>
      </c>
      <c r="K742" t="str">
        <f>_xlfn.CONCAT(B742, " ",C742)</f>
        <v>Rodie Elsip</v>
      </c>
    </row>
    <row r="743" spans="1:11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VLOOKUP(D743,'2018_commission_structure'!$A$2:$C$4,3,FALSE)</f>
        <v>65000</v>
      </c>
      <c r="G743">
        <f>VLOOKUP(D743,'2018_commission_structure'!$A$2:$C$4,2,FALSE)</f>
        <v>30000</v>
      </c>
      <c r="H743">
        <f t="shared" si="11"/>
        <v>0</v>
      </c>
      <c r="I743">
        <f>COUNTIF(deals_closed!D:D, A743)</f>
        <v>22</v>
      </c>
      <c r="K743" t="str">
        <f>_xlfn.CONCAT(B743, " ",C743)</f>
        <v>Colline Openshaw</v>
      </c>
    </row>
    <row r="744" spans="1:11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VLOOKUP(D744,'2018_commission_structure'!$A$2:$C$4,3,FALSE)</f>
        <v>80000</v>
      </c>
      <c r="G744">
        <f>VLOOKUP(D744,'2018_commission_structure'!$A$2:$C$4,2,FALSE)</f>
        <v>50000</v>
      </c>
      <c r="H744">
        <f t="shared" si="11"/>
        <v>0</v>
      </c>
      <c r="I744">
        <f>COUNTIF(deals_closed!D:D, A744)</f>
        <v>23</v>
      </c>
      <c r="K744" t="str">
        <f>_xlfn.CONCAT(B744, " ",C744)</f>
        <v>Arline Fallowes</v>
      </c>
    </row>
    <row r="745" spans="1:11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VLOOKUP(D745,'2018_commission_structure'!$A$2:$C$4,3,FALSE)</f>
        <v>125000</v>
      </c>
      <c r="G745">
        <f>VLOOKUP(D745,'2018_commission_structure'!$A$2:$C$4,2,FALSE)</f>
        <v>75000</v>
      </c>
      <c r="H745">
        <f t="shared" si="11"/>
        <v>0</v>
      </c>
      <c r="I745">
        <f>COUNTIF(deals_closed!D:D, A745)</f>
        <v>17</v>
      </c>
      <c r="K745" t="str">
        <f>_xlfn.CONCAT(B745, " ",C745)</f>
        <v>Henka McInulty</v>
      </c>
    </row>
    <row r="746" spans="1:11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VLOOKUP(D746,'2018_commission_structure'!$A$2:$C$4,3,FALSE)</f>
        <v>80000</v>
      </c>
      <c r="G746">
        <f>VLOOKUP(D746,'2018_commission_structure'!$A$2:$C$4,2,FALSE)</f>
        <v>50000</v>
      </c>
      <c r="H746">
        <f t="shared" si="11"/>
        <v>0</v>
      </c>
      <c r="I746">
        <f>COUNTIF(deals_closed!D:D, A746)</f>
        <v>22</v>
      </c>
      <c r="K746" t="str">
        <f>_xlfn.CONCAT(B746, " ",C746)</f>
        <v>Andre Wemyss</v>
      </c>
    </row>
    <row r="747" spans="1:11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VLOOKUP(D747,'2018_commission_structure'!$A$2:$C$4,3,FALSE)</f>
        <v>80000</v>
      </c>
      <c r="G747">
        <f>VLOOKUP(D747,'2018_commission_structure'!$A$2:$C$4,2,FALSE)</f>
        <v>50000</v>
      </c>
      <c r="H747">
        <f t="shared" si="11"/>
        <v>0</v>
      </c>
      <c r="I747">
        <f>COUNTIF(deals_closed!D:D, A747)</f>
        <v>25</v>
      </c>
      <c r="K747" t="str">
        <f>_xlfn.CONCAT(B747, " ",C747)</f>
        <v>Filbert Dahle</v>
      </c>
    </row>
    <row r="748" spans="1:11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VLOOKUP(D748,'2018_commission_structure'!$A$2:$C$4,3,FALSE)</f>
        <v>80000</v>
      </c>
      <c r="G748">
        <f>VLOOKUP(D748,'2018_commission_structure'!$A$2:$C$4,2,FALSE)</f>
        <v>50000</v>
      </c>
      <c r="H748">
        <f t="shared" si="11"/>
        <v>0</v>
      </c>
      <c r="I748">
        <f>COUNTIF(deals_closed!D:D, A748)</f>
        <v>20</v>
      </c>
      <c r="K748" t="str">
        <f>_xlfn.CONCAT(B748, " ",C748)</f>
        <v>Fredelia Gianetti</v>
      </c>
    </row>
    <row r="749" spans="1:11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VLOOKUP(D749,'2018_commission_structure'!$A$2:$C$4,3,FALSE)</f>
        <v>125000</v>
      </c>
      <c r="G749">
        <f>VLOOKUP(D749,'2018_commission_structure'!$A$2:$C$4,2,FALSE)</f>
        <v>75000</v>
      </c>
      <c r="H749">
        <f t="shared" si="11"/>
        <v>0</v>
      </c>
      <c r="I749">
        <f>COUNTIF(deals_closed!D:D, A749)</f>
        <v>19</v>
      </c>
      <c r="K749" t="str">
        <f>_xlfn.CONCAT(B749, " ",C749)</f>
        <v>Rubin Crummay</v>
      </c>
    </row>
    <row r="750" spans="1:11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VLOOKUP(D750,'2018_commission_structure'!$A$2:$C$4,3,FALSE)</f>
        <v>65000</v>
      </c>
      <c r="G750">
        <f>VLOOKUP(D750,'2018_commission_structure'!$A$2:$C$4,2,FALSE)</f>
        <v>30000</v>
      </c>
      <c r="H750">
        <f t="shared" si="11"/>
        <v>0</v>
      </c>
      <c r="I750">
        <f>COUNTIF(deals_closed!D:D, A750)</f>
        <v>17</v>
      </c>
      <c r="K750" t="str">
        <f>_xlfn.CONCAT(B750, " ",C750)</f>
        <v>Doria Lidgertwood</v>
      </c>
    </row>
    <row r="751" spans="1:11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VLOOKUP(D751,'2018_commission_structure'!$A$2:$C$4,3,FALSE)</f>
        <v>65000</v>
      </c>
      <c r="G751">
        <f>VLOOKUP(D751,'2018_commission_structure'!$A$2:$C$4,2,FALSE)</f>
        <v>30000</v>
      </c>
      <c r="H751">
        <f t="shared" si="11"/>
        <v>0</v>
      </c>
      <c r="I751">
        <f>COUNTIF(deals_closed!D:D, A751)</f>
        <v>18</v>
      </c>
      <c r="K751" t="str">
        <f>_xlfn.CONCAT(B751, " ",C751)</f>
        <v>Moses Keymar</v>
      </c>
    </row>
    <row r="752" spans="1:11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VLOOKUP(D752,'2018_commission_structure'!$A$2:$C$4,3,FALSE)</f>
        <v>125000</v>
      </c>
      <c r="G752">
        <f>VLOOKUP(D752,'2018_commission_structure'!$A$2:$C$4,2,FALSE)</f>
        <v>75000</v>
      </c>
      <c r="H752">
        <f t="shared" si="11"/>
        <v>0</v>
      </c>
      <c r="I752">
        <f>COUNTIF(deals_closed!D:D, A752)</f>
        <v>24</v>
      </c>
      <c r="K752" t="str">
        <f>_xlfn.CONCAT(B752, " ",C752)</f>
        <v>Frankie Witnall</v>
      </c>
    </row>
    <row r="753" spans="1:11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VLOOKUP(D753,'2018_commission_structure'!$A$2:$C$4,3,FALSE)</f>
        <v>80000</v>
      </c>
      <c r="G753">
        <f>VLOOKUP(D753,'2018_commission_structure'!$A$2:$C$4,2,FALSE)</f>
        <v>50000</v>
      </c>
      <c r="H753">
        <f t="shared" si="11"/>
        <v>0</v>
      </c>
      <c r="I753">
        <f>COUNTIF(deals_closed!D:D, A753)</f>
        <v>14</v>
      </c>
      <c r="K753" t="str">
        <f>_xlfn.CONCAT(B753, " ",C753)</f>
        <v>Sherilyn Barendtsen</v>
      </c>
    </row>
    <row r="754" spans="1:11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VLOOKUP(D754,'2018_commission_structure'!$A$2:$C$4,3,FALSE)</f>
        <v>125000</v>
      </c>
      <c r="G754">
        <f>VLOOKUP(D754,'2018_commission_structure'!$A$2:$C$4,2,FALSE)</f>
        <v>75000</v>
      </c>
      <c r="H754">
        <f t="shared" si="11"/>
        <v>0</v>
      </c>
      <c r="I754">
        <f>COUNTIF(deals_closed!D:D, A754)</f>
        <v>10</v>
      </c>
      <c r="K754" t="str">
        <f>_xlfn.CONCAT(B754, " ",C754)</f>
        <v>Broderic Osbourne</v>
      </c>
    </row>
    <row r="755" spans="1:11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VLOOKUP(D755,'2018_commission_structure'!$A$2:$C$4,3,FALSE)</f>
        <v>65000</v>
      </c>
      <c r="G755">
        <f>VLOOKUP(D755,'2018_commission_structure'!$A$2:$C$4,2,FALSE)</f>
        <v>30000</v>
      </c>
      <c r="H755">
        <f t="shared" si="11"/>
        <v>0</v>
      </c>
      <c r="I755">
        <f>COUNTIF(deals_closed!D:D, A755)</f>
        <v>28</v>
      </c>
      <c r="K755" t="str">
        <f>_xlfn.CONCAT(B755, " ",C755)</f>
        <v>Conny Sommerly</v>
      </c>
    </row>
    <row r="756" spans="1:11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VLOOKUP(D756,'2018_commission_structure'!$A$2:$C$4,3,FALSE)</f>
        <v>125000</v>
      </c>
      <c r="G756">
        <f>VLOOKUP(D756,'2018_commission_structure'!$A$2:$C$4,2,FALSE)</f>
        <v>75000</v>
      </c>
      <c r="H756">
        <f t="shared" si="11"/>
        <v>0</v>
      </c>
      <c r="I756">
        <f>COUNTIF(deals_closed!D:D, A756)</f>
        <v>15</v>
      </c>
      <c r="K756" t="str">
        <f>_xlfn.CONCAT(B756, " ",C756)</f>
        <v>Arabel Denison</v>
      </c>
    </row>
    <row r="757" spans="1:11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VLOOKUP(D757,'2018_commission_structure'!$A$2:$C$4,3,FALSE)</f>
        <v>125000</v>
      </c>
      <c r="G757">
        <f>VLOOKUP(D757,'2018_commission_structure'!$A$2:$C$4,2,FALSE)</f>
        <v>75000</v>
      </c>
      <c r="H757">
        <f t="shared" si="11"/>
        <v>0</v>
      </c>
      <c r="I757">
        <f>COUNTIF(deals_closed!D:D, A757)</f>
        <v>19</v>
      </c>
      <c r="K757" t="str">
        <f>_xlfn.CONCAT(B757, " ",C757)</f>
        <v>Hugo Mowbray</v>
      </c>
    </row>
    <row r="758" spans="1:11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VLOOKUP(D758,'2018_commission_structure'!$A$2:$C$4,3,FALSE)</f>
        <v>80000</v>
      </c>
      <c r="G758">
        <f>VLOOKUP(D758,'2018_commission_structure'!$A$2:$C$4,2,FALSE)</f>
        <v>50000</v>
      </c>
      <c r="H758">
        <f t="shared" si="11"/>
        <v>0</v>
      </c>
      <c r="I758">
        <f>COUNTIF(deals_closed!D:D, A758)</f>
        <v>20</v>
      </c>
      <c r="K758" t="str">
        <f>_xlfn.CONCAT(B758, " ",C758)</f>
        <v>Joye Mepham</v>
      </c>
    </row>
    <row r="759" spans="1:11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VLOOKUP(D759,'2018_commission_structure'!$A$2:$C$4,3,FALSE)</f>
        <v>125000</v>
      </c>
      <c r="G759">
        <f>VLOOKUP(D759,'2018_commission_structure'!$A$2:$C$4,2,FALSE)</f>
        <v>75000</v>
      </c>
      <c r="H759">
        <f t="shared" si="11"/>
        <v>0</v>
      </c>
      <c r="I759">
        <f>COUNTIF(deals_closed!D:D, A759)</f>
        <v>25</v>
      </c>
      <c r="K759" t="str">
        <f>_xlfn.CONCAT(B759, " ",C759)</f>
        <v>Doralia Robshaw</v>
      </c>
    </row>
    <row r="760" spans="1:11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VLOOKUP(D760,'2018_commission_structure'!$A$2:$C$4,3,FALSE)</f>
        <v>65000</v>
      </c>
      <c r="G760">
        <f>VLOOKUP(D760,'2018_commission_structure'!$A$2:$C$4,2,FALSE)</f>
        <v>30000</v>
      </c>
      <c r="H760">
        <f t="shared" si="11"/>
        <v>0</v>
      </c>
      <c r="I760">
        <f>COUNTIF(deals_closed!D:D, A760)</f>
        <v>18</v>
      </c>
      <c r="K760" t="str">
        <f>_xlfn.CONCAT(B760, " ",C760)</f>
        <v>Donnell Preon</v>
      </c>
    </row>
    <row r="761" spans="1:11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VLOOKUP(D761,'2018_commission_structure'!$A$2:$C$4,3,FALSE)</f>
        <v>80000</v>
      </c>
      <c r="G761">
        <f>VLOOKUP(D761,'2018_commission_structure'!$A$2:$C$4,2,FALSE)</f>
        <v>50000</v>
      </c>
      <c r="H761">
        <f t="shared" si="11"/>
        <v>0</v>
      </c>
      <c r="I761">
        <f>COUNTIF(deals_closed!D:D, A761)</f>
        <v>24</v>
      </c>
      <c r="K761" t="str">
        <f>_xlfn.CONCAT(B761, " ",C761)</f>
        <v>Beitris Naulty</v>
      </c>
    </row>
    <row r="762" spans="1:11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VLOOKUP(D762,'2018_commission_structure'!$A$2:$C$4,3,FALSE)</f>
        <v>65000</v>
      </c>
      <c r="G762">
        <f>VLOOKUP(D762,'2018_commission_structure'!$A$2:$C$4,2,FALSE)</f>
        <v>30000</v>
      </c>
      <c r="H762">
        <f t="shared" si="11"/>
        <v>0</v>
      </c>
      <c r="I762">
        <f>COUNTIF(deals_closed!D:D, A762)</f>
        <v>20</v>
      </c>
      <c r="K762" t="str">
        <f>_xlfn.CONCAT(B762, " ",C762)</f>
        <v>Kyle Molan</v>
      </c>
    </row>
    <row r="763" spans="1:11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VLOOKUP(D763,'2018_commission_structure'!$A$2:$C$4,3,FALSE)</f>
        <v>65000</v>
      </c>
      <c r="G763">
        <f>VLOOKUP(D763,'2018_commission_structure'!$A$2:$C$4,2,FALSE)</f>
        <v>30000</v>
      </c>
      <c r="H763">
        <f t="shared" si="11"/>
        <v>0</v>
      </c>
      <c r="I763">
        <f>COUNTIF(deals_closed!D:D, A763)</f>
        <v>19</v>
      </c>
      <c r="K763" t="str">
        <f>_xlfn.CONCAT(B763, " ",C763)</f>
        <v>Sidnee Chalkly</v>
      </c>
    </row>
    <row r="764" spans="1:11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VLOOKUP(D764,'2018_commission_structure'!$A$2:$C$4,3,FALSE)</f>
        <v>65000</v>
      </c>
      <c r="G764">
        <f>VLOOKUP(D764,'2018_commission_structure'!$A$2:$C$4,2,FALSE)</f>
        <v>30000</v>
      </c>
      <c r="H764">
        <f t="shared" si="11"/>
        <v>0</v>
      </c>
      <c r="I764">
        <f>COUNTIF(deals_closed!D:D, A764)</f>
        <v>29</v>
      </c>
      <c r="K764" t="str">
        <f>_xlfn.CONCAT(B764, " ",C764)</f>
        <v>Zebadiah Parham</v>
      </c>
    </row>
    <row r="765" spans="1:11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VLOOKUP(D765,'2018_commission_structure'!$A$2:$C$4,3,FALSE)</f>
        <v>80000</v>
      </c>
      <c r="G765">
        <f>VLOOKUP(D765,'2018_commission_structure'!$A$2:$C$4,2,FALSE)</f>
        <v>50000</v>
      </c>
      <c r="H765">
        <f t="shared" si="11"/>
        <v>0</v>
      </c>
      <c r="I765">
        <f>COUNTIF(deals_closed!D:D, A765)</f>
        <v>19</v>
      </c>
      <c r="K765" t="str">
        <f>_xlfn.CONCAT(B765, " ",C765)</f>
        <v>Veriee McGillacoell</v>
      </c>
    </row>
    <row r="766" spans="1:11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VLOOKUP(D766,'2018_commission_structure'!$A$2:$C$4,3,FALSE)</f>
        <v>80000</v>
      </c>
      <c r="G766">
        <f>VLOOKUP(D766,'2018_commission_structure'!$A$2:$C$4,2,FALSE)</f>
        <v>50000</v>
      </c>
      <c r="H766">
        <f t="shared" si="11"/>
        <v>0</v>
      </c>
      <c r="I766">
        <f>COUNTIF(deals_closed!D:D, A766)</f>
        <v>22</v>
      </c>
      <c r="K766" t="str">
        <f>_xlfn.CONCAT(B766, " ",C766)</f>
        <v>Ingar Halpine</v>
      </c>
    </row>
    <row r="767" spans="1:11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VLOOKUP(D767,'2018_commission_structure'!$A$2:$C$4,3,FALSE)</f>
        <v>80000</v>
      </c>
      <c r="G767">
        <f>VLOOKUP(D767,'2018_commission_structure'!$A$2:$C$4,2,FALSE)</f>
        <v>50000</v>
      </c>
      <c r="H767">
        <f t="shared" si="11"/>
        <v>0</v>
      </c>
      <c r="I767">
        <f>COUNTIF(deals_closed!D:D, A767)</f>
        <v>16</v>
      </c>
      <c r="K767" t="str">
        <f>_xlfn.CONCAT(B767, " ",C767)</f>
        <v>Cyndia Fratson</v>
      </c>
    </row>
    <row r="768" spans="1:11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VLOOKUP(D768,'2018_commission_structure'!$A$2:$C$4,3,FALSE)</f>
        <v>80000</v>
      </c>
      <c r="G768">
        <f>VLOOKUP(D768,'2018_commission_structure'!$A$2:$C$4,2,FALSE)</f>
        <v>50000</v>
      </c>
      <c r="H768">
        <f t="shared" si="11"/>
        <v>0</v>
      </c>
      <c r="I768">
        <f>COUNTIF(deals_closed!D:D, A768)</f>
        <v>23</v>
      </c>
      <c r="K768" t="str">
        <f>_xlfn.CONCAT(B768, " ",C768)</f>
        <v>Merrel Pomphrey</v>
      </c>
    </row>
    <row r="769" spans="1:11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VLOOKUP(D769,'2018_commission_structure'!$A$2:$C$4,3,FALSE)</f>
        <v>65000</v>
      </c>
      <c r="G769">
        <f>VLOOKUP(D769,'2018_commission_structure'!$A$2:$C$4,2,FALSE)</f>
        <v>30000</v>
      </c>
      <c r="H769">
        <f t="shared" si="11"/>
        <v>0</v>
      </c>
      <c r="I769">
        <f>COUNTIF(deals_closed!D:D, A769)</f>
        <v>15</v>
      </c>
      <c r="K769" t="str">
        <f>_xlfn.CONCAT(B769, " ",C769)</f>
        <v>Craggie Paradin</v>
      </c>
    </row>
    <row r="770" spans="1:11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VLOOKUP(D770,'2018_commission_structure'!$A$2:$C$4,3,FALSE)</f>
        <v>80000</v>
      </c>
      <c r="G770">
        <f>VLOOKUP(D770,'2018_commission_structure'!$A$2:$C$4,2,FALSE)</f>
        <v>50000</v>
      </c>
      <c r="H770">
        <f t="shared" si="11"/>
        <v>0</v>
      </c>
      <c r="I770">
        <f>COUNTIF(deals_closed!D:D, A770)</f>
        <v>16</v>
      </c>
      <c r="K770" t="str">
        <f>_xlfn.CONCAT(B770, " ",C770)</f>
        <v>Nicolette Matityahu</v>
      </c>
    </row>
    <row r="771" spans="1:11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VLOOKUP(D771,'2018_commission_structure'!$A$2:$C$4,3,FALSE)</f>
        <v>125000</v>
      </c>
      <c r="G771">
        <f>VLOOKUP(D771,'2018_commission_structure'!$A$2:$C$4,2,FALSE)</f>
        <v>75000</v>
      </c>
      <c r="H771">
        <f t="shared" ref="H771:H834" si="12">IF(AND(E771&gt;=G771,E771&lt;=F771),0,1)</f>
        <v>0</v>
      </c>
      <c r="I771">
        <f>COUNTIF(deals_closed!D:D, A771)</f>
        <v>23</v>
      </c>
      <c r="K771" t="str">
        <f>_xlfn.CONCAT(B771, " ",C771)</f>
        <v>Gaby Shilston</v>
      </c>
    </row>
    <row r="772" spans="1:11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VLOOKUP(D772,'2018_commission_structure'!$A$2:$C$4,3,FALSE)</f>
        <v>125000</v>
      </c>
      <c r="G772">
        <f>VLOOKUP(D772,'2018_commission_structure'!$A$2:$C$4,2,FALSE)</f>
        <v>75000</v>
      </c>
      <c r="H772">
        <f t="shared" si="12"/>
        <v>0</v>
      </c>
      <c r="I772">
        <f>COUNTIF(deals_closed!D:D, A772)</f>
        <v>22</v>
      </c>
      <c r="K772" t="str">
        <f>_xlfn.CONCAT(B772, " ",C772)</f>
        <v>Adolpho Wickersham</v>
      </c>
    </row>
    <row r="773" spans="1:11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VLOOKUP(D773,'2018_commission_structure'!$A$2:$C$4,3,FALSE)</f>
        <v>125000</v>
      </c>
      <c r="G773">
        <f>VLOOKUP(D773,'2018_commission_structure'!$A$2:$C$4,2,FALSE)</f>
        <v>75000</v>
      </c>
      <c r="H773">
        <f t="shared" si="12"/>
        <v>0</v>
      </c>
      <c r="I773">
        <f>COUNTIF(deals_closed!D:D, A773)</f>
        <v>18</v>
      </c>
      <c r="K773" t="str">
        <f>_xlfn.CONCAT(B773, " ",C773)</f>
        <v>Chaddie Record</v>
      </c>
    </row>
    <row r="774" spans="1:11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VLOOKUP(D774,'2018_commission_structure'!$A$2:$C$4,3,FALSE)</f>
        <v>65000</v>
      </c>
      <c r="G774">
        <f>VLOOKUP(D774,'2018_commission_structure'!$A$2:$C$4,2,FALSE)</f>
        <v>30000</v>
      </c>
      <c r="H774">
        <f t="shared" si="12"/>
        <v>0</v>
      </c>
      <c r="I774">
        <f>COUNTIF(deals_closed!D:D, A774)</f>
        <v>15</v>
      </c>
      <c r="K774" t="str">
        <f>_xlfn.CONCAT(B774, " ",C774)</f>
        <v>Leicester Blonden</v>
      </c>
    </row>
    <row r="775" spans="1:11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VLOOKUP(D775,'2018_commission_structure'!$A$2:$C$4,3,FALSE)</f>
        <v>125000</v>
      </c>
      <c r="G775">
        <f>VLOOKUP(D775,'2018_commission_structure'!$A$2:$C$4,2,FALSE)</f>
        <v>75000</v>
      </c>
      <c r="H775">
        <f t="shared" si="12"/>
        <v>0</v>
      </c>
      <c r="I775">
        <f>COUNTIF(deals_closed!D:D, A775)</f>
        <v>17</v>
      </c>
      <c r="K775" t="str">
        <f>_xlfn.CONCAT(B775, " ",C775)</f>
        <v>Rouvin Bavister</v>
      </c>
    </row>
    <row r="776" spans="1:11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VLOOKUP(D776,'2018_commission_structure'!$A$2:$C$4,3,FALSE)</f>
        <v>80000</v>
      </c>
      <c r="G776">
        <f>VLOOKUP(D776,'2018_commission_structure'!$A$2:$C$4,2,FALSE)</f>
        <v>50000</v>
      </c>
      <c r="H776">
        <f t="shared" si="12"/>
        <v>0</v>
      </c>
      <c r="I776">
        <f>COUNTIF(deals_closed!D:D, A776)</f>
        <v>17</v>
      </c>
      <c r="K776" t="str">
        <f>_xlfn.CONCAT(B776, " ",C776)</f>
        <v>Elmore Gianullo</v>
      </c>
    </row>
    <row r="777" spans="1:11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VLOOKUP(D777,'2018_commission_structure'!$A$2:$C$4,3,FALSE)</f>
        <v>80000</v>
      </c>
      <c r="G777">
        <f>VLOOKUP(D777,'2018_commission_structure'!$A$2:$C$4,2,FALSE)</f>
        <v>50000</v>
      </c>
      <c r="H777">
        <f t="shared" si="12"/>
        <v>0</v>
      </c>
      <c r="I777">
        <f>COUNTIF(deals_closed!D:D, A777)</f>
        <v>19</v>
      </c>
      <c r="K777" t="str">
        <f>_xlfn.CONCAT(B777, " ",C777)</f>
        <v>Jourdain Patience</v>
      </c>
    </row>
    <row r="778" spans="1:11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VLOOKUP(D778,'2018_commission_structure'!$A$2:$C$4,3,FALSE)</f>
        <v>65000</v>
      </c>
      <c r="G778">
        <f>VLOOKUP(D778,'2018_commission_structure'!$A$2:$C$4,2,FALSE)</f>
        <v>30000</v>
      </c>
      <c r="H778">
        <f t="shared" si="12"/>
        <v>0</v>
      </c>
      <c r="I778">
        <f>COUNTIF(deals_closed!D:D, A778)</f>
        <v>24</v>
      </c>
      <c r="K778" t="str">
        <f>_xlfn.CONCAT(B778, " ",C778)</f>
        <v>Richmound Satyford</v>
      </c>
    </row>
    <row r="779" spans="1:11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VLOOKUP(D779,'2018_commission_structure'!$A$2:$C$4,3,FALSE)</f>
        <v>65000</v>
      </c>
      <c r="G779">
        <f>VLOOKUP(D779,'2018_commission_structure'!$A$2:$C$4,2,FALSE)</f>
        <v>30000</v>
      </c>
      <c r="H779">
        <f t="shared" si="12"/>
        <v>0</v>
      </c>
      <c r="I779">
        <f>COUNTIF(deals_closed!D:D, A779)</f>
        <v>20</v>
      </c>
      <c r="K779" t="str">
        <f>_xlfn.CONCAT(B779, " ",C779)</f>
        <v>Maighdiln Payfoot</v>
      </c>
    </row>
    <row r="780" spans="1:11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VLOOKUP(D780,'2018_commission_structure'!$A$2:$C$4,3,FALSE)</f>
        <v>80000</v>
      </c>
      <c r="G780">
        <f>VLOOKUP(D780,'2018_commission_structure'!$A$2:$C$4,2,FALSE)</f>
        <v>50000</v>
      </c>
      <c r="H780">
        <f t="shared" si="12"/>
        <v>0</v>
      </c>
      <c r="I780">
        <f>COUNTIF(deals_closed!D:D, A780)</f>
        <v>25</v>
      </c>
      <c r="K780" t="str">
        <f>_xlfn.CONCAT(B780, " ",C780)</f>
        <v>Eddy Shilston</v>
      </c>
    </row>
    <row r="781" spans="1:11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VLOOKUP(D781,'2018_commission_structure'!$A$2:$C$4,3,FALSE)</f>
        <v>65000</v>
      </c>
      <c r="G781">
        <f>VLOOKUP(D781,'2018_commission_structure'!$A$2:$C$4,2,FALSE)</f>
        <v>30000</v>
      </c>
      <c r="H781">
        <f t="shared" si="12"/>
        <v>0</v>
      </c>
      <c r="I781">
        <f>COUNTIF(deals_closed!D:D, A781)</f>
        <v>26</v>
      </c>
      <c r="K781" t="str">
        <f>_xlfn.CONCAT(B781, " ",C781)</f>
        <v>Amalee Shaddock</v>
      </c>
    </row>
    <row r="782" spans="1:11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VLOOKUP(D782,'2018_commission_structure'!$A$2:$C$4,3,FALSE)</f>
        <v>80000</v>
      </c>
      <c r="G782">
        <f>VLOOKUP(D782,'2018_commission_structure'!$A$2:$C$4,2,FALSE)</f>
        <v>50000</v>
      </c>
      <c r="H782">
        <f t="shared" si="12"/>
        <v>0</v>
      </c>
      <c r="I782">
        <f>COUNTIF(deals_closed!D:D, A782)</f>
        <v>18</v>
      </c>
      <c r="K782" t="str">
        <f>_xlfn.CONCAT(B782, " ",C782)</f>
        <v>Marysa Skalls</v>
      </c>
    </row>
    <row r="783" spans="1:11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VLOOKUP(D783,'2018_commission_structure'!$A$2:$C$4,3,FALSE)</f>
        <v>65000</v>
      </c>
      <c r="G783">
        <f>VLOOKUP(D783,'2018_commission_structure'!$A$2:$C$4,2,FALSE)</f>
        <v>30000</v>
      </c>
      <c r="H783">
        <f t="shared" si="12"/>
        <v>0</v>
      </c>
      <c r="I783">
        <f>COUNTIF(deals_closed!D:D, A783)</f>
        <v>18</v>
      </c>
      <c r="K783" t="str">
        <f>_xlfn.CONCAT(B783, " ",C783)</f>
        <v>Morty Kettlestringes</v>
      </c>
    </row>
    <row r="784" spans="1:11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VLOOKUP(D784,'2018_commission_structure'!$A$2:$C$4,3,FALSE)</f>
        <v>80000</v>
      </c>
      <c r="G784">
        <f>VLOOKUP(D784,'2018_commission_structure'!$A$2:$C$4,2,FALSE)</f>
        <v>50000</v>
      </c>
      <c r="H784">
        <f t="shared" si="12"/>
        <v>0</v>
      </c>
      <c r="I784">
        <f>COUNTIF(deals_closed!D:D, A784)</f>
        <v>14</v>
      </c>
      <c r="K784" t="str">
        <f>_xlfn.CONCAT(B784, " ",C784)</f>
        <v>Juditha Robe</v>
      </c>
    </row>
    <row r="785" spans="1:11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VLOOKUP(D785,'2018_commission_structure'!$A$2:$C$4,3,FALSE)</f>
        <v>125000</v>
      </c>
      <c r="G785">
        <f>VLOOKUP(D785,'2018_commission_structure'!$A$2:$C$4,2,FALSE)</f>
        <v>75000</v>
      </c>
      <c r="H785">
        <f t="shared" si="12"/>
        <v>0</v>
      </c>
      <c r="I785">
        <f>COUNTIF(deals_closed!D:D, A785)</f>
        <v>21</v>
      </c>
      <c r="K785" t="str">
        <f>_xlfn.CONCAT(B785, " ",C785)</f>
        <v>Winston Pech</v>
      </c>
    </row>
    <row r="786" spans="1:11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VLOOKUP(D786,'2018_commission_structure'!$A$2:$C$4,3,FALSE)</f>
        <v>125000</v>
      </c>
      <c r="G786">
        <f>VLOOKUP(D786,'2018_commission_structure'!$A$2:$C$4,2,FALSE)</f>
        <v>75000</v>
      </c>
      <c r="H786">
        <f t="shared" si="12"/>
        <v>0</v>
      </c>
      <c r="I786">
        <f>COUNTIF(deals_closed!D:D, A786)</f>
        <v>21</v>
      </c>
      <c r="K786" t="str">
        <f>_xlfn.CONCAT(B786, " ",C786)</f>
        <v>Brandtr Lathwood</v>
      </c>
    </row>
    <row r="787" spans="1:11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VLOOKUP(D787,'2018_commission_structure'!$A$2:$C$4,3,FALSE)</f>
        <v>125000</v>
      </c>
      <c r="G787">
        <f>VLOOKUP(D787,'2018_commission_structure'!$A$2:$C$4,2,FALSE)</f>
        <v>75000</v>
      </c>
      <c r="H787">
        <f t="shared" si="12"/>
        <v>0</v>
      </c>
      <c r="I787">
        <f>COUNTIF(deals_closed!D:D, A787)</f>
        <v>22</v>
      </c>
      <c r="K787" t="str">
        <f>_xlfn.CONCAT(B787, " ",C787)</f>
        <v>Emelyne Rochford</v>
      </c>
    </row>
    <row r="788" spans="1:11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VLOOKUP(D788,'2018_commission_structure'!$A$2:$C$4,3,FALSE)</f>
        <v>125000</v>
      </c>
      <c r="G788">
        <f>VLOOKUP(D788,'2018_commission_structure'!$A$2:$C$4,2,FALSE)</f>
        <v>75000</v>
      </c>
      <c r="H788">
        <f t="shared" si="12"/>
        <v>0</v>
      </c>
      <c r="I788">
        <f>COUNTIF(deals_closed!D:D, A788)</f>
        <v>31</v>
      </c>
      <c r="K788" t="str">
        <f>_xlfn.CONCAT(B788, " ",C788)</f>
        <v>Amalle Reymers</v>
      </c>
    </row>
    <row r="789" spans="1:11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VLOOKUP(D789,'2018_commission_structure'!$A$2:$C$4,3,FALSE)</f>
        <v>125000</v>
      </c>
      <c r="G789">
        <f>VLOOKUP(D789,'2018_commission_structure'!$A$2:$C$4,2,FALSE)</f>
        <v>75000</v>
      </c>
      <c r="H789">
        <f t="shared" si="12"/>
        <v>0</v>
      </c>
      <c r="I789">
        <f>COUNTIF(deals_closed!D:D, A789)</f>
        <v>21</v>
      </c>
      <c r="K789" t="str">
        <f>_xlfn.CONCAT(B789, " ",C789)</f>
        <v>Antonella Horrod</v>
      </c>
    </row>
    <row r="790" spans="1:11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VLOOKUP(D790,'2018_commission_structure'!$A$2:$C$4,3,FALSE)</f>
        <v>65000</v>
      </c>
      <c r="G790">
        <f>VLOOKUP(D790,'2018_commission_structure'!$A$2:$C$4,2,FALSE)</f>
        <v>30000</v>
      </c>
      <c r="H790">
        <f t="shared" si="12"/>
        <v>0</v>
      </c>
      <c r="I790">
        <f>COUNTIF(deals_closed!D:D, A790)</f>
        <v>16</v>
      </c>
      <c r="K790" t="str">
        <f>_xlfn.CONCAT(B790, " ",C790)</f>
        <v>Junina Galland</v>
      </c>
    </row>
    <row r="791" spans="1:11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VLOOKUP(D791,'2018_commission_structure'!$A$2:$C$4,3,FALSE)</f>
        <v>65000</v>
      </c>
      <c r="G791">
        <f>VLOOKUP(D791,'2018_commission_structure'!$A$2:$C$4,2,FALSE)</f>
        <v>30000</v>
      </c>
      <c r="H791">
        <f t="shared" si="12"/>
        <v>0</v>
      </c>
      <c r="I791">
        <f>COUNTIF(deals_closed!D:D, A791)</f>
        <v>27</v>
      </c>
      <c r="K791" t="str">
        <f>_xlfn.CONCAT(B791, " ",C791)</f>
        <v>Dewie Dory</v>
      </c>
    </row>
    <row r="792" spans="1:11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VLOOKUP(D792,'2018_commission_structure'!$A$2:$C$4,3,FALSE)</f>
        <v>80000</v>
      </c>
      <c r="G792">
        <f>VLOOKUP(D792,'2018_commission_structure'!$A$2:$C$4,2,FALSE)</f>
        <v>50000</v>
      </c>
      <c r="H792">
        <f t="shared" si="12"/>
        <v>0</v>
      </c>
      <c r="I792">
        <f>COUNTIF(deals_closed!D:D, A792)</f>
        <v>24</v>
      </c>
      <c r="K792" t="str">
        <f>_xlfn.CONCAT(B792, " ",C792)</f>
        <v>Barbara Locker</v>
      </c>
    </row>
    <row r="793" spans="1:11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VLOOKUP(D793,'2018_commission_structure'!$A$2:$C$4,3,FALSE)</f>
        <v>65000</v>
      </c>
      <c r="G793">
        <f>VLOOKUP(D793,'2018_commission_structure'!$A$2:$C$4,2,FALSE)</f>
        <v>30000</v>
      </c>
      <c r="H793">
        <f t="shared" si="12"/>
        <v>0</v>
      </c>
      <c r="I793">
        <f>COUNTIF(deals_closed!D:D, A793)</f>
        <v>20</v>
      </c>
      <c r="K793" t="str">
        <f>_xlfn.CONCAT(B793, " ",C793)</f>
        <v>Gill Labrum</v>
      </c>
    </row>
    <row r="794" spans="1:11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VLOOKUP(D794,'2018_commission_structure'!$A$2:$C$4,3,FALSE)</f>
        <v>125000</v>
      </c>
      <c r="G794">
        <f>VLOOKUP(D794,'2018_commission_structure'!$A$2:$C$4,2,FALSE)</f>
        <v>75000</v>
      </c>
      <c r="H794">
        <f t="shared" si="12"/>
        <v>0</v>
      </c>
      <c r="I794">
        <f>COUNTIF(deals_closed!D:D, A794)</f>
        <v>25</v>
      </c>
      <c r="K794" t="str">
        <f>_xlfn.CONCAT(B794, " ",C794)</f>
        <v>Melisse Hartill</v>
      </c>
    </row>
    <row r="795" spans="1:11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VLOOKUP(D795,'2018_commission_structure'!$A$2:$C$4,3,FALSE)</f>
        <v>80000</v>
      </c>
      <c r="G795">
        <f>VLOOKUP(D795,'2018_commission_structure'!$A$2:$C$4,2,FALSE)</f>
        <v>50000</v>
      </c>
      <c r="H795">
        <f t="shared" si="12"/>
        <v>0</v>
      </c>
      <c r="I795">
        <f>COUNTIF(deals_closed!D:D, A795)</f>
        <v>23</v>
      </c>
      <c r="K795" t="str">
        <f>_xlfn.CONCAT(B795, " ",C795)</f>
        <v>Lionello Grogono</v>
      </c>
    </row>
    <row r="796" spans="1:11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VLOOKUP(D796,'2018_commission_structure'!$A$2:$C$4,3,FALSE)</f>
        <v>80000</v>
      </c>
      <c r="G796">
        <f>VLOOKUP(D796,'2018_commission_structure'!$A$2:$C$4,2,FALSE)</f>
        <v>50000</v>
      </c>
      <c r="H796">
        <f t="shared" si="12"/>
        <v>0</v>
      </c>
      <c r="I796">
        <f>COUNTIF(deals_closed!D:D, A796)</f>
        <v>12</v>
      </c>
      <c r="K796" t="str">
        <f>_xlfn.CONCAT(B796, " ",C796)</f>
        <v>Rodrique Filon</v>
      </c>
    </row>
    <row r="797" spans="1:11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VLOOKUP(D797,'2018_commission_structure'!$A$2:$C$4,3,FALSE)</f>
        <v>125000</v>
      </c>
      <c r="G797">
        <f>VLOOKUP(D797,'2018_commission_structure'!$A$2:$C$4,2,FALSE)</f>
        <v>75000</v>
      </c>
      <c r="H797">
        <f t="shared" si="12"/>
        <v>0</v>
      </c>
      <c r="I797">
        <f>COUNTIF(deals_closed!D:D, A797)</f>
        <v>20</v>
      </c>
      <c r="K797" t="str">
        <f>_xlfn.CONCAT(B797, " ",C797)</f>
        <v>Coralyn Dudney</v>
      </c>
    </row>
    <row r="798" spans="1:11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VLOOKUP(D798,'2018_commission_structure'!$A$2:$C$4,3,FALSE)</f>
        <v>125000</v>
      </c>
      <c r="G798">
        <f>VLOOKUP(D798,'2018_commission_structure'!$A$2:$C$4,2,FALSE)</f>
        <v>75000</v>
      </c>
      <c r="H798">
        <f t="shared" si="12"/>
        <v>0</v>
      </c>
      <c r="I798">
        <f>COUNTIF(deals_closed!D:D, A798)</f>
        <v>17</v>
      </c>
      <c r="K798" t="str">
        <f>_xlfn.CONCAT(B798, " ",C798)</f>
        <v>Kristy Hadland</v>
      </c>
    </row>
    <row r="799" spans="1:11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VLOOKUP(D799,'2018_commission_structure'!$A$2:$C$4,3,FALSE)</f>
        <v>80000</v>
      </c>
      <c r="G799">
        <f>VLOOKUP(D799,'2018_commission_structure'!$A$2:$C$4,2,FALSE)</f>
        <v>50000</v>
      </c>
      <c r="H799">
        <f t="shared" si="12"/>
        <v>0</v>
      </c>
      <c r="I799">
        <f>COUNTIF(deals_closed!D:D, A799)</f>
        <v>26</v>
      </c>
      <c r="K799" t="str">
        <f>_xlfn.CONCAT(B799, " ",C799)</f>
        <v>Ernesta Rodd</v>
      </c>
    </row>
    <row r="800" spans="1:11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VLOOKUP(D800,'2018_commission_structure'!$A$2:$C$4,3,FALSE)</f>
        <v>80000</v>
      </c>
      <c r="G800">
        <f>VLOOKUP(D800,'2018_commission_structure'!$A$2:$C$4,2,FALSE)</f>
        <v>50000</v>
      </c>
      <c r="H800">
        <f t="shared" si="12"/>
        <v>0</v>
      </c>
      <c r="I800">
        <f>COUNTIF(deals_closed!D:D, A800)</f>
        <v>23</v>
      </c>
      <c r="K800" t="str">
        <f>_xlfn.CONCAT(B800, " ",C800)</f>
        <v>Greer Mercey</v>
      </c>
    </row>
    <row r="801" spans="1:11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VLOOKUP(D801,'2018_commission_structure'!$A$2:$C$4,3,FALSE)</f>
        <v>65000</v>
      </c>
      <c r="G801">
        <f>VLOOKUP(D801,'2018_commission_structure'!$A$2:$C$4,2,FALSE)</f>
        <v>30000</v>
      </c>
      <c r="H801">
        <f t="shared" si="12"/>
        <v>0</v>
      </c>
      <c r="I801">
        <f>COUNTIF(deals_closed!D:D, A801)</f>
        <v>21</v>
      </c>
      <c r="K801" t="str">
        <f>_xlfn.CONCAT(B801, " ",C801)</f>
        <v>Shani Dawdary</v>
      </c>
    </row>
    <row r="802" spans="1:11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VLOOKUP(D802,'2018_commission_structure'!$A$2:$C$4,3,FALSE)</f>
        <v>80000</v>
      </c>
      <c r="G802">
        <f>VLOOKUP(D802,'2018_commission_structure'!$A$2:$C$4,2,FALSE)</f>
        <v>50000</v>
      </c>
      <c r="H802">
        <f t="shared" si="12"/>
        <v>0</v>
      </c>
      <c r="I802">
        <f>COUNTIF(deals_closed!D:D, A802)</f>
        <v>20</v>
      </c>
      <c r="K802" t="str">
        <f>_xlfn.CONCAT(B802, " ",C802)</f>
        <v>Bill Covil</v>
      </c>
    </row>
    <row r="803" spans="1:11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VLOOKUP(D803,'2018_commission_structure'!$A$2:$C$4,3,FALSE)</f>
        <v>125000</v>
      </c>
      <c r="G803">
        <f>VLOOKUP(D803,'2018_commission_structure'!$A$2:$C$4,2,FALSE)</f>
        <v>75000</v>
      </c>
      <c r="H803">
        <f t="shared" si="12"/>
        <v>0</v>
      </c>
      <c r="I803">
        <f>COUNTIF(deals_closed!D:D, A803)</f>
        <v>19</v>
      </c>
      <c r="K803" t="str">
        <f>_xlfn.CONCAT(B803, " ",C803)</f>
        <v>Elena Ilyukhov</v>
      </c>
    </row>
    <row r="804" spans="1:11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VLOOKUP(D804,'2018_commission_structure'!$A$2:$C$4,3,FALSE)</f>
        <v>125000</v>
      </c>
      <c r="G804">
        <f>VLOOKUP(D804,'2018_commission_structure'!$A$2:$C$4,2,FALSE)</f>
        <v>75000</v>
      </c>
      <c r="H804">
        <f t="shared" si="12"/>
        <v>0</v>
      </c>
      <c r="I804">
        <f>COUNTIF(deals_closed!D:D, A804)</f>
        <v>13</v>
      </c>
      <c r="K804" t="str">
        <f>_xlfn.CONCAT(B804, " ",C804)</f>
        <v>Costa Fincke</v>
      </c>
    </row>
    <row r="805" spans="1:11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VLOOKUP(D805,'2018_commission_structure'!$A$2:$C$4,3,FALSE)</f>
        <v>125000</v>
      </c>
      <c r="G805">
        <f>VLOOKUP(D805,'2018_commission_structure'!$A$2:$C$4,2,FALSE)</f>
        <v>75000</v>
      </c>
      <c r="H805">
        <f t="shared" si="12"/>
        <v>0</v>
      </c>
      <c r="I805">
        <f>COUNTIF(deals_closed!D:D, A805)</f>
        <v>14</v>
      </c>
      <c r="K805" t="str">
        <f>_xlfn.CONCAT(B805, " ",C805)</f>
        <v>Fredi Dunkerly</v>
      </c>
    </row>
    <row r="806" spans="1:11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VLOOKUP(D806,'2018_commission_structure'!$A$2:$C$4,3,FALSE)</f>
        <v>65000</v>
      </c>
      <c r="G806">
        <f>VLOOKUP(D806,'2018_commission_structure'!$A$2:$C$4,2,FALSE)</f>
        <v>30000</v>
      </c>
      <c r="H806">
        <f t="shared" si="12"/>
        <v>0</v>
      </c>
      <c r="I806">
        <f>COUNTIF(deals_closed!D:D, A806)</f>
        <v>21</v>
      </c>
      <c r="K806" t="str">
        <f>_xlfn.CONCAT(B806, " ",C806)</f>
        <v>Norman Carcas</v>
      </c>
    </row>
    <row r="807" spans="1:11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VLOOKUP(D807,'2018_commission_structure'!$A$2:$C$4,3,FALSE)</f>
        <v>125000</v>
      </c>
      <c r="G807">
        <f>VLOOKUP(D807,'2018_commission_structure'!$A$2:$C$4,2,FALSE)</f>
        <v>75000</v>
      </c>
      <c r="H807">
        <f t="shared" si="12"/>
        <v>0</v>
      </c>
      <c r="I807">
        <f>COUNTIF(deals_closed!D:D, A807)</f>
        <v>15</v>
      </c>
      <c r="K807" t="str">
        <f>_xlfn.CONCAT(B807, " ",C807)</f>
        <v>Carlos Claxson</v>
      </c>
    </row>
    <row r="808" spans="1:11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VLOOKUP(D808,'2018_commission_structure'!$A$2:$C$4,3,FALSE)</f>
        <v>80000</v>
      </c>
      <c r="G808">
        <f>VLOOKUP(D808,'2018_commission_structure'!$A$2:$C$4,2,FALSE)</f>
        <v>50000</v>
      </c>
      <c r="H808">
        <f t="shared" si="12"/>
        <v>0</v>
      </c>
      <c r="I808">
        <f>COUNTIF(deals_closed!D:D, A808)</f>
        <v>26</v>
      </c>
      <c r="K808" t="str">
        <f>_xlfn.CONCAT(B808, " ",C808)</f>
        <v>Erma Wilder</v>
      </c>
    </row>
    <row r="809" spans="1:11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VLOOKUP(D809,'2018_commission_structure'!$A$2:$C$4,3,FALSE)</f>
        <v>125000</v>
      </c>
      <c r="G809">
        <f>VLOOKUP(D809,'2018_commission_structure'!$A$2:$C$4,2,FALSE)</f>
        <v>75000</v>
      </c>
      <c r="H809">
        <f t="shared" si="12"/>
        <v>0</v>
      </c>
      <c r="I809">
        <f>COUNTIF(deals_closed!D:D, A809)</f>
        <v>16</v>
      </c>
      <c r="K809" t="str">
        <f>_xlfn.CONCAT(B809, " ",C809)</f>
        <v>Carley Niemetz</v>
      </c>
    </row>
    <row r="810" spans="1:11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VLOOKUP(D810,'2018_commission_structure'!$A$2:$C$4,3,FALSE)</f>
        <v>80000</v>
      </c>
      <c r="G810">
        <f>VLOOKUP(D810,'2018_commission_structure'!$A$2:$C$4,2,FALSE)</f>
        <v>50000</v>
      </c>
      <c r="H810">
        <f t="shared" si="12"/>
        <v>0</v>
      </c>
      <c r="I810">
        <f>COUNTIF(deals_closed!D:D, A810)</f>
        <v>16</v>
      </c>
      <c r="K810" t="str">
        <f>_xlfn.CONCAT(B810, " ",C810)</f>
        <v>Franny Malarkey</v>
      </c>
    </row>
    <row r="811" spans="1:11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VLOOKUP(D811,'2018_commission_structure'!$A$2:$C$4,3,FALSE)</f>
        <v>80000</v>
      </c>
      <c r="G811">
        <f>VLOOKUP(D811,'2018_commission_structure'!$A$2:$C$4,2,FALSE)</f>
        <v>50000</v>
      </c>
      <c r="H811">
        <f t="shared" si="12"/>
        <v>0</v>
      </c>
      <c r="I811">
        <f>COUNTIF(deals_closed!D:D, A811)</f>
        <v>18</v>
      </c>
      <c r="K811" t="str">
        <f>_xlfn.CONCAT(B811, " ",C811)</f>
        <v>Garey Lambregts</v>
      </c>
    </row>
    <row r="812" spans="1:11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VLOOKUP(D812,'2018_commission_structure'!$A$2:$C$4,3,FALSE)</f>
        <v>80000</v>
      </c>
      <c r="G812">
        <f>VLOOKUP(D812,'2018_commission_structure'!$A$2:$C$4,2,FALSE)</f>
        <v>50000</v>
      </c>
      <c r="H812">
        <f t="shared" si="12"/>
        <v>0</v>
      </c>
      <c r="I812">
        <f>COUNTIF(deals_closed!D:D, A812)</f>
        <v>25</v>
      </c>
      <c r="K812" t="str">
        <f>_xlfn.CONCAT(B812, " ",C812)</f>
        <v>Donelle Eyckelbeck</v>
      </c>
    </row>
    <row r="813" spans="1:11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VLOOKUP(D813,'2018_commission_structure'!$A$2:$C$4,3,FALSE)</f>
        <v>125000</v>
      </c>
      <c r="G813">
        <f>VLOOKUP(D813,'2018_commission_structure'!$A$2:$C$4,2,FALSE)</f>
        <v>75000</v>
      </c>
      <c r="H813">
        <f t="shared" si="12"/>
        <v>0</v>
      </c>
      <c r="I813">
        <f>COUNTIF(deals_closed!D:D, A813)</f>
        <v>24</v>
      </c>
      <c r="K813" t="str">
        <f>_xlfn.CONCAT(B813, " ",C813)</f>
        <v>Bride Fidelli</v>
      </c>
    </row>
    <row r="814" spans="1:11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VLOOKUP(D814,'2018_commission_structure'!$A$2:$C$4,3,FALSE)</f>
        <v>80000</v>
      </c>
      <c r="G814">
        <f>VLOOKUP(D814,'2018_commission_structure'!$A$2:$C$4,2,FALSE)</f>
        <v>50000</v>
      </c>
      <c r="H814">
        <f t="shared" si="12"/>
        <v>0</v>
      </c>
      <c r="I814">
        <f>COUNTIF(deals_closed!D:D, A814)</f>
        <v>18</v>
      </c>
      <c r="K814" t="str">
        <f>_xlfn.CONCAT(B814, " ",C814)</f>
        <v>Darci Wixey</v>
      </c>
    </row>
    <row r="815" spans="1:11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VLOOKUP(D815,'2018_commission_structure'!$A$2:$C$4,3,FALSE)</f>
        <v>125000</v>
      </c>
      <c r="G815">
        <f>VLOOKUP(D815,'2018_commission_structure'!$A$2:$C$4,2,FALSE)</f>
        <v>75000</v>
      </c>
      <c r="H815">
        <f t="shared" si="12"/>
        <v>0</v>
      </c>
      <c r="I815">
        <f>COUNTIF(deals_closed!D:D, A815)</f>
        <v>19</v>
      </c>
      <c r="K815" t="str">
        <f>_xlfn.CONCAT(B815, " ",C815)</f>
        <v>Rolph Slatcher</v>
      </c>
    </row>
    <row r="816" spans="1:11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VLOOKUP(D816,'2018_commission_structure'!$A$2:$C$4,3,FALSE)</f>
        <v>80000</v>
      </c>
      <c r="G816">
        <f>VLOOKUP(D816,'2018_commission_structure'!$A$2:$C$4,2,FALSE)</f>
        <v>50000</v>
      </c>
      <c r="H816">
        <f t="shared" si="12"/>
        <v>0</v>
      </c>
      <c r="I816">
        <f>COUNTIF(deals_closed!D:D, A816)</f>
        <v>27</v>
      </c>
      <c r="K816" t="str">
        <f>_xlfn.CONCAT(B816, " ",C816)</f>
        <v>Caryn De La Coste</v>
      </c>
    </row>
    <row r="817" spans="1:11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VLOOKUP(D817,'2018_commission_structure'!$A$2:$C$4,3,FALSE)</f>
        <v>65000</v>
      </c>
      <c r="G817">
        <f>VLOOKUP(D817,'2018_commission_structure'!$A$2:$C$4,2,FALSE)</f>
        <v>30000</v>
      </c>
      <c r="H817">
        <f t="shared" si="12"/>
        <v>0</v>
      </c>
      <c r="I817">
        <f>COUNTIF(deals_closed!D:D, A817)</f>
        <v>20</v>
      </c>
      <c r="K817" t="str">
        <f>_xlfn.CONCAT(B817, " ",C817)</f>
        <v>Currie Lethbury</v>
      </c>
    </row>
    <row r="818" spans="1:11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VLOOKUP(D818,'2018_commission_structure'!$A$2:$C$4,3,FALSE)</f>
        <v>125000</v>
      </c>
      <c r="G818">
        <f>VLOOKUP(D818,'2018_commission_structure'!$A$2:$C$4,2,FALSE)</f>
        <v>75000</v>
      </c>
      <c r="H818">
        <f t="shared" si="12"/>
        <v>0</v>
      </c>
      <c r="I818">
        <f>COUNTIF(deals_closed!D:D, A818)</f>
        <v>22</v>
      </c>
      <c r="K818" t="str">
        <f>_xlfn.CONCAT(B818, " ",C818)</f>
        <v>Carlin Yardley</v>
      </c>
    </row>
    <row r="819" spans="1:11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VLOOKUP(D819,'2018_commission_structure'!$A$2:$C$4,3,FALSE)</f>
        <v>80000</v>
      </c>
      <c r="G819">
        <f>VLOOKUP(D819,'2018_commission_structure'!$A$2:$C$4,2,FALSE)</f>
        <v>50000</v>
      </c>
      <c r="H819">
        <f t="shared" si="12"/>
        <v>0</v>
      </c>
      <c r="I819">
        <f>COUNTIF(deals_closed!D:D, A819)</f>
        <v>23</v>
      </c>
      <c r="K819" t="str">
        <f>_xlfn.CONCAT(B819, " ",C819)</f>
        <v>Jammal McPhee</v>
      </c>
    </row>
    <row r="820" spans="1:11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VLOOKUP(D820,'2018_commission_structure'!$A$2:$C$4,3,FALSE)</f>
        <v>125000</v>
      </c>
      <c r="G820">
        <f>VLOOKUP(D820,'2018_commission_structure'!$A$2:$C$4,2,FALSE)</f>
        <v>75000</v>
      </c>
      <c r="H820">
        <f t="shared" si="12"/>
        <v>0</v>
      </c>
      <c r="I820">
        <f>COUNTIF(deals_closed!D:D, A820)</f>
        <v>22</v>
      </c>
      <c r="K820" t="str">
        <f>_xlfn.CONCAT(B820, " ",C820)</f>
        <v>Auguste Uren</v>
      </c>
    </row>
    <row r="821" spans="1:11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VLOOKUP(D821,'2018_commission_structure'!$A$2:$C$4,3,FALSE)</f>
        <v>125000</v>
      </c>
      <c r="G821">
        <f>VLOOKUP(D821,'2018_commission_structure'!$A$2:$C$4,2,FALSE)</f>
        <v>75000</v>
      </c>
      <c r="H821">
        <f t="shared" si="12"/>
        <v>0</v>
      </c>
      <c r="I821">
        <f>COUNTIF(deals_closed!D:D, A821)</f>
        <v>21</v>
      </c>
      <c r="K821" t="str">
        <f>_xlfn.CONCAT(B821, " ",C821)</f>
        <v>Loella Connell</v>
      </c>
    </row>
    <row r="822" spans="1:11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VLOOKUP(D822,'2018_commission_structure'!$A$2:$C$4,3,FALSE)</f>
        <v>80000</v>
      </c>
      <c r="G822">
        <f>VLOOKUP(D822,'2018_commission_structure'!$A$2:$C$4,2,FALSE)</f>
        <v>50000</v>
      </c>
      <c r="H822">
        <f t="shared" si="12"/>
        <v>0</v>
      </c>
      <c r="I822">
        <f>COUNTIF(deals_closed!D:D, A822)</f>
        <v>17</v>
      </c>
      <c r="K822" t="str">
        <f>_xlfn.CONCAT(B822, " ",C822)</f>
        <v>Veronike Chidwick</v>
      </c>
    </row>
    <row r="823" spans="1:11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VLOOKUP(D823,'2018_commission_structure'!$A$2:$C$4,3,FALSE)</f>
        <v>80000</v>
      </c>
      <c r="G823">
        <f>VLOOKUP(D823,'2018_commission_structure'!$A$2:$C$4,2,FALSE)</f>
        <v>50000</v>
      </c>
      <c r="H823">
        <f t="shared" si="12"/>
        <v>0</v>
      </c>
      <c r="I823">
        <f>COUNTIF(deals_closed!D:D, A823)</f>
        <v>17</v>
      </c>
      <c r="K823" t="str">
        <f>_xlfn.CONCAT(B823, " ",C823)</f>
        <v>Wilmette Dronsfield</v>
      </c>
    </row>
    <row r="824" spans="1:11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VLOOKUP(D824,'2018_commission_structure'!$A$2:$C$4,3,FALSE)</f>
        <v>65000</v>
      </c>
      <c r="G824">
        <f>VLOOKUP(D824,'2018_commission_structure'!$A$2:$C$4,2,FALSE)</f>
        <v>30000</v>
      </c>
      <c r="H824">
        <f t="shared" si="12"/>
        <v>0</v>
      </c>
      <c r="I824">
        <f>COUNTIF(deals_closed!D:D, A824)</f>
        <v>14</v>
      </c>
      <c r="K824" t="str">
        <f>_xlfn.CONCAT(B824, " ",C824)</f>
        <v>Trey Rosenthal</v>
      </c>
    </row>
    <row r="825" spans="1:11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VLOOKUP(D825,'2018_commission_structure'!$A$2:$C$4,3,FALSE)</f>
        <v>80000</v>
      </c>
      <c r="G825">
        <f>VLOOKUP(D825,'2018_commission_structure'!$A$2:$C$4,2,FALSE)</f>
        <v>50000</v>
      </c>
      <c r="H825">
        <f t="shared" si="12"/>
        <v>0</v>
      </c>
      <c r="I825">
        <f>COUNTIF(deals_closed!D:D, A825)</f>
        <v>19</v>
      </c>
      <c r="K825" t="str">
        <f>_xlfn.CONCAT(B825, " ",C825)</f>
        <v>Myrtie Silversmid</v>
      </c>
    </row>
    <row r="826" spans="1:11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VLOOKUP(D826,'2018_commission_structure'!$A$2:$C$4,3,FALSE)</f>
        <v>80000</v>
      </c>
      <c r="G826">
        <f>VLOOKUP(D826,'2018_commission_structure'!$A$2:$C$4,2,FALSE)</f>
        <v>50000</v>
      </c>
      <c r="H826">
        <f t="shared" si="12"/>
        <v>0</v>
      </c>
      <c r="I826">
        <f>COUNTIF(deals_closed!D:D, A826)</f>
        <v>20</v>
      </c>
      <c r="K826" t="str">
        <f>_xlfn.CONCAT(B826, " ",C826)</f>
        <v>Saunders Hubery</v>
      </c>
    </row>
    <row r="827" spans="1:11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VLOOKUP(D827,'2018_commission_structure'!$A$2:$C$4,3,FALSE)</f>
        <v>125000</v>
      </c>
      <c r="G827">
        <f>VLOOKUP(D827,'2018_commission_structure'!$A$2:$C$4,2,FALSE)</f>
        <v>75000</v>
      </c>
      <c r="H827">
        <f t="shared" si="12"/>
        <v>0</v>
      </c>
      <c r="I827">
        <f>COUNTIF(deals_closed!D:D, A827)</f>
        <v>10</v>
      </c>
      <c r="K827" t="str">
        <f>_xlfn.CONCAT(B827, " ",C827)</f>
        <v>Kendra March</v>
      </c>
    </row>
    <row r="828" spans="1:11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VLOOKUP(D828,'2018_commission_structure'!$A$2:$C$4,3,FALSE)</f>
        <v>80000</v>
      </c>
      <c r="G828">
        <f>VLOOKUP(D828,'2018_commission_structure'!$A$2:$C$4,2,FALSE)</f>
        <v>50000</v>
      </c>
      <c r="H828">
        <f t="shared" si="12"/>
        <v>0</v>
      </c>
      <c r="I828">
        <f>COUNTIF(deals_closed!D:D, A828)</f>
        <v>29</v>
      </c>
      <c r="K828" t="str">
        <f>_xlfn.CONCAT(B828, " ",C828)</f>
        <v>Nobie Queripel</v>
      </c>
    </row>
    <row r="829" spans="1:11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VLOOKUP(D829,'2018_commission_structure'!$A$2:$C$4,3,FALSE)</f>
        <v>125000</v>
      </c>
      <c r="G829">
        <f>VLOOKUP(D829,'2018_commission_structure'!$A$2:$C$4,2,FALSE)</f>
        <v>75000</v>
      </c>
      <c r="H829">
        <f t="shared" si="12"/>
        <v>0</v>
      </c>
      <c r="I829">
        <f>COUNTIF(deals_closed!D:D, A829)</f>
        <v>20</v>
      </c>
      <c r="K829" t="str">
        <f>_xlfn.CONCAT(B829, " ",C829)</f>
        <v>Scot Skoughman</v>
      </c>
    </row>
    <row r="830" spans="1:11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VLOOKUP(D830,'2018_commission_structure'!$A$2:$C$4,3,FALSE)</f>
        <v>80000</v>
      </c>
      <c r="G830">
        <f>VLOOKUP(D830,'2018_commission_structure'!$A$2:$C$4,2,FALSE)</f>
        <v>50000</v>
      </c>
      <c r="H830">
        <f t="shared" si="12"/>
        <v>0</v>
      </c>
      <c r="I830">
        <f>COUNTIF(deals_closed!D:D, A830)</f>
        <v>22</v>
      </c>
      <c r="K830" t="str">
        <f>_xlfn.CONCAT(B830, " ",C830)</f>
        <v>Abdul Thunnerclef</v>
      </c>
    </row>
    <row r="831" spans="1:11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VLOOKUP(D831,'2018_commission_structure'!$A$2:$C$4,3,FALSE)</f>
        <v>65000</v>
      </c>
      <c r="G831">
        <f>VLOOKUP(D831,'2018_commission_structure'!$A$2:$C$4,2,FALSE)</f>
        <v>30000</v>
      </c>
      <c r="H831">
        <f t="shared" si="12"/>
        <v>0</v>
      </c>
      <c r="I831">
        <f>COUNTIF(deals_closed!D:D, A831)</f>
        <v>17</v>
      </c>
      <c r="K831" t="str">
        <f>_xlfn.CONCAT(B831, " ",C831)</f>
        <v>Saleem Dewdney</v>
      </c>
    </row>
    <row r="832" spans="1:11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VLOOKUP(D832,'2018_commission_structure'!$A$2:$C$4,3,FALSE)</f>
        <v>125000</v>
      </c>
      <c r="G832">
        <f>VLOOKUP(D832,'2018_commission_structure'!$A$2:$C$4,2,FALSE)</f>
        <v>75000</v>
      </c>
      <c r="H832">
        <f t="shared" si="12"/>
        <v>0</v>
      </c>
      <c r="I832">
        <f>COUNTIF(deals_closed!D:D, A832)</f>
        <v>13</v>
      </c>
      <c r="K832" t="str">
        <f>_xlfn.CONCAT(B832, " ",C832)</f>
        <v>Hildagard White</v>
      </c>
    </row>
    <row r="833" spans="1:11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VLOOKUP(D833,'2018_commission_structure'!$A$2:$C$4,3,FALSE)</f>
        <v>125000</v>
      </c>
      <c r="G833">
        <f>VLOOKUP(D833,'2018_commission_structure'!$A$2:$C$4,2,FALSE)</f>
        <v>75000</v>
      </c>
      <c r="H833">
        <f t="shared" si="12"/>
        <v>0</v>
      </c>
      <c r="I833">
        <f>COUNTIF(deals_closed!D:D, A833)</f>
        <v>24</v>
      </c>
      <c r="K833" t="str">
        <f>_xlfn.CONCAT(B833, " ",C833)</f>
        <v>Rudd Bigland</v>
      </c>
    </row>
    <row r="834" spans="1:11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VLOOKUP(D834,'2018_commission_structure'!$A$2:$C$4,3,FALSE)</f>
        <v>65000</v>
      </c>
      <c r="G834">
        <f>VLOOKUP(D834,'2018_commission_structure'!$A$2:$C$4,2,FALSE)</f>
        <v>30000</v>
      </c>
      <c r="H834">
        <f t="shared" si="12"/>
        <v>0</v>
      </c>
      <c r="I834">
        <f>COUNTIF(deals_closed!D:D, A834)</f>
        <v>18</v>
      </c>
      <c r="K834" t="str">
        <f>_xlfn.CONCAT(B834, " ",C834)</f>
        <v>Dion Liccardi</v>
      </c>
    </row>
    <row r="835" spans="1:11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VLOOKUP(D835,'2018_commission_structure'!$A$2:$C$4,3,FALSE)</f>
        <v>125000</v>
      </c>
      <c r="G835">
        <f>VLOOKUP(D835,'2018_commission_structure'!$A$2:$C$4,2,FALSE)</f>
        <v>75000</v>
      </c>
      <c r="H835">
        <f t="shared" ref="H835:H898" si="13">IF(AND(E835&gt;=G835,E835&lt;=F835),0,1)</f>
        <v>0</v>
      </c>
      <c r="I835">
        <f>COUNTIF(deals_closed!D:D, A835)</f>
        <v>21</v>
      </c>
      <c r="K835" t="str">
        <f>_xlfn.CONCAT(B835, " ",C835)</f>
        <v>May Richings</v>
      </c>
    </row>
    <row r="836" spans="1:11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VLOOKUP(D836,'2018_commission_structure'!$A$2:$C$4,3,FALSE)</f>
        <v>80000</v>
      </c>
      <c r="G836">
        <f>VLOOKUP(D836,'2018_commission_structure'!$A$2:$C$4,2,FALSE)</f>
        <v>50000</v>
      </c>
      <c r="H836">
        <f t="shared" si="13"/>
        <v>0</v>
      </c>
      <c r="I836">
        <f>COUNTIF(deals_closed!D:D, A836)</f>
        <v>11</v>
      </c>
      <c r="K836" t="str">
        <f>_xlfn.CONCAT(B836, " ",C836)</f>
        <v>Lynea Vanyukhin</v>
      </c>
    </row>
    <row r="837" spans="1:11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VLOOKUP(D837,'2018_commission_structure'!$A$2:$C$4,3,FALSE)</f>
        <v>80000</v>
      </c>
      <c r="G837">
        <f>VLOOKUP(D837,'2018_commission_structure'!$A$2:$C$4,2,FALSE)</f>
        <v>50000</v>
      </c>
      <c r="H837">
        <f t="shared" si="13"/>
        <v>0</v>
      </c>
      <c r="I837">
        <f>COUNTIF(deals_closed!D:D, A837)</f>
        <v>22</v>
      </c>
      <c r="K837" t="str">
        <f>_xlfn.CONCAT(B837, " ",C837)</f>
        <v>Donovan Willingham</v>
      </c>
    </row>
    <row r="838" spans="1:11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VLOOKUP(D838,'2018_commission_structure'!$A$2:$C$4,3,FALSE)</f>
        <v>125000</v>
      </c>
      <c r="G838">
        <f>VLOOKUP(D838,'2018_commission_structure'!$A$2:$C$4,2,FALSE)</f>
        <v>75000</v>
      </c>
      <c r="H838">
        <f t="shared" si="13"/>
        <v>0</v>
      </c>
      <c r="I838">
        <f>COUNTIF(deals_closed!D:D, A838)</f>
        <v>23</v>
      </c>
      <c r="K838" t="str">
        <f>_xlfn.CONCAT(B838, " ",C838)</f>
        <v>Marillin Yerrall</v>
      </c>
    </row>
    <row r="839" spans="1:11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VLOOKUP(D839,'2018_commission_structure'!$A$2:$C$4,3,FALSE)</f>
        <v>80000</v>
      </c>
      <c r="G839">
        <f>VLOOKUP(D839,'2018_commission_structure'!$A$2:$C$4,2,FALSE)</f>
        <v>50000</v>
      </c>
      <c r="H839">
        <f t="shared" si="13"/>
        <v>0</v>
      </c>
      <c r="I839">
        <f>COUNTIF(deals_closed!D:D, A839)</f>
        <v>18</v>
      </c>
      <c r="K839" t="str">
        <f>_xlfn.CONCAT(B839, " ",C839)</f>
        <v>Elfrida Fone</v>
      </c>
    </row>
    <row r="840" spans="1:11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VLOOKUP(D840,'2018_commission_structure'!$A$2:$C$4,3,FALSE)</f>
        <v>125000</v>
      </c>
      <c r="G840">
        <f>VLOOKUP(D840,'2018_commission_structure'!$A$2:$C$4,2,FALSE)</f>
        <v>75000</v>
      </c>
      <c r="H840">
        <f t="shared" si="13"/>
        <v>0</v>
      </c>
      <c r="I840">
        <f>COUNTIF(deals_closed!D:D, A840)</f>
        <v>23</v>
      </c>
      <c r="K840" t="str">
        <f>_xlfn.CONCAT(B840, " ",C840)</f>
        <v>Pavlov Pucknell</v>
      </c>
    </row>
    <row r="841" spans="1:11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VLOOKUP(D841,'2018_commission_structure'!$A$2:$C$4,3,FALSE)</f>
        <v>65000</v>
      </c>
      <c r="G841">
        <f>VLOOKUP(D841,'2018_commission_structure'!$A$2:$C$4,2,FALSE)</f>
        <v>30000</v>
      </c>
      <c r="H841">
        <f t="shared" si="13"/>
        <v>0</v>
      </c>
      <c r="I841">
        <f>COUNTIF(deals_closed!D:D, A841)</f>
        <v>26</v>
      </c>
      <c r="K841" t="str">
        <f>_xlfn.CONCAT(B841, " ",C841)</f>
        <v>Kristoforo Claremont</v>
      </c>
    </row>
    <row r="842" spans="1:11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VLOOKUP(D842,'2018_commission_structure'!$A$2:$C$4,3,FALSE)</f>
        <v>125000</v>
      </c>
      <c r="G842">
        <f>VLOOKUP(D842,'2018_commission_structure'!$A$2:$C$4,2,FALSE)</f>
        <v>75000</v>
      </c>
      <c r="H842">
        <f t="shared" si="13"/>
        <v>0</v>
      </c>
      <c r="I842">
        <f>COUNTIF(deals_closed!D:D, A842)</f>
        <v>28</v>
      </c>
      <c r="K842" t="str">
        <f>_xlfn.CONCAT(B842, " ",C842)</f>
        <v>Cyndi D'Agostino</v>
      </c>
    </row>
    <row r="843" spans="1:11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VLOOKUP(D843,'2018_commission_structure'!$A$2:$C$4,3,FALSE)</f>
        <v>125000</v>
      </c>
      <c r="G843">
        <f>VLOOKUP(D843,'2018_commission_structure'!$A$2:$C$4,2,FALSE)</f>
        <v>75000</v>
      </c>
      <c r="H843">
        <f t="shared" si="13"/>
        <v>0</v>
      </c>
      <c r="I843">
        <f>COUNTIF(deals_closed!D:D, A843)</f>
        <v>22</v>
      </c>
      <c r="K843" t="str">
        <f>_xlfn.CONCAT(B843, " ",C843)</f>
        <v>Finn Dixey</v>
      </c>
    </row>
    <row r="844" spans="1:11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VLOOKUP(D844,'2018_commission_structure'!$A$2:$C$4,3,FALSE)</f>
        <v>65000</v>
      </c>
      <c r="G844">
        <f>VLOOKUP(D844,'2018_commission_structure'!$A$2:$C$4,2,FALSE)</f>
        <v>30000</v>
      </c>
      <c r="H844">
        <f t="shared" si="13"/>
        <v>0</v>
      </c>
      <c r="I844">
        <f>COUNTIF(deals_closed!D:D, A844)</f>
        <v>26</v>
      </c>
      <c r="K844" t="str">
        <f>_xlfn.CONCAT(B844, " ",C844)</f>
        <v>Thatcher Haug</v>
      </c>
    </row>
    <row r="845" spans="1:11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VLOOKUP(D845,'2018_commission_structure'!$A$2:$C$4,3,FALSE)</f>
        <v>65000</v>
      </c>
      <c r="G845">
        <f>VLOOKUP(D845,'2018_commission_structure'!$A$2:$C$4,2,FALSE)</f>
        <v>30000</v>
      </c>
      <c r="H845">
        <f t="shared" si="13"/>
        <v>0</v>
      </c>
      <c r="I845">
        <f>COUNTIF(deals_closed!D:D, A845)</f>
        <v>15</v>
      </c>
      <c r="K845" t="str">
        <f>_xlfn.CONCAT(B845, " ",C845)</f>
        <v>Chuck Petkov</v>
      </c>
    </row>
    <row r="846" spans="1:11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VLOOKUP(D846,'2018_commission_structure'!$A$2:$C$4,3,FALSE)</f>
        <v>125000</v>
      </c>
      <c r="G846">
        <f>VLOOKUP(D846,'2018_commission_structure'!$A$2:$C$4,2,FALSE)</f>
        <v>75000</v>
      </c>
      <c r="H846">
        <f t="shared" si="13"/>
        <v>0</v>
      </c>
      <c r="I846">
        <f>COUNTIF(deals_closed!D:D, A846)</f>
        <v>21</v>
      </c>
      <c r="K846" t="str">
        <f>_xlfn.CONCAT(B846, " ",C846)</f>
        <v>Kev Scogin</v>
      </c>
    </row>
    <row r="847" spans="1:11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VLOOKUP(D847,'2018_commission_structure'!$A$2:$C$4,3,FALSE)</f>
        <v>65000</v>
      </c>
      <c r="G847">
        <f>VLOOKUP(D847,'2018_commission_structure'!$A$2:$C$4,2,FALSE)</f>
        <v>30000</v>
      </c>
      <c r="H847">
        <f t="shared" si="13"/>
        <v>0</v>
      </c>
      <c r="I847">
        <f>COUNTIF(deals_closed!D:D, A847)</f>
        <v>11</v>
      </c>
      <c r="K847" t="str">
        <f>_xlfn.CONCAT(B847, " ",C847)</f>
        <v>Rodd Froggatt</v>
      </c>
    </row>
    <row r="848" spans="1:11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VLOOKUP(D848,'2018_commission_structure'!$A$2:$C$4,3,FALSE)</f>
        <v>65000</v>
      </c>
      <c r="G848">
        <f>VLOOKUP(D848,'2018_commission_structure'!$A$2:$C$4,2,FALSE)</f>
        <v>30000</v>
      </c>
      <c r="H848">
        <f t="shared" si="13"/>
        <v>0</v>
      </c>
      <c r="I848">
        <f>COUNTIF(deals_closed!D:D, A848)</f>
        <v>22</v>
      </c>
      <c r="K848" t="str">
        <f>_xlfn.CONCAT(B848, " ",C848)</f>
        <v>Garnette Woodyear</v>
      </c>
    </row>
    <row r="849" spans="1:11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VLOOKUP(D849,'2018_commission_structure'!$A$2:$C$4,3,FALSE)</f>
        <v>65000</v>
      </c>
      <c r="G849">
        <f>VLOOKUP(D849,'2018_commission_structure'!$A$2:$C$4,2,FALSE)</f>
        <v>30000</v>
      </c>
      <c r="H849">
        <f t="shared" si="13"/>
        <v>0</v>
      </c>
      <c r="I849">
        <f>COUNTIF(deals_closed!D:D, A849)</f>
        <v>15</v>
      </c>
      <c r="K849" t="str">
        <f>_xlfn.CONCAT(B849, " ",C849)</f>
        <v>Marleah Lingner</v>
      </c>
    </row>
    <row r="850" spans="1:11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VLOOKUP(D850,'2018_commission_structure'!$A$2:$C$4,3,FALSE)</f>
        <v>125000</v>
      </c>
      <c r="G850">
        <f>VLOOKUP(D850,'2018_commission_structure'!$A$2:$C$4,2,FALSE)</f>
        <v>75000</v>
      </c>
      <c r="H850">
        <f t="shared" si="13"/>
        <v>0</v>
      </c>
      <c r="I850">
        <f>COUNTIF(deals_closed!D:D, A850)</f>
        <v>24</v>
      </c>
      <c r="K850" t="str">
        <f>_xlfn.CONCAT(B850, " ",C850)</f>
        <v>Anselma Paradise</v>
      </c>
    </row>
    <row r="851" spans="1:11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VLOOKUP(D851,'2018_commission_structure'!$A$2:$C$4,3,FALSE)</f>
        <v>65000</v>
      </c>
      <c r="G851">
        <f>VLOOKUP(D851,'2018_commission_structure'!$A$2:$C$4,2,FALSE)</f>
        <v>30000</v>
      </c>
      <c r="H851">
        <f t="shared" si="13"/>
        <v>0</v>
      </c>
      <c r="I851">
        <f>COUNTIF(deals_closed!D:D, A851)</f>
        <v>21</v>
      </c>
      <c r="K851" t="str">
        <f>_xlfn.CONCAT(B851, " ",C851)</f>
        <v>Wini Allenson</v>
      </c>
    </row>
    <row r="852" spans="1:11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VLOOKUP(D852,'2018_commission_structure'!$A$2:$C$4,3,FALSE)</f>
        <v>65000</v>
      </c>
      <c r="G852">
        <f>VLOOKUP(D852,'2018_commission_structure'!$A$2:$C$4,2,FALSE)</f>
        <v>30000</v>
      </c>
      <c r="H852">
        <f t="shared" si="13"/>
        <v>0</v>
      </c>
      <c r="I852">
        <f>COUNTIF(deals_closed!D:D, A852)</f>
        <v>21</v>
      </c>
      <c r="K852" t="str">
        <f>_xlfn.CONCAT(B852, " ",C852)</f>
        <v>Lotta Thoresbie</v>
      </c>
    </row>
    <row r="853" spans="1:11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VLOOKUP(D853,'2018_commission_structure'!$A$2:$C$4,3,FALSE)</f>
        <v>65000</v>
      </c>
      <c r="G853">
        <f>VLOOKUP(D853,'2018_commission_structure'!$A$2:$C$4,2,FALSE)</f>
        <v>30000</v>
      </c>
      <c r="H853">
        <f t="shared" si="13"/>
        <v>0</v>
      </c>
      <c r="I853">
        <f>COUNTIF(deals_closed!D:D, A853)</f>
        <v>19</v>
      </c>
      <c r="K853" t="str">
        <f>_xlfn.CONCAT(B853, " ",C853)</f>
        <v>Bil Riatt</v>
      </c>
    </row>
    <row r="854" spans="1:11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VLOOKUP(D854,'2018_commission_structure'!$A$2:$C$4,3,FALSE)</f>
        <v>80000</v>
      </c>
      <c r="G854">
        <f>VLOOKUP(D854,'2018_commission_structure'!$A$2:$C$4,2,FALSE)</f>
        <v>50000</v>
      </c>
      <c r="H854">
        <f t="shared" si="13"/>
        <v>0</v>
      </c>
      <c r="I854">
        <f>COUNTIF(deals_closed!D:D, A854)</f>
        <v>18</v>
      </c>
      <c r="K854" t="str">
        <f>_xlfn.CONCAT(B854, " ",C854)</f>
        <v>Mellicent Hopkyns</v>
      </c>
    </row>
    <row r="855" spans="1:11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VLOOKUP(D855,'2018_commission_structure'!$A$2:$C$4,3,FALSE)</f>
        <v>80000</v>
      </c>
      <c r="G855">
        <f>VLOOKUP(D855,'2018_commission_structure'!$A$2:$C$4,2,FALSE)</f>
        <v>50000</v>
      </c>
      <c r="H855">
        <f t="shared" si="13"/>
        <v>0</v>
      </c>
      <c r="I855">
        <f>COUNTIF(deals_closed!D:D, A855)</f>
        <v>18</v>
      </c>
      <c r="K855" t="str">
        <f>_xlfn.CONCAT(B855, " ",C855)</f>
        <v>Ezequiel Kull</v>
      </c>
    </row>
    <row r="856" spans="1:11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VLOOKUP(D856,'2018_commission_structure'!$A$2:$C$4,3,FALSE)</f>
        <v>65000</v>
      </c>
      <c r="G856">
        <f>VLOOKUP(D856,'2018_commission_structure'!$A$2:$C$4,2,FALSE)</f>
        <v>30000</v>
      </c>
      <c r="H856">
        <f t="shared" si="13"/>
        <v>0</v>
      </c>
      <c r="I856">
        <f>COUNTIF(deals_closed!D:D, A856)</f>
        <v>26</v>
      </c>
      <c r="K856" t="str">
        <f>_xlfn.CONCAT(B856, " ",C856)</f>
        <v>Barth McGifford</v>
      </c>
    </row>
    <row r="857" spans="1:11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VLOOKUP(D857,'2018_commission_structure'!$A$2:$C$4,3,FALSE)</f>
        <v>125000</v>
      </c>
      <c r="G857">
        <f>VLOOKUP(D857,'2018_commission_structure'!$A$2:$C$4,2,FALSE)</f>
        <v>75000</v>
      </c>
      <c r="H857">
        <f t="shared" si="13"/>
        <v>0</v>
      </c>
      <c r="I857">
        <f>COUNTIF(deals_closed!D:D, A857)</f>
        <v>24</v>
      </c>
      <c r="K857" t="str">
        <f>_xlfn.CONCAT(B857, " ",C857)</f>
        <v>Rosaline Joanic</v>
      </c>
    </row>
    <row r="858" spans="1:11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VLOOKUP(D858,'2018_commission_structure'!$A$2:$C$4,3,FALSE)</f>
        <v>65000</v>
      </c>
      <c r="G858">
        <f>VLOOKUP(D858,'2018_commission_structure'!$A$2:$C$4,2,FALSE)</f>
        <v>30000</v>
      </c>
      <c r="H858">
        <f t="shared" si="13"/>
        <v>0</v>
      </c>
      <c r="I858">
        <f>COUNTIF(deals_closed!D:D, A858)</f>
        <v>22</v>
      </c>
      <c r="K858" t="str">
        <f>_xlfn.CONCAT(B858, " ",C858)</f>
        <v>Glennie Giorgio</v>
      </c>
    </row>
    <row r="859" spans="1:11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VLOOKUP(D859,'2018_commission_structure'!$A$2:$C$4,3,FALSE)</f>
        <v>65000</v>
      </c>
      <c r="G859">
        <f>VLOOKUP(D859,'2018_commission_structure'!$A$2:$C$4,2,FALSE)</f>
        <v>30000</v>
      </c>
      <c r="H859">
        <f t="shared" si="13"/>
        <v>0</v>
      </c>
      <c r="I859">
        <f>COUNTIF(deals_closed!D:D, A859)</f>
        <v>17</v>
      </c>
      <c r="K859" t="str">
        <f>_xlfn.CONCAT(B859, " ",C859)</f>
        <v>Jessica Sheather</v>
      </c>
    </row>
    <row r="860" spans="1:11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VLOOKUP(D860,'2018_commission_structure'!$A$2:$C$4,3,FALSE)</f>
        <v>80000</v>
      </c>
      <c r="G860">
        <f>VLOOKUP(D860,'2018_commission_structure'!$A$2:$C$4,2,FALSE)</f>
        <v>50000</v>
      </c>
      <c r="H860">
        <f t="shared" si="13"/>
        <v>0</v>
      </c>
      <c r="I860">
        <f>COUNTIF(deals_closed!D:D, A860)</f>
        <v>19</v>
      </c>
      <c r="K860" t="str">
        <f>_xlfn.CONCAT(B860, " ",C860)</f>
        <v>Friederike Leve</v>
      </c>
    </row>
    <row r="861" spans="1:11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VLOOKUP(D861,'2018_commission_structure'!$A$2:$C$4,3,FALSE)</f>
        <v>65000</v>
      </c>
      <c r="G861">
        <f>VLOOKUP(D861,'2018_commission_structure'!$A$2:$C$4,2,FALSE)</f>
        <v>30000</v>
      </c>
      <c r="H861">
        <f t="shared" si="13"/>
        <v>0</v>
      </c>
      <c r="I861">
        <f>COUNTIF(deals_closed!D:D, A861)</f>
        <v>20</v>
      </c>
      <c r="K861" t="str">
        <f>_xlfn.CONCAT(B861, " ",C861)</f>
        <v>Benedetto Aymes</v>
      </c>
    </row>
    <row r="862" spans="1:11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VLOOKUP(D862,'2018_commission_structure'!$A$2:$C$4,3,FALSE)</f>
        <v>125000</v>
      </c>
      <c r="G862">
        <f>VLOOKUP(D862,'2018_commission_structure'!$A$2:$C$4,2,FALSE)</f>
        <v>75000</v>
      </c>
      <c r="H862">
        <f t="shared" si="13"/>
        <v>0</v>
      </c>
      <c r="I862">
        <f>COUNTIF(deals_closed!D:D, A862)</f>
        <v>23</v>
      </c>
      <c r="K862" t="str">
        <f>_xlfn.CONCAT(B862, " ",C862)</f>
        <v>Jonathon Goodrum</v>
      </c>
    </row>
    <row r="863" spans="1:11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VLOOKUP(D863,'2018_commission_structure'!$A$2:$C$4,3,FALSE)</f>
        <v>125000</v>
      </c>
      <c r="G863">
        <f>VLOOKUP(D863,'2018_commission_structure'!$A$2:$C$4,2,FALSE)</f>
        <v>75000</v>
      </c>
      <c r="H863">
        <f t="shared" si="13"/>
        <v>0</v>
      </c>
      <c r="I863">
        <f>COUNTIF(deals_closed!D:D, A863)</f>
        <v>28</v>
      </c>
      <c r="K863" t="str">
        <f>_xlfn.CONCAT(B863, " ",C863)</f>
        <v>Sadella Bowgen</v>
      </c>
    </row>
    <row r="864" spans="1:11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VLOOKUP(D864,'2018_commission_structure'!$A$2:$C$4,3,FALSE)</f>
        <v>125000</v>
      </c>
      <c r="G864">
        <f>VLOOKUP(D864,'2018_commission_structure'!$A$2:$C$4,2,FALSE)</f>
        <v>75000</v>
      </c>
      <c r="H864">
        <f t="shared" si="13"/>
        <v>0</v>
      </c>
      <c r="I864">
        <f>COUNTIF(deals_closed!D:D, A864)</f>
        <v>18</v>
      </c>
      <c r="K864" t="str">
        <f>_xlfn.CONCAT(B864, " ",C864)</f>
        <v>Marieann Andren</v>
      </c>
    </row>
    <row r="865" spans="1:11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VLOOKUP(D865,'2018_commission_structure'!$A$2:$C$4,3,FALSE)</f>
        <v>125000</v>
      </c>
      <c r="G865">
        <f>VLOOKUP(D865,'2018_commission_structure'!$A$2:$C$4,2,FALSE)</f>
        <v>75000</v>
      </c>
      <c r="H865">
        <f t="shared" si="13"/>
        <v>0</v>
      </c>
      <c r="I865">
        <f>COUNTIF(deals_closed!D:D, A865)</f>
        <v>20</v>
      </c>
      <c r="K865" t="str">
        <f>_xlfn.CONCAT(B865, " ",C865)</f>
        <v>Carce Maund</v>
      </c>
    </row>
    <row r="866" spans="1:11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VLOOKUP(D866,'2018_commission_structure'!$A$2:$C$4,3,FALSE)</f>
        <v>65000</v>
      </c>
      <c r="G866">
        <f>VLOOKUP(D866,'2018_commission_structure'!$A$2:$C$4,2,FALSE)</f>
        <v>30000</v>
      </c>
      <c r="H866">
        <f t="shared" si="13"/>
        <v>0</v>
      </c>
      <c r="I866">
        <f>COUNTIF(deals_closed!D:D, A866)</f>
        <v>22</v>
      </c>
      <c r="K866" t="str">
        <f>_xlfn.CONCAT(B866, " ",C866)</f>
        <v>Faustine Hayward</v>
      </c>
    </row>
    <row r="867" spans="1:11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VLOOKUP(D867,'2018_commission_structure'!$A$2:$C$4,3,FALSE)</f>
        <v>125000</v>
      </c>
      <c r="G867">
        <f>VLOOKUP(D867,'2018_commission_structure'!$A$2:$C$4,2,FALSE)</f>
        <v>75000</v>
      </c>
      <c r="H867">
        <f t="shared" si="13"/>
        <v>0</v>
      </c>
      <c r="I867">
        <f>COUNTIF(deals_closed!D:D, A867)</f>
        <v>19</v>
      </c>
      <c r="K867" t="str">
        <f>_xlfn.CONCAT(B867, " ",C867)</f>
        <v>Merissa Duckitt</v>
      </c>
    </row>
    <row r="868" spans="1:11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VLOOKUP(D868,'2018_commission_structure'!$A$2:$C$4,3,FALSE)</f>
        <v>80000</v>
      </c>
      <c r="G868">
        <f>VLOOKUP(D868,'2018_commission_structure'!$A$2:$C$4,2,FALSE)</f>
        <v>50000</v>
      </c>
      <c r="H868">
        <f t="shared" si="13"/>
        <v>0</v>
      </c>
      <c r="I868">
        <f>COUNTIF(deals_closed!D:D, A868)</f>
        <v>19</v>
      </c>
      <c r="K868" t="str">
        <f>_xlfn.CONCAT(B868, " ",C868)</f>
        <v>Maddalena Shurrock</v>
      </c>
    </row>
    <row r="869" spans="1:11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VLOOKUP(D869,'2018_commission_structure'!$A$2:$C$4,3,FALSE)</f>
        <v>65000</v>
      </c>
      <c r="G869">
        <f>VLOOKUP(D869,'2018_commission_structure'!$A$2:$C$4,2,FALSE)</f>
        <v>30000</v>
      </c>
      <c r="H869">
        <f t="shared" si="13"/>
        <v>0</v>
      </c>
      <c r="I869">
        <f>COUNTIF(deals_closed!D:D, A869)</f>
        <v>22</v>
      </c>
      <c r="K869" t="str">
        <f>_xlfn.CONCAT(B869, " ",C869)</f>
        <v>Aura Server</v>
      </c>
    </row>
    <row r="870" spans="1:11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VLOOKUP(D870,'2018_commission_structure'!$A$2:$C$4,3,FALSE)</f>
        <v>125000</v>
      </c>
      <c r="G870">
        <f>VLOOKUP(D870,'2018_commission_structure'!$A$2:$C$4,2,FALSE)</f>
        <v>75000</v>
      </c>
      <c r="H870">
        <f t="shared" si="13"/>
        <v>0</v>
      </c>
      <c r="I870">
        <f>COUNTIF(deals_closed!D:D, A870)</f>
        <v>17</v>
      </c>
      <c r="K870" t="str">
        <f>_xlfn.CONCAT(B870, " ",C870)</f>
        <v>Shaine Monsey</v>
      </c>
    </row>
    <row r="871" spans="1:11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VLOOKUP(D871,'2018_commission_structure'!$A$2:$C$4,3,FALSE)</f>
        <v>65000</v>
      </c>
      <c r="G871">
        <f>VLOOKUP(D871,'2018_commission_structure'!$A$2:$C$4,2,FALSE)</f>
        <v>30000</v>
      </c>
      <c r="H871">
        <f t="shared" si="13"/>
        <v>0</v>
      </c>
      <c r="I871">
        <f>COUNTIF(deals_closed!D:D, A871)</f>
        <v>16</v>
      </c>
      <c r="K871" t="str">
        <f>_xlfn.CONCAT(B871, " ",C871)</f>
        <v>Reg Kubista</v>
      </c>
    </row>
    <row r="872" spans="1:11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VLOOKUP(D872,'2018_commission_structure'!$A$2:$C$4,3,FALSE)</f>
        <v>65000</v>
      </c>
      <c r="G872">
        <f>VLOOKUP(D872,'2018_commission_structure'!$A$2:$C$4,2,FALSE)</f>
        <v>30000</v>
      </c>
      <c r="H872">
        <f t="shared" si="13"/>
        <v>0</v>
      </c>
      <c r="I872">
        <f>COUNTIF(deals_closed!D:D, A872)</f>
        <v>25</v>
      </c>
      <c r="K872" t="str">
        <f>_xlfn.CONCAT(B872, " ",C872)</f>
        <v>Lark Nelmes</v>
      </c>
    </row>
    <row r="873" spans="1:11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VLOOKUP(D873,'2018_commission_structure'!$A$2:$C$4,3,FALSE)</f>
        <v>80000</v>
      </c>
      <c r="G873">
        <f>VLOOKUP(D873,'2018_commission_structure'!$A$2:$C$4,2,FALSE)</f>
        <v>50000</v>
      </c>
      <c r="H873">
        <f t="shared" si="13"/>
        <v>0</v>
      </c>
      <c r="I873">
        <f>COUNTIF(deals_closed!D:D, A873)</f>
        <v>17</v>
      </c>
      <c r="K873" t="str">
        <f>_xlfn.CONCAT(B873, " ",C873)</f>
        <v>Kyle Hadlow</v>
      </c>
    </row>
    <row r="874" spans="1:11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VLOOKUP(D874,'2018_commission_structure'!$A$2:$C$4,3,FALSE)</f>
        <v>65000</v>
      </c>
      <c r="G874">
        <f>VLOOKUP(D874,'2018_commission_structure'!$A$2:$C$4,2,FALSE)</f>
        <v>30000</v>
      </c>
      <c r="H874">
        <f t="shared" si="13"/>
        <v>0</v>
      </c>
      <c r="I874">
        <f>COUNTIF(deals_closed!D:D, A874)</f>
        <v>24</v>
      </c>
      <c r="K874" t="str">
        <f>_xlfn.CONCAT(B874, " ",C874)</f>
        <v>Richard Cowdry</v>
      </c>
    </row>
    <row r="875" spans="1:11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VLOOKUP(D875,'2018_commission_structure'!$A$2:$C$4,3,FALSE)</f>
        <v>80000</v>
      </c>
      <c r="G875">
        <f>VLOOKUP(D875,'2018_commission_structure'!$A$2:$C$4,2,FALSE)</f>
        <v>50000</v>
      </c>
      <c r="H875">
        <f t="shared" si="13"/>
        <v>0</v>
      </c>
      <c r="I875">
        <f>COUNTIF(deals_closed!D:D, A875)</f>
        <v>18</v>
      </c>
      <c r="K875" t="str">
        <f>_xlfn.CONCAT(B875, " ",C875)</f>
        <v>Devland Le Prevost</v>
      </c>
    </row>
    <row r="876" spans="1:11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VLOOKUP(D876,'2018_commission_structure'!$A$2:$C$4,3,FALSE)</f>
        <v>80000</v>
      </c>
      <c r="G876">
        <f>VLOOKUP(D876,'2018_commission_structure'!$A$2:$C$4,2,FALSE)</f>
        <v>50000</v>
      </c>
      <c r="H876">
        <f t="shared" si="13"/>
        <v>0</v>
      </c>
      <c r="I876">
        <f>COUNTIF(deals_closed!D:D, A876)</f>
        <v>23</v>
      </c>
      <c r="K876" t="str">
        <f>_xlfn.CONCAT(B876, " ",C876)</f>
        <v>Lowe Guiness</v>
      </c>
    </row>
    <row r="877" spans="1:11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VLOOKUP(D877,'2018_commission_structure'!$A$2:$C$4,3,FALSE)</f>
        <v>125000</v>
      </c>
      <c r="G877">
        <f>VLOOKUP(D877,'2018_commission_structure'!$A$2:$C$4,2,FALSE)</f>
        <v>75000</v>
      </c>
      <c r="H877">
        <f t="shared" si="13"/>
        <v>0</v>
      </c>
      <c r="I877">
        <f>COUNTIF(deals_closed!D:D, A877)</f>
        <v>15</v>
      </c>
      <c r="K877" t="str">
        <f>_xlfn.CONCAT(B877, " ",C877)</f>
        <v>Janeva Edelheid</v>
      </c>
    </row>
    <row r="878" spans="1:11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VLOOKUP(D878,'2018_commission_structure'!$A$2:$C$4,3,FALSE)</f>
        <v>80000</v>
      </c>
      <c r="G878">
        <f>VLOOKUP(D878,'2018_commission_structure'!$A$2:$C$4,2,FALSE)</f>
        <v>50000</v>
      </c>
      <c r="H878">
        <f t="shared" si="13"/>
        <v>0</v>
      </c>
      <c r="I878">
        <f>COUNTIF(deals_closed!D:D, A878)</f>
        <v>18</v>
      </c>
      <c r="K878" t="str">
        <f>_xlfn.CONCAT(B878, " ",C878)</f>
        <v>Ward Barnett</v>
      </c>
    </row>
    <row r="879" spans="1:11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VLOOKUP(D879,'2018_commission_structure'!$A$2:$C$4,3,FALSE)</f>
        <v>80000</v>
      </c>
      <c r="G879">
        <f>VLOOKUP(D879,'2018_commission_structure'!$A$2:$C$4,2,FALSE)</f>
        <v>50000</v>
      </c>
      <c r="H879">
        <f t="shared" si="13"/>
        <v>0</v>
      </c>
      <c r="I879">
        <f>COUNTIF(deals_closed!D:D, A879)</f>
        <v>26</v>
      </c>
      <c r="K879" t="str">
        <f>_xlfn.CONCAT(B879, " ",C879)</f>
        <v>Xylia Manshaw</v>
      </c>
    </row>
    <row r="880" spans="1:11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VLOOKUP(D880,'2018_commission_structure'!$A$2:$C$4,3,FALSE)</f>
        <v>125000</v>
      </c>
      <c r="G880">
        <f>VLOOKUP(D880,'2018_commission_structure'!$A$2:$C$4,2,FALSE)</f>
        <v>75000</v>
      </c>
      <c r="H880">
        <f t="shared" si="13"/>
        <v>0</v>
      </c>
      <c r="I880">
        <f>COUNTIF(deals_closed!D:D, A880)</f>
        <v>23</v>
      </c>
      <c r="K880" t="str">
        <f>_xlfn.CONCAT(B880, " ",C880)</f>
        <v>Sarita Batcheldor</v>
      </c>
    </row>
    <row r="881" spans="1:11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VLOOKUP(D881,'2018_commission_structure'!$A$2:$C$4,3,FALSE)</f>
        <v>80000</v>
      </c>
      <c r="G881">
        <f>VLOOKUP(D881,'2018_commission_structure'!$A$2:$C$4,2,FALSE)</f>
        <v>50000</v>
      </c>
      <c r="H881">
        <f t="shared" si="13"/>
        <v>0</v>
      </c>
      <c r="I881">
        <f>COUNTIF(deals_closed!D:D, A881)</f>
        <v>12</v>
      </c>
      <c r="K881" t="str">
        <f>_xlfn.CONCAT(B881, " ",C881)</f>
        <v>Horst Phelips</v>
      </c>
    </row>
    <row r="882" spans="1:11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VLOOKUP(D882,'2018_commission_structure'!$A$2:$C$4,3,FALSE)</f>
        <v>80000</v>
      </c>
      <c r="G882">
        <f>VLOOKUP(D882,'2018_commission_structure'!$A$2:$C$4,2,FALSE)</f>
        <v>50000</v>
      </c>
      <c r="H882">
        <f t="shared" si="13"/>
        <v>0</v>
      </c>
      <c r="I882">
        <f>COUNTIF(deals_closed!D:D, A882)</f>
        <v>16</v>
      </c>
      <c r="K882" t="str">
        <f>_xlfn.CONCAT(B882, " ",C882)</f>
        <v>Karney MacMillan</v>
      </c>
    </row>
    <row r="883" spans="1:11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VLOOKUP(D883,'2018_commission_structure'!$A$2:$C$4,3,FALSE)</f>
        <v>80000</v>
      </c>
      <c r="G883">
        <f>VLOOKUP(D883,'2018_commission_structure'!$A$2:$C$4,2,FALSE)</f>
        <v>50000</v>
      </c>
      <c r="H883">
        <f t="shared" si="13"/>
        <v>0</v>
      </c>
      <c r="I883">
        <f>COUNTIF(deals_closed!D:D, A883)</f>
        <v>23</v>
      </c>
      <c r="K883" t="str">
        <f>_xlfn.CONCAT(B883, " ",C883)</f>
        <v>Dex Hughill</v>
      </c>
    </row>
    <row r="884" spans="1:11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VLOOKUP(D884,'2018_commission_structure'!$A$2:$C$4,3,FALSE)</f>
        <v>80000</v>
      </c>
      <c r="G884">
        <f>VLOOKUP(D884,'2018_commission_structure'!$A$2:$C$4,2,FALSE)</f>
        <v>50000</v>
      </c>
      <c r="H884">
        <f t="shared" si="13"/>
        <v>0</v>
      </c>
      <c r="I884">
        <f>COUNTIF(deals_closed!D:D, A884)</f>
        <v>18</v>
      </c>
      <c r="K884" t="str">
        <f>_xlfn.CONCAT(B884, " ",C884)</f>
        <v>Hoyt O' Loughran</v>
      </c>
    </row>
    <row r="885" spans="1:11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VLOOKUP(D885,'2018_commission_structure'!$A$2:$C$4,3,FALSE)</f>
        <v>125000</v>
      </c>
      <c r="G885">
        <f>VLOOKUP(D885,'2018_commission_structure'!$A$2:$C$4,2,FALSE)</f>
        <v>75000</v>
      </c>
      <c r="H885">
        <f t="shared" si="13"/>
        <v>0</v>
      </c>
      <c r="I885">
        <f>COUNTIF(deals_closed!D:D, A885)</f>
        <v>25</v>
      </c>
      <c r="K885" t="str">
        <f>_xlfn.CONCAT(B885, " ",C885)</f>
        <v>Anabel Shall</v>
      </c>
    </row>
    <row r="886" spans="1:11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VLOOKUP(D886,'2018_commission_structure'!$A$2:$C$4,3,FALSE)</f>
        <v>125000</v>
      </c>
      <c r="G886">
        <f>VLOOKUP(D886,'2018_commission_structure'!$A$2:$C$4,2,FALSE)</f>
        <v>75000</v>
      </c>
      <c r="H886">
        <f t="shared" si="13"/>
        <v>0</v>
      </c>
      <c r="I886">
        <f>COUNTIF(deals_closed!D:D, A886)</f>
        <v>14</v>
      </c>
      <c r="K886" t="str">
        <f>_xlfn.CONCAT(B886, " ",C886)</f>
        <v>Lory Brundell</v>
      </c>
    </row>
    <row r="887" spans="1:11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VLOOKUP(D887,'2018_commission_structure'!$A$2:$C$4,3,FALSE)</f>
        <v>65000</v>
      </c>
      <c r="G887">
        <f>VLOOKUP(D887,'2018_commission_structure'!$A$2:$C$4,2,FALSE)</f>
        <v>30000</v>
      </c>
      <c r="H887">
        <f t="shared" si="13"/>
        <v>0</v>
      </c>
      <c r="I887">
        <f>COUNTIF(deals_closed!D:D, A887)</f>
        <v>18</v>
      </c>
      <c r="K887" t="str">
        <f>_xlfn.CONCAT(B887, " ",C887)</f>
        <v>Freeland Kennerley</v>
      </c>
    </row>
    <row r="888" spans="1:11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VLOOKUP(D888,'2018_commission_structure'!$A$2:$C$4,3,FALSE)</f>
        <v>65000</v>
      </c>
      <c r="G888">
        <f>VLOOKUP(D888,'2018_commission_structure'!$A$2:$C$4,2,FALSE)</f>
        <v>30000</v>
      </c>
      <c r="H888">
        <f t="shared" si="13"/>
        <v>0</v>
      </c>
      <c r="I888">
        <f>COUNTIF(deals_closed!D:D, A888)</f>
        <v>25</v>
      </c>
      <c r="K888" t="str">
        <f>_xlfn.CONCAT(B888, " ",C888)</f>
        <v>Meara Timmis</v>
      </c>
    </row>
    <row r="889" spans="1:11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VLOOKUP(D889,'2018_commission_structure'!$A$2:$C$4,3,FALSE)</f>
        <v>125000</v>
      </c>
      <c r="G889">
        <f>VLOOKUP(D889,'2018_commission_structure'!$A$2:$C$4,2,FALSE)</f>
        <v>75000</v>
      </c>
      <c r="H889">
        <f t="shared" si="13"/>
        <v>0</v>
      </c>
      <c r="I889">
        <f>COUNTIF(deals_closed!D:D, A889)</f>
        <v>21</v>
      </c>
      <c r="K889" t="str">
        <f>_xlfn.CONCAT(B889, " ",C889)</f>
        <v>Sheffield Drayton</v>
      </c>
    </row>
    <row r="890" spans="1:11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VLOOKUP(D890,'2018_commission_structure'!$A$2:$C$4,3,FALSE)</f>
        <v>125000</v>
      </c>
      <c r="G890">
        <f>VLOOKUP(D890,'2018_commission_structure'!$A$2:$C$4,2,FALSE)</f>
        <v>75000</v>
      </c>
      <c r="H890">
        <f t="shared" si="13"/>
        <v>0</v>
      </c>
      <c r="I890">
        <f>COUNTIF(deals_closed!D:D, A890)</f>
        <v>28</v>
      </c>
      <c r="K890" t="str">
        <f>_xlfn.CONCAT(B890, " ",C890)</f>
        <v>Gizela Lalley</v>
      </c>
    </row>
    <row r="891" spans="1:11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VLOOKUP(D891,'2018_commission_structure'!$A$2:$C$4,3,FALSE)</f>
        <v>125000</v>
      </c>
      <c r="G891">
        <f>VLOOKUP(D891,'2018_commission_structure'!$A$2:$C$4,2,FALSE)</f>
        <v>75000</v>
      </c>
      <c r="H891">
        <f t="shared" si="13"/>
        <v>0</v>
      </c>
      <c r="I891">
        <f>COUNTIF(deals_closed!D:D, A891)</f>
        <v>19</v>
      </c>
      <c r="K891" t="str">
        <f>_xlfn.CONCAT(B891, " ",C891)</f>
        <v>Arabella McGriffin</v>
      </c>
    </row>
    <row r="892" spans="1:11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VLOOKUP(D892,'2018_commission_structure'!$A$2:$C$4,3,FALSE)</f>
        <v>65000</v>
      </c>
      <c r="G892">
        <f>VLOOKUP(D892,'2018_commission_structure'!$A$2:$C$4,2,FALSE)</f>
        <v>30000</v>
      </c>
      <c r="H892">
        <f t="shared" si="13"/>
        <v>0</v>
      </c>
      <c r="I892">
        <f>COUNTIF(deals_closed!D:D, A892)</f>
        <v>18</v>
      </c>
      <c r="K892" t="str">
        <f>_xlfn.CONCAT(B892, " ",C892)</f>
        <v>Will Elmhirst</v>
      </c>
    </row>
    <row r="893" spans="1:11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VLOOKUP(D893,'2018_commission_structure'!$A$2:$C$4,3,FALSE)</f>
        <v>125000</v>
      </c>
      <c r="G893">
        <f>VLOOKUP(D893,'2018_commission_structure'!$A$2:$C$4,2,FALSE)</f>
        <v>75000</v>
      </c>
      <c r="H893">
        <f t="shared" si="13"/>
        <v>0</v>
      </c>
      <c r="I893">
        <f>COUNTIF(deals_closed!D:D, A893)</f>
        <v>23</v>
      </c>
      <c r="K893" t="str">
        <f>_xlfn.CONCAT(B893, " ",C893)</f>
        <v>Josiah Saer</v>
      </c>
    </row>
    <row r="894" spans="1:11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VLOOKUP(D894,'2018_commission_structure'!$A$2:$C$4,3,FALSE)</f>
        <v>80000</v>
      </c>
      <c r="G894">
        <f>VLOOKUP(D894,'2018_commission_structure'!$A$2:$C$4,2,FALSE)</f>
        <v>50000</v>
      </c>
      <c r="H894">
        <f t="shared" si="13"/>
        <v>0</v>
      </c>
      <c r="I894">
        <f>COUNTIF(deals_closed!D:D, A894)</f>
        <v>13</v>
      </c>
      <c r="K894" t="str">
        <f>_xlfn.CONCAT(B894, " ",C894)</f>
        <v>Deny Wiffler</v>
      </c>
    </row>
    <row r="895" spans="1:11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VLOOKUP(D895,'2018_commission_structure'!$A$2:$C$4,3,FALSE)</f>
        <v>65000</v>
      </c>
      <c r="G895">
        <f>VLOOKUP(D895,'2018_commission_structure'!$A$2:$C$4,2,FALSE)</f>
        <v>30000</v>
      </c>
      <c r="H895">
        <f t="shared" si="13"/>
        <v>0</v>
      </c>
      <c r="I895">
        <f>COUNTIF(deals_closed!D:D, A895)</f>
        <v>25</v>
      </c>
      <c r="K895" t="str">
        <f>_xlfn.CONCAT(B895, " ",C895)</f>
        <v>Fraze Crisell</v>
      </c>
    </row>
    <row r="896" spans="1:11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VLOOKUP(D896,'2018_commission_structure'!$A$2:$C$4,3,FALSE)</f>
        <v>80000</v>
      </c>
      <c r="G896">
        <f>VLOOKUP(D896,'2018_commission_structure'!$A$2:$C$4,2,FALSE)</f>
        <v>50000</v>
      </c>
      <c r="H896">
        <f t="shared" si="13"/>
        <v>0</v>
      </c>
      <c r="I896">
        <f>COUNTIF(deals_closed!D:D, A896)</f>
        <v>21</v>
      </c>
      <c r="K896" t="str">
        <f>_xlfn.CONCAT(B896, " ",C896)</f>
        <v>Deirdre Wem</v>
      </c>
    </row>
    <row r="897" spans="1:11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VLOOKUP(D897,'2018_commission_structure'!$A$2:$C$4,3,FALSE)</f>
        <v>65000</v>
      </c>
      <c r="G897">
        <f>VLOOKUP(D897,'2018_commission_structure'!$A$2:$C$4,2,FALSE)</f>
        <v>30000</v>
      </c>
      <c r="H897">
        <f t="shared" si="13"/>
        <v>0</v>
      </c>
      <c r="I897">
        <f>COUNTIF(deals_closed!D:D, A897)</f>
        <v>15</v>
      </c>
      <c r="K897" t="str">
        <f>_xlfn.CONCAT(B897, " ",C897)</f>
        <v>Trumaine Laundon</v>
      </c>
    </row>
    <row r="898" spans="1:11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VLOOKUP(D898,'2018_commission_structure'!$A$2:$C$4,3,FALSE)</f>
        <v>125000</v>
      </c>
      <c r="G898">
        <f>VLOOKUP(D898,'2018_commission_structure'!$A$2:$C$4,2,FALSE)</f>
        <v>75000</v>
      </c>
      <c r="H898">
        <f t="shared" si="13"/>
        <v>0</v>
      </c>
      <c r="I898">
        <f>COUNTIF(deals_closed!D:D, A898)</f>
        <v>26</v>
      </c>
      <c r="K898" t="str">
        <f>_xlfn.CONCAT(B898, " ",C898)</f>
        <v>Kean MacCrann</v>
      </c>
    </row>
    <row r="899" spans="1:11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VLOOKUP(D899,'2018_commission_structure'!$A$2:$C$4,3,FALSE)</f>
        <v>125000</v>
      </c>
      <c r="G899">
        <f>VLOOKUP(D899,'2018_commission_structure'!$A$2:$C$4,2,FALSE)</f>
        <v>75000</v>
      </c>
      <c r="H899">
        <f t="shared" ref="H899:H962" si="14">IF(AND(E899&gt;=G899,E899&lt;=F899),0,1)</f>
        <v>0</v>
      </c>
      <c r="I899">
        <f>COUNTIF(deals_closed!D:D, A899)</f>
        <v>23</v>
      </c>
      <c r="K899" t="str">
        <f>_xlfn.CONCAT(B899, " ",C899)</f>
        <v>Erny Kesteven</v>
      </c>
    </row>
    <row r="900" spans="1:11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VLOOKUP(D900,'2018_commission_structure'!$A$2:$C$4,3,FALSE)</f>
        <v>65000</v>
      </c>
      <c r="G900">
        <f>VLOOKUP(D900,'2018_commission_structure'!$A$2:$C$4,2,FALSE)</f>
        <v>30000</v>
      </c>
      <c r="H900">
        <f t="shared" si="14"/>
        <v>0</v>
      </c>
      <c r="I900">
        <f>COUNTIF(deals_closed!D:D, A900)</f>
        <v>11</v>
      </c>
      <c r="K900" t="str">
        <f>_xlfn.CONCAT(B900, " ",C900)</f>
        <v>Madeline Grief</v>
      </c>
    </row>
    <row r="901" spans="1:11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VLOOKUP(D901,'2018_commission_structure'!$A$2:$C$4,3,FALSE)</f>
        <v>80000</v>
      </c>
      <c r="G901">
        <f>VLOOKUP(D901,'2018_commission_structure'!$A$2:$C$4,2,FALSE)</f>
        <v>50000</v>
      </c>
      <c r="H901">
        <f t="shared" si="14"/>
        <v>0</v>
      </c>
      <c r="I901">
        <f>COUNTIF(deals_closed!D:D, A901)</f>
        <v>17</v>
      </c>
      <c r="K901" t="str">
        <f>_xlfn.CONCAT(B901, " ",C901)</f>
        <v>Mirabel Prigmore</v>
      </c>
    </row>
    <row r="902" spans="1:11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VLOOKUP(D902,'2018_commission_structure'!$A$2:$C$4,3,FALSE)</f>
        <v>80000</v>
      </c>
      <c r="G902">
        <f>VLOOKUP(D902,'2018_commission_structure'!$A$2:$C$4,2,FALSE)</f>
        <v>50000</v>
      </c>
      <c r="H902">
        <f t="shared" si="14"/>
        <v>0</v>
      </c>
      <c r="I902">
        <f>COUNTIF(deals_closed!D:D, A902)</f>
        <v>21</v>
      </c>
      <c r="K902" t="str">
        <f>_xlfn.CONCAT(B902, " ",C902)</f>
        <v>Izzy Glennon</v>
      </c>
    </row>
    <row r="903" spans="1:11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VLOOKUP(D903,'2018_commission_structure'!$A$2:$C$4,3,FALSE)</f>
        <v>65000</v>
      </c>
      <c r="G903">
        <f>VLOOKUP(D903,'2018_commission_structure'!$A$2:$C$4,2,FALSE)</f>
        <v>30000</v>
      </c>
      <c r="H903">
        <f t="shared" si="14"/>
        <v>0</v>
      </c>
      <c r="I903">
        <f>COUNTIF(deals_closed!D:D, A903)</f>
        <v>25</v>
      </c>
      <c r="K903" t="str">
        <f>_xlfn.CONCAT(B903, " ",C903)</f>
        <v>Trescha Labusquiere</v>
      </c>
    </row>
    <row r="904" spans="1:11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VLOOKUP(D904,'2018_commission_structure'!$A$2:$C$4,3,FALSE)</f>
        <v>125000</v>
      </c>
      <c r="G904">
        <f>VLOOKUP(D904,'2018_commission_structure'!$A$2:$C$4,2,FALSE)</f>
        <v>75000</v>
      </c>
      <c r="H904">
        <f t="shared" si="14"/>
        <v>0</v>
      </c>
      <c r="I904">
        <f>COUNTIF(deals_closed!D:D, A904)</f>
        <v>14</v>
      </c>
      <c r="K904" t="str">
        <f>_xlfn.CONCAT(B904, " ",C904)</f>
        <v>Arvin Friar</v>
      </c>
    </row>
    <row r="905" spans="1:11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VLOOKUP(D905,'2018_commission_structure'!$A$2:$C$4,3,FALSE)</f>
        <v>80000</v>
      </c>
      <c r="G905">
        <f>VLOOKUP(D905,'2018_commission_structure'!$A$2:$C$4,2,FALSE)</f>
        <v>50000</v>
      </c>
      <c r="H905">
        <f t="shared" si="14"/>
        <v>0</v>
      </c>
      <c r="I905">
        <f>COUNTIF(deals_closed!D:D, A905)</f>
        <v>20</v>
      </c>
      <c r="K905" t="str">
        <f>_xlfn.CONCAT(B905, " ",C905)</f>
        <v>Barbabas Cawt</v>
      </c>
    </row>
    <row r="906" spans="1:11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VLOOKUP(D906,'2018_commission_structure'!$A$2:$C$4,3,FALSE)</f>
        <v>125000</v>
      </c>
      <c r="G906">
        <f>VLOOKUP(D906,'2018_commission_structure'!$A$2:$C$4,2,FALSE)</f>
        <v>75000</v>
      </c>
      <c r="H906">
        <f t="shared" si="14"/>
        <v>0</v>
      </c>
      <c r="I906">
        <f>COUNTIF(deals_closed!D:D, A906)</f>
        <v>19</v>
      </c>
      <c r="K906" t="str">
        <f>_xlfn.CONCAT(B906, " ",C906)</f>
        <v>Dionis Cumpton</v>
      </c>
    </row>
    <row r="907" spans="1:11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VLOOKUP(D907,'2018_commission_structure'!$A$2:$C$4,3,FALSE)</f>
        <v>80000</v>
      </c>
      <c r="G907">
        <f>VLOOKUP(D907,'2018_commission_structure'!$A$2:$C$4,2,FALSE)</f>
        <v>50000</v>
      </c>
      <c r="H907">
        <f t="shared" si="14"/>
        <v>0</v>
      </c>
      <c r="I907">
        <f>COUNTIF(deals_closed!D:D, A907)</f>
        <v>22</v>
      </c>
      <c r="K907" t="str">
        <f>_xlfn.CONCAT(B907, " ",C907)</f>
        <v>Skipper Ohm</v>
      </c>
    </row>
    <row r="908" spans="1:11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VLOOKUP(D908,'2018_commission_structure'!$A$2:$C$4,3,FALSE)</f>
        <v>80000</v>
      </c>
      <c r="G908">
        <f>VLOOKUP(D908,'2018_commission_structure'!$A$2:$C$4,2,FALSE)</f>
        <v>50000</v>
      </c>
      <c r="H908">
        <f t="shared" si="14"/>
        <v>0</v>
      </c>
      <c r="I908">
        <f>COUNTIF(deals_closed!D:D, A908)</f>
        <v>16</v>
      </c>
      <c r="K908" t="str">
        <f>_xlfn.CONCAT(B908, " ",C908)</f>
        <v>Heddi McCurley</v>
      </c>
    </row>
    <row r="909" spans="1:11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VLOOKUP(D909,'2018_commission_structure'!$A$2:$C$4,3,FALSE)</f>
        <v>80000</v>
      </c>
      <c r="G909">
        <f>VLOOKUP(D909,'2018_commission_structure'!$A$2:$C$4,2,FALSE)</f>
        <v>50000</v>
      </c>
      <c r="H909">
        <f t="shared" si="14"/>
        <v>0</v>
      </c>
      <c r="I909">
        <f>COUNTIF(deals_closed!D:D, A909)</f>
        <v>11</v>
      </c>
      <c r="K909" t="str">
        <f>_xlfn.CONCAT(B909, " ",C909)</f>
        <v>Arty Brobak</v>
      </c>
    </row>
    <row r="910" spans="1:11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VLOOKUP(D910,'2018_commission_structure'!$A$2:$C$4,3,FALSE)</f>
        <v>80000</v>
      </c>
      <c r="G910">
        <f>VLOOKUP(D910,'2018_commission_structure'!$A$2:$C$4,2,FALSE)</f>
        <v>50000</v>
      </c>
      <c r="H910">
        <f t="shared" si="14"/>
        <v>0</v>
      </c>
      <c r="I910">
        <f>COUNTIF(deals_closed!D:D, A910)</f>
        <v>14</v>
      </c>
      <c r="K910" t="str">
        <f>_xlfn.CONCAT(B910, " ",C910)</f>
        <v>Vincenz Lillford</v>
      </c>
    </row>
    <row r="911" spans="1:11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VLOOKUP(D911,'2018_commission_structure'!$A$2:$C$4,3,FALSE)</f>
        <v>80000</v>
      </c>
      <c r="G911">
        <f>VLOOKUP(D911,'2018_commission_structure'!$A$2:$C$4,2,FALSE)</f>
        <v>50000</v>
      </c>
      <c r="H911">
        <f t="shared" si="14"/>
        <v>0</v>
      </c>
      <c r="I911">
        <f>COUNTIF(deals_closed!D:D, A911)</f>
        <v>23</v>
      </c>
      <c r="K911" t="str">
        <f>_xlfn.CONCAT(B911, " ",C911)</f>
        <v>Rubina Arp</v>
      </c>
    </row>
    <row r="912" spans="1:11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VLOOKUP(D912,'2018_commission_structure'!$A$2:$C$4,3,FALSE)</f>
        <v>125000</v>
      </c>
      <c r="G912">
        <f>VLOOKUP(D912,'2018_commission_structure'!$A$2:$C$4,2,FALSE)</f>
        <v>75000</v>
      </c>
      <c r="H912">
        <f t="shared" si="14"/>
        <v>0</v>
      </c>
      <c r="I912">
        <f>COUNTIF(deals_closed!D:D, A912)</f>
        <v>18</v>
      </c>
      <c r="K912" t="str">
        <f>_xlfn.CONCAT(B912, " ",C912)</f>
        <v>Isidoro Vamplers</v>
      </c>
    </row>
    <row r="913" spans="1:11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VLOOKUP(D913,'2018_commission_structure'!$A$2:$C$4,3,FALSE)</f>
        <v>125000</v>
      </c>
      <c r="G913">
        <f>VLOOKUP(D913,'2018_commission_structure'!$A$2:$C$4,2,FALSE)</f>
        <v>75000</v>
      </c>
      <c r="H913">
        <f t="shared" si="14"/>
        <v>0</v>
      </c>
      <c r="I913">
        <f>COUNTIF(deals_closed!D:D, A913)</f>
        <v>26</v>
      </c>
      <c r="K913" t="str">
        <f>_xlfn.CONCAT(B913, " ",C913)</f>
        <v>Silvester Capinetti</v>
      </c>
    </row>
    <row r="914" spans="1:11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VLOOKUP(D914,'2018_commission_structure'!$A$2:$C$4,3,FALSE)</f>
        <v>125000</v>
      </c>
      <c r="G914">
        <f>VLOOKUP(D914,'2018_commission_structure'!$A$2:$C$4,2,FALSE)</f>
        <v>75000</v>
      </c>
      <c r="H914">
        <f t="shared" si="14"/>
        <v>0</v>
      </c>
      <c r="I914">
        <f>COUNTIF(deals_closed!D:D, A914)</f>
        <v>14</v>
      </c>
      <c r="K914" t="str">
        <f>_xlfn.CONCAT(B914, " ",C914)</f>
        <v>Ransell Spira</v>
      </c>
    </row>
    <row r="915" spans="1:11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VLOOKUP(D915,'2018_commission_structure'!$A$2:$C$4,3,FALSE)</f>
        <v>80000</v>
      </c>
      <c r="G915">
        <f>VLOOKUP(D915,'2018_commission_structure'!$A$2:$C$4,2,FALSE)</f>
        <v>50000</v>
      </c>
      <c r="H915">
        <f t="shared" si="14"/>
        <v>0</v>
      </c>
      <c r="I915">
        <f>COUNTIF(deals_closed!D:D, A915)</f>
        <v>22</v>
      </c>
      <c r="K915" t="str">
        <f>_xlfn.CONCAT(B915, " ",C915)</f>
        <v>Esdras Blucher</v>
      </c>
    </row>
    <row r="916" spans="1:11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VLOOKUP(D916,'2018_commission_structure'!$A$2:$C$4,3,FALSE)</f>
        <v>65000</v>
      </c>
      <c r="G916">
        <f>VLOOKUP(D916,'2018_commission_structure'!$A$2:$C$4,2,FALSE)</f>
        <v>30000</v>
      </c>
      <c r="H916">
        <f t="shared" si="14"/>
        <v>0</v>
      </c>
      <c r="I916">
        <f>COUNTIF(deals_closed!D:D, A916)</f>
        <v>26</v>
      </c>
      <c r="K916" t="str">
        <f>_xlfn.CONCAT(B916, " ",C916)</f>
        <v>Georgiana Doul</v>
      </c>
    </row>
    <row r="917" spans="1:11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VLOOKUP(D917,'2018_commission_structure'!$A$2:$C$4,3,FALSE)</f>
        <v>125000</v>
      </c>
      <c r="G917">
        <f>VLOOKUP(D917,'2018_commission_structure'!$A$2:$C$4,2,FALSE)</f>
        <v>75000</v>
      </c>
      <c r="H917">
        <f t="shared" si="14"/>
        <v>0</v>
      </c>
      <c r="I917">
        <f>COUNTIF(deals_closed!D:D, A917)</f>
        <v>21</v>
      </c>
      <c r="K917" t="str">
        <f>_xlfn.CONCAT(B917, " ",C917)</f>
        <v>Alaster Kencott</v>
      </c>
    </row>
    <row r="918" spans="1:11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VLOOKUP(D918,'2018_commission_structure'!$A$2:$C$4,3,FALSE)</f>
        <v>125000</v>
      </c>
      <c r="G918">
        <f>VLOOKUP(D918,'2018_commission_structure'!$A$2:$C$4,2,FALSE)</f>
        <v>75000</v>
      </c>
      <c r="H918">
        <f t="shared" si="14"/>
        <v>0</v>
      </c>
      <c r="I918">
        <f>COUNTIF(deals_closed!D:D, A918)</f>
        <v>17</v>
      </c>
      <c r="K918" t="str">
        <f>_xlfn.CONCAT(B918, " ",C918)</f>
        <v>Edith Altree</v>
      </c>
    </row>
    <row r="919" spans="1:11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VLOOKUP(D919,'2018_commission_structure'!$A$2:$C$4,3,FALSE)</f>
        <v>80000</v>
      </c>
      <c r="G919">
        <f>VLOOKUP(D919,'2018_commission_structure'!$A$2:$C$4,2,FALSE)</f>
        <v>50000</v>
      </c>
      <c r="H919">
        <f t="shared" si="14"/>
        <v>0</v>
      </c>
      <c r="I919">
        <f>COUNTIF(deals_closed!D:D, A919)</f>
        <v>22</v>
      </c>
      <c r="K919" t="str">
        <f>_xlfn.CONCAT(B919, " ",C919)</f>
        <v>Jethro Vedishchev</v>
      </c>
    </row>
    <row r="920" spans="1:11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VLOOKUP(D920,'2018_commission_structure'!$A$2:$C$4,3,FALSE)</f>
        <v>125000</v>
      </c>
      <c r="G920">
        <f>VLOOKUP(D920,'2018_commission_structure'!$A$2:$C$4,2,FALSE)</f>
        <v>75000</v>
      </c>
      <c r="H920">
        <f t="shared" si="14"/>
        <v>0</v>
      </c>
      <c r="I920">
        <f>COUNTIF(deals_closed!D:D, A920)</f>
        <v>27</v>
      </c>
      <c r="K920" t="str">
        <f>_xlfn.CONCAT(B920, " ",C920)</f>
        <v>Cletis Temlett</v>
      </c>
    </row>
    <row r="921" spans="1:11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VLOOKUP(D921,'2018_commission_structure'!$A$2:$C$4,3,FALSE)</f>
        <v>80000</v>
      </c>
      <c r="G921">
        <f>VLOOKUP(D921,'2018_commission_structure'!$A$2:$C$4,2,FALSE)</f>
        <v>50000</v>
      </c>
      <c r="H921">
        <f t="shared" si="14"/>
        <v>0</v>
      </c>
      <c r="I921">
        <f>COUNTIF(deals_closed!D:D, A921)</f>
        <v>24</v>
      </c>
      <c r="K921" t="str">
        <f>_xlfn.CONCAT(B921, " ",C921)</f>
        <v>Norina Truckett</v>
      </c>
    </row>
    <row r="922" spans="1:11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VLOOKUP(D922,'2018_commission_structure'!$A$2:$C$4,3,FALSE)</f>
        <v>125000</v>
      </c>
      <c r="G922">
        <f>VLOOKUP(D922,'2018_commission_structure'!$A$2:$C$4,2,FALSE)</f>
        <v>75000</v>
      </c>
      <c r="H922">
        <f t="shared" si="14"/>
        <v>0</v>
      </c>
      <c r="I922">
        <f>COUNTIF(deals_closed!D:D, A922)</f>
        <v>22</v>
      </c>
      <c r="K922" t="str">
        <f>_xlfn.CONCAT(B922, " ",C922)</f>
        <v>Brooks Brouncker</v>
      </c>
    </row>
    <row r="923" spans="1:11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VLOOKUP(D923,'2018_commission_structure'!$A$2:$C$4,3,FALSE)</f>
        <v>80000</v>
      </c>
      <c r="G923">
        <f>VLOOKUP(D923,'2018_commission_structure'!$A$2:$C$4,2,FALSE)</f>
        <v>50000</v>
      </c>
      <c r="H923">
        <f t="shared" si="14"/>
        <v>0</v>
      </c>
      <c r="I923">
        <f>COUNTIF(deals_closed!D:D, A923)</f>
        <v>22</v>
      </c>
      <c r="K923" t="str">
        <f>_xlfn.CONCAT(B923, " ",C923)</f>
        <v>Ward Mance</v>
      </c>
    </row>
    <row r="924" spans="1:11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VLOOKUP(D924,'2018_commission_structure'!$A$2:$C$4,3,FALSE)</f>
        <v>65000</v>
      </c>
      <c r="G924">
        <f>VLOOKUP(D924,'2018_commission_structure'!$A$2:$C$4,2,FALSE)</f>
        <v>30000</v>
      </c>
      <c r="H924">
        <f t="shared" si="14"/>
        <v>0</v>
      </c>
      <c r="I924">
        <f>COUNTIF(deals_closed!D:D, A924)</f>
        <v>25</v>
      </c>
      <c r="K924" t="str">
        <f>_xlfn.CONCAT(B924, " ",C924)</f>
        <v>Kitti Hedworth</v>
      </c>
    </row>
    <row r="925" spans="1:11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VLOOKUP(D925,'2018_commission_structure'!$A$2:$C$4,3,FALSE)</f>
        <v>80000</v>
      </c>
      <c r="G925">
        <f>VLOOKUP(D925,'2018_commission_structure'!$A$2:$C$4,2,FALSE)</f>
        <v>50000</v>
      </c>
      <c r="H925">
        <f t="shared" si="14"/>
        <v>0</v>
      </c>
      <c r="I925">
        <f>COUNTIF(deals_closed!D:D, A925)</f>
        <v>16</v>
      </c>
      <c r="K925" t="str">
        <f>_xlfn.CONCAT(B925, " ",C925)</f>
        <v>Jessica Derye-Barrett</v>
      </c>
    </row>
    <row r="926" spans="1:11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VLOOKUP(D926,'2018_commission_structure'!$A$2:$C$4,3,FALSE)</f>
        <v>65000</v>
      </c>
      <c r="G926">
        <f>VLOOKUP(D926,'2018_commission_structure'!$A$2:$C$4,2,FALSE)</f>
        <v>30000</v>
      </c>
      <c r="H926">
        <f t="shared" si="14"/>
        <v>0</v>
      </c>
      <c r="I926">
        <f>COUNTIF(deals_closed!D:D, A926)</f>
        <v>20</v>
      </c>
      <c r="K926" t="str">
        <f>_xlfn.CONCAT(B926, " ",C926)</f>
        <v>Netti Scullion</v>
      </c>
    </row>
    <row r="927" spans="1:11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VLOOKUP(D927,'2018_commission_structure'!$A$2:$C$4,3,FALSE)</f>
        <v>125000</v>
      </c>
      <c r="G927">
        <f>VLOOKUP(D927,'2018_commission_structure'!$A$2:$C$4,2,FALSE)</f>
        <v>75000</v>
      </c>
      <c r="H927">
        <f t="shared" si="14"/>
        <v>0</v>
      </c>
      <c r="I927">
        <f>COUNTIF(deals_closed!D:D, A927)</f>
        <v>24</v>
      </c>
      <c r="K927" t="str">
        <f>_xlfn.CONCAT(B927, " ",C927)</f>
        <v>Kimberlyn Maffia</v>
      </c>
    </row>
    <row r="928" spans="1:11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VLOOKUP(D928,'2018_commission_structure'!$A$2:$C$4,3,FALSE)</f>
        <v>125000</v>
      </c>
      <c r="G928">
        <f>VLOOKUP(D928,'2018_commission_structure'!$A$2:$C$4,2,FALSE)</f>
        <v>75000</v>
      </c>
      <c r="H928">
        <f t="shared" si="14"/>
        <v>0</v>
      </c>
      <c r="I928">
        <f>COUNTIF(deals_closed!D:D, A928)</f>
        <v>24</v>
      </c>
      <c r="K928" t="str">
        <f>_xlfn.CONCAT(B928, " ",C928)</f>
        <v>Saree Exrol</v>
      </c>
    </row>
    <row r="929" spans="1:11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VLOOKUP(D929,'2018_commission_structure'!$A$2:$C$4,3,FALSE)</f>
        <v>80000</v>
      </c>
      <c r="G929">
        <f>VLOOKUP(D929,'2018_commission_structure'!$A$2:$C$4,2,FALSE)</f>
        <v>50000</v>
      </c>
      <c r="H929">
        <f t="shared" si="14"/>
        <v>0</v>
      </c>
      <c r="I929">
        <f>COUNTIF(deals_closed!D:D, A929)</f>
        <v>22</v>
      </c>
      <c r="K929" t="str">
        <f>_xlfn.CONCAT(B929, " ",C929)</f>
        <v>Packston Gamlin</v>
      </c>
    </row>
    <row r="930" spans="1:11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VLOOKUP(D930,'2018_commission_structure'!$A$2:$C$4,3,FALSE)</f>
        <v>125000</v>
      </c>
      <c r="G930">
        <f>VLOOKUP(D930,'2018_commission_structure'!$A$2:$C$4,2,FALSE)</f>
        <v>75000</v>
      </c>
      <c r="H930">
        <f t="shared" si="14"/>
        <v>0</v>
      </c>
      <c r="I930">
        <f>COUNTIF(deals_closed!D:D, A930)</f>
        <v>28</v>
      </c>
      <c r="K930" t="str">
        <f>_xlfn.CONCAT(B930, " ",C930)</f>
        <v>Barr Orring</v>
      </c>
    </row>
    <row r="931" spans="1:11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VLOOKUP(D931,'2018_commission_structure'!$A$2:$C$4,3,FALSE)</f>
        <v>80000</v>
      </c>
      <c r="G931">
        <f>VLOOKUP(D931,'2018_commission_structure'!$A$2:$C$4,2,FALSE)</f>
        <v>50000</v>
      </c>
      <c r="H931">
        <f t="shared" si="14"/>
        <v>0</v>
      </c>
      <c r="I931">
        <f>COUNTIF(deals_closed!D:D, A931)</f>
        <v>28</v>
      </c>
      <c r="K931" t="str">
        <f>_xlfn.CONCAT(B931, " ",C931)</f>
        <v>Chloette Millard</v>
      </c>
    </row>
    <row r="932" spans="1:11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VLOOKUP(D932,'2018_commission_structure'!$A$2:$C$4,3,FALSE)</f>
        <v>65000</v>
      </c>
      <c r="G932">
        <f>VLOOKUP(D932,'2018_commission_structure'!$A$2:$C$4,2,FALSE)</f>
        <v>30000</v>
      </c>
      <c r="H932">
        <f t="shared" si="14"/>
        <v>0</v>
      </c>
      <c r="I932">
        <f>COUNTIF(deals_closed!D:D, A932)</f>
        <v>18</v>
      </c>
      <c r="K932" t="str">
        <f>_xlfn.CONCAT(B932, " ",C932)</f>
        <v>Cassaundra Offield</v>
      </c>
    </row>
    <row r="933" spans="1:11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VLOOKUP(D933,'2018_commission_structure'!$A$2:$C$4,3,FALSE)</f>
        <v>80000</v>
      </c>
      <c r="G933">
        <f>VLOOKUP(D933,'2018_commission_structure'!$A$2:$C$4,2,FALSE)</f>
        <v>50000</v>
      </c>
      <c r="H933">
        <f t="shared" si="14"/>
        <v>0</v>
      </c>
      <c r="I933">
        <f>COUNTIF(deals_closed!D:D, A933)</f>
        <v>20</v>
      </c>
      <c r="K933" t="str">
        <f>_xlfn.CONCAT(B933, " ",C933)</f>
        <v>Garey Thow</v>
      </c>
    </row>
    <row r="934" spans="1:11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VLOOKUP(D934,'2018_commission_structure'!$A$2:$C$4,3,FALSE)</f>
        <v>125000</v>
      </c>
      <c r="G934">
        <f>VLOOKUP(D934,'2018_commission_structure'!$A$2:$C$4,2,FALSE)</f>
        <v>75000</v>
      </c>
      <c r="H934">
        <f t="shared" si="14"/>
        <v>0</v>
      </c>
      <c r="I934">
        <f>COUNTIF(deals_closed!D:D, A934)</f>
        <v>17</v>
      </c>
      <c r="K934" t="str">
        <f>_xlfn.CONCAT(B934, " ",C934)</f>
        <v>Ozzy Cavnor</v>
      </c>
    </row>
    <row r="935" spans="1:11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VLOOKUP(D935,'2018_commission_structure'!$A$2:$C$4,3,FALSE)</f>
        <v>65000</v>
      </c>
      <c r="G935">
        <f>VLOOKUP(D935,'2018_commission_structure'!$A$2:$C$4,2,FALSE)</f>
        <v>30000</v>
      </c>
      <c r="H935">
        <f t="shared" si="14"/>
        <v>0</v>
      </c>
      <c r="I935">
        <f>COUNTIF(deals_closed!D:D, A935)</f>
        <v>20</v>
      </c>
      <c r="K935" t="str">
        <f>_xlfn.CONCAT(B935, " ",C935)</f>
        <v>Gerri Witherbed</v>
      </c>
    </row>
    <row r="936" spans="1:11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VLOOKUP(D936,'2018_commission_structure'!$A$2:$C$4,3,FALSE)</f>
        <v>125000</v>
      </c>
      <c r="G936">
        <f>VLOOKUP(D936,'2018_commission_structure'!$A$2:$C$4,2,FALSE)</f>
        <v>75000</v>
      </c>
      <c r="H936">
        <f t="shared" si="14"/>
        <v>0</v>
      </c>
      <c r="I936">
        <f>COUNTIF(deals_closed!D:D, A936)</f>
        <v>23</v>
      </c>
      <c r="K936" t="str">
        <f>_xlfn.CONCAT(B936, " ",C936)</f>
        <v>Lindy Pember</v>
      </c>
    </row>
    <row r="937" spans="1:11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VLOOKUP(D937,'2018_commission_structure'!$A$2:$C$4,3,FALSE)</f>
        <v>80000</v>
      </c>
      <c r="G937">
        <f>VLOOKUP(D937,'2018_commission_structure'!$A$2:$C$4,2,FALSE)</f>
        <v>50000</v>
      </c>
      <c r="H937">
        <f t="shared" si="14"/>
        <v>0</v>
      </c>
      <c r="I937">
        <f>COUNTIF(deals_closed!D:D, A937)</f>
        <v>32</v>
      </c>
      <c r="K937" t="str">
        <f>_xlfn.CONCAT(B937, " ",C937)</f>
        <v>Tab Morter</v>
      </c>
    </row>
    <row r="938" spans="1:11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VLOOKUP(D938,'2018_commission_structure'!$A$2:$C$4,3,FALSE)</f>
        <v>65000</v>
      </c>
      <c r="G938">
        <f>VLOOKUP(D938,'2018_commission_structure'!$A$2:$C$4,2,FALSE)</f>
        <v>30000</v>
      </c>
      <c r="H938">
        <f t="shared" si="14"/>
        <v>0</v>
      </c>
      <c r="I938">
        <f>COUNTIF(deals_closed!D:D, A938)</f>
        <v>23</v>
      </c>
      <c r="K938" t="str">
        <f>_xlfn.CONCAT(B938, " ",C938)</f>
        <v>Sanders McKinstry</v>
      </c>
    </row>
    <row r="939" spans="1:11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VLOOKUP(D939,'2018_commission_structure'!$A$2:$C$4,3,FALSE)</f>
        <v>80000</v>
      </c>
      <c r="G939">
        <f>VLOOKUP(D939,'2018_commission_structure'!$A$2:$C$4,2,FALSE)</f>
        <v>50000</v>
      </c>
      <c r="H939">
        <f t="shared" si="14"/>
        <v>0</v>
      </c>
      <c r="I939">
        <f>COUNTIF(deals_closed!D:D, A939)</f>
        <v>18</v>
      </c>
      <c r="K939" t="str">
        <f>_xlfn.CONCAT(B939, " ",C939)</f>
        <v>Granger Lewin</v>
      </c>
    </row>
    <row r="940" spans="1:11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VLOOKUP(D940,'2018_commission_structure'!$A$2:$C$4,3,FALSE)</f>
        <v>65000</v>
      </c>
      <c r="G940">
        <f>VLOOKUP(D940,'2018_commission_structure'!$A$2:$C$4,2,FALSE)</f>
        <v>30000</v>
      </c>
      <c r="H940">
        <f t="shared" si="14"/>
        <v>0</v>
      </c>
      <c r="I940">
        <f>COUNTIF(deals_closed!D:D, A940)</f>
        <v>24</v>
      </c>
      <c r="K940" t="str">
        <f>_xlfn.CONCAT(B940, " ",C940)</f>
        <v>Fancy Clitsome</v>
      </c>
    </row>
    <row r="941" spans="1:11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VLOOKUP(D941,'2018_commission_structure'!$A$2:$C$4,3,FALSE)</f>
        <v>80000</v>
      </c>
      <c r="G941">
        <f>VLOOKUP(D941,'2018_commission_structure'!$A$2:$C$4,2,FALSE)</f>
        <v>50000</v>
      </c>
      <c r="H941">
        <f t="shared" si="14"/>
        <v>0</v>
      </c>
      <c r="I941">
        <f>COUNTIF(deals_closed!D:D, A941)</f>
        <v>19</v>
      </c>
      <c r="K941" t="str">
        <f>_xlfn.CONCAT(B941, " ",C941)</f>
        <v>Troy McQuarrie</v>
      </c>
    </row>
    <row r="942" spans="1:11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VLOOKUP(D942,'2018_commission_structure'!$A$2:$C$4,3,FALSE)</f>
        <v>125000</v>
      </c>
      <c r="G942">
        <f>VLOOKUP(D942,'2018_commission_structure'!$A$2:$C$4,2,FALSE)</f>
        <v>75000</v>
      </c>
      <c r="H942">
        <f t="shared" si="14"/>
        <v>0</v>
      </c>
      <c r="I942">
        <f>COUNTIF(deals_closed!D:D, A942)</f>
        <v>16</v>
      </c>
      <c r="K942" t="str">
        <f>_xlfn.CONCAT(B942, " ",C942)</f>
        <v>Lorianne Guillem</v>
      </c>
    </row>
    <row r="943" spans="1:11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VLOOKUP(D943,'2018_commission_structure'!$A$2:$C$4,3,FALSE)</f>
        <v>125000</v>
      </c>
      <c r="G943">
        <f>VLOOKUP(D943,'2018_commission_structure'!$A$2:$C$4,2,FALSE)</f>
        <v>75000</v>
      </c>
      <c r="H943">
        <f t="shared" si="14"/>
        <v>0</v>
      </c>
      <c r="I943">
        <f>COUNTIF(deals_closed!D:D, A943)</f>
        <v>25</v>
      </c>
      <c r="K943" t="str">
        <f>_xlfn.CONCAT(B943, " ",C943)</f>
        <v>Skell Heijne</v>
      </c>
    </row>
    <row r="944" spans="1:11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VLOOKUP(D944,'2018_commission_structure'!$A$2:$C$4,3,FALSE)</f>
        <v>125000</v>
      </c>
      <c r="G944">
        <f>VLOOKUP(D944,'2018_commission_structure'!$A$2:$C$4,2,FALSE)</f>
        <v>75000</v>
      </c>
      <c r="H944">
        <f t="shared" si="14"/>
        <v>0</v>
      </c>
      <c r="I944">
        <f>COUNTIF(deals_closed!D:D, A944)</f>
        <v>20</v>
      </c>
      <c r="K944" t="str">
        <f>_xlfn.CONCAT(B944, " ",C944)</f>
        <v>Jenda Villaron</v>
      </c>
    </row>
    <row r="945" spans="1:11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VLOOKUP(D945,'2018_commission_structure'!$A$2:$C$4,3,FALSE)</f>
        <v>65000</v>
      </c>
      <c r="G945">
        <f>VLOOKUP(D945,'2018_commission_structure'!$A$2:$C$4,2,FALSE)</f>
        <v>30000</v>
      </c>
      <c r="H945">
        <f t="shared" si="14"/>
        <v>0</v>
      </c>
      <c r="I945">
        <f>COUNTIF(deals_closed!D:D, A945)</f>
        <v>19</v>
      </c>
      <c r="K945" t="str">
        <f>_xlfn.CONCAT(B945, " ",C945)</f>
        <v>Emmerich Longmuir</v>
      </c>
    </row>
    <row r="946" spans="1:11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VLOOKUP(D946,'2018_commission_structure'!$A$2:$C$4,3,FALSE)</f>
        <v>80000</v>
      </c>
      <c r="G946">
        <f>VLOOKUP(D946,'2018_commission_structure'!$A$2:$C$4,2,FALSE)</f>
        <v>50000</v>
      </c>
      <c r="H946">
        <f t="shared" si="14"/>
        <v>0</v>
      </c>
      <c r="I946">
        <f>COUNTIF(deals_closed!D:D, A946)</f>
        <v>25</v>
      </c>
      <c r="K946" t="str">
        <f>_xlfn.CONCAT(B946, " ",C946)</f>
        <v>Ediva Screase</v>
      </c>
    </row>
    <row r="947" spans="1:11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VLOOKUP(D947,'2018_commission_structure'!$A$2:$C$4,3,FALSE)</f>
        <v>80000</v>
      </c>
      <c r="G947">
        <f>VLOOKUP(D947,'2018_commission_structure'!$A$2:$C$4,2,FALSE)</f>
        <v>50000</v>
      </c>
      <c r="H947">
        <f t="shared" si="14"/>
        <v>0</v>
      </c>
      <c r="I947">
        <f>COUNTIF(deals_closed!D:D, A947)</f>
        <v>24</v>
      </c>
      <c r="K947" t="str">
        <f>_xlfn.CONCAT(B947, " ",C947)</f>
        <v>Corrie Naldrett</v>
      </c>
    </row>
    <row r="948" spans="1:11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VLOOKUP(D948,'2018_commission_structure'!$A$2:$C$4,3,FALSE)</f>
        <v>125000</v>
      </c>
      <c r="G948">
        <f>VLOOKUP(D948,'2018_commission_structure'!$A$2:$C$4,2,FALSE)</f>
        <v>75000</v>
      </c>
      <c r="H948">
        <f t="shared" si="14"/>
        <v>0</v>
      </c>
      <c r="I948">
        <f>COUNTIF(deals_closed!D:D, A948)</f>
        <v>23</v>
      </c>
      <c r="K948" t="str">
        <f>_xlfn.CONCAT(B948, " ",C948)</f>
        <v>Susi Berndsen</v>
      </c>
    </row>
    <row r="949" spans="1:11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VLOOKUP(D949,'2018_commission_structure'!$A$2:$C$4,3,FALSE)</f>
        <v>125000</v>
      </c>
      <c r="G949">
        <f>VLOOKUP(D949,'2018_commission_structure'!$A$2:$C$4,2,FALSE)</f>
        <v>75000</v>
      </c>
      <c r="H949">
        <f t="shared" si="14"/>
        <v>0</v>
      </c>
      <c r="I949">
        <f>COUNTIF(deals_closed!D:D, A949)</f>
        <v>12</v>
      </c>
      <c r="K949" t="str">
        <f>_xlfn.CONCAT(B949, " ",C949)</f>
        <v>Meryl Aitchinson</v>
      </c>
    </row>
    <row r="950" spans="1:11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VLOOKUP(D950,'2018_commission_structure'!$A$2:$C$4,3,FALSE)</f>
        <v>80000</v>
      </c>
      <c r="G950">
        <f>VLOOKUP(D950,'2018_commission_structure'!$A$2:$C$4,2,FALSE)</f>
        <v>50000</v>
      </c>
      <c r="H950">
        <f t="shared" si="14"/>
        <v>0</v>
      </c>
      <c r="I950">
        <f>COUNTIF(deals_closed!D:D, A950)</f>
        <v>23</v>
      </c>
      <c r="K950" t="str">
        <f>_xlfn.CONCAT(B950, " ",C950)</f>
        <v>Ellery Renzini</v>
      </c>
    </row>
    <row r="951" spans="1:11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VLOOKUP(D951,'2018_commission_structure'!$A$2:$C$4,3,FALSE)</f>
        <v>80000</v>
      </c>
      <c r="G951">
        <f>VLOOKUP(D951,'2018_commission_structure'!$A$2:$C$4,2,FALSE)</f>
        <v>50000</v>
      </c>
      <c r="H951">
        <f t="shared" si="14"/>
        <v>0</v>
      </c>
      <c r="I951">
        <f>COUNTIF(deals_closed!D:D, A951)</f>
        <v>15</v>
      </c>
      <c r="K951" t="str">
        <f>_xlfn.CONCAT(B951, " ",C951)</f>
        <v>Gina Biggadyke</v>
      </c>
    </row>
    <row r="952" spans="1:11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VLOOKUP(D952,'2018_commission_structure'!$A$2:$C$4,3,FALSE)</f>
        <v>80000</v>
      </c>
      <c r="G952">
        <f>VLOOKUP(D952,'2018_commission_structure'!$A$2:$C$4,2,FALSE)</f>
        <v>50000</v>
      </c>
      <c r="H952">
        <f t="shared" si="14"/>
        <v>0</v>
      </c>
      <c r="I952">
        <f>COUNTIF(deals_closed!D:D, A952)</f>
        <v>21</v>
      </c>
      <c r="K952" t="str">
        <f>_xlfn.CONCAT(B952, " ",C952)</f>
        <v>Rutter Maddams</v>
      </c>
    </row>
    <row r="953" spans="1:11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VLOOKUP(D953,'2018_commission_structure'!$A$2:$C$4,3,FALSE)</f>
        <v>65000</v>
      </c>
      <c r="G953">
        <f>VLOOKUP(D953,'2018_commission_structure'!$A$2:$C$4,2,FALSE)</f>
        <v>30000</v>
      </c>
      <c r="H953">
        <f t="shared" si="14"/>
        <v>0</v>
      </c>
      <c r="I953">
        <f>COUNTIF(deals_closed!D:D, A953)</f>
        <v>14</v>
      </c>
      <c r="K953" t="str">
        <f>_xlfn.CONCAT(B953, " ",C953)</f>
        <v>Tirrell Durdle</v>
      </c>
    </row>
    <row r="954" spans="1:11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VLOOKUP(D954,'2018_commission_structure'!$A$2:$C$4,3,FALSE)</f>
        <v>65000</v>
      </c>
      <c r="G954">
        <f>VLOOKUP(D954,'2018_commission_structure'!$A$2:$C$4,2,FALSE)</f>
        <v>30000</v>
      </c>
      <c r="H954">
        <f t="shared" si="14"/>
        <v>0</v>
      </c>
      <c r="I954">
        <f>COUNTIF(deals_closed!D:D, A954)</f>
        <v>26</v>
      </c>
      <c r="K954" t="str">
        <f>_xlfn.CONCAT(B954, " ",C954)</f>
        <v>Sadella Fateley</v>
      </c>
    </row>
    <row r="955" spans="1:11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VLOOKUP(D955,'2018_commission_structure'!$A$2:$C$4,3,FALSE)</f>
        <v>80000</v>
      </c>
      <c r="G955">
        <f>VLOOKUP(D955,'2018_commission_structure'!$A$2:$C$4,2,FALSE)</f>
        <v>50000</v>
      </c>
      <c r="H955">
        <f t="shared" si="14"/>
        <v>0</v>
      </c>
      <c r="I955">
        <f>COUNTIF(deals_closed!D:D, A955)</f>
        <v>20</v>
      </c>
      <c r="K955" t="str">
        <f>_xlfn.CONCAT(B955, " ",C955)</f>
        <v>Ellen Kevis</v>
      </c>
    </row>
    <row r="956" spans="1:11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VLOOKUP(D956,'2018_commission_structure'!$A$2:$C$4,3,FALSE)</f>
        <v>80000</v>
      </c>
      <c r="G956">
        <f>VLOOKUP(D956,'2018_commission_structure'!$A$2:$C$4,2,FALSE)</f>
        <v>50000</v>
      </c>
      <c r="H956">
        <f t="shared" si="14"/>
        <v>0</v>
      </c>
      <c r="I956">
        <f>COUNTIF(deals_closed!D:D, A956)</f>
        <v>12</v>
      </c>
      <c r="K956" t="str">
        <f>_xlfn.CONCAT(B956, " ",C956)</f>
        <v>Welbie Siveyer</v>
      </c>
    </row>
    <row r="957" spans="1:11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VLOOKUP(D957,'2018_commission_structure'!$A$2:$C$4,3,FALSE)</f>
        <v>80000</v>
      </c>
      <c r="G957">
        <f>VLOOKUP(D957,'2018_commission_structure'!$A$2:$C$4,2,FALSE)</f>
        <v>50000</v>
      </c>
      <c r="H957">
        <f t="shared" si="14"/>
        <v>0</v>
      </c>
      <c r="I957">
        <f>COUNTIF(deals_closed!D:D, A957)</f>
        <v>20</v>
      </c>
      <c r="K957" t="str">
        <f>_xlfn.CONCAT(B957, " ",C957)</f>
        <v>Quintin Marc</v>
      </c>
    </row>
    <row r="958" spans="1:11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VLOOKUP(D958,'2018_commission_structure'!$A$2:$C$4,3,FALSE)</f>
        <v>65000</v>
      </c>
      <c r="G958">
        <f>VLOOKUP(D958,'2018_commission_structure'!$A$2:$C$4,2,FALSE)</f>
        <v>30000</v>
      </c>
      <c r="H958">
        <f t="shared" si="14"/>
        <v>0</v>
      </c>
      <c r="I958">
        <f>COUNTIF(deals_closed!D:D, A958)</f>
        <v>14</v>
      </c>
      <c r="K958" t="str">
        <f>_xlfn.CONCAT(B958, " ",C958)</f>
        <v>Carmelle Sothcott</v>
      </c>
    </row>
    <row r="959" spans="1:11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VLOOKUP(D959,'2018_commission_structure'!$A$2:$C$4,3,FALSE)</f>
        <v>65000</v>
      </c>
      <c r="G959">
        <f>VLOOKUP(D959,'2018_commission_structure'!$A$2:$C$4,2,FALSE)</f>
        <v>30000</v>
      </c>
      <c r="H959">
        <f t="shared" si="14"/>
        <v>0</v>
      </c>
      <c r="I959">
        <f>COUNTIF(deals_closed!D:D, A959)</f>
        <v>14</v>
      </c>
      <c r="K959" t="str">
        <f>_xlfn.CONCAT(B959, " ",C959)</f>
        <v>Wallas Druitt</v>
      </c>
    </row>
    <row r="960" spans="1:11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VLOOKUP(D960,'2018_commission_structure'!$A$2:$C$4,3,FALSE)</f>
        <v>65000</v>
      </c>
      <c r="G960">
        <f>VLOOKUP(D960,'2018_commission_structure'!$A$2:$C$4,2,FALSE)</f>
        <v>30000</v>
      </c>
      <c r="H960">
        <f t="shared" si="14"/>
        <v>0</v>
      </c>
      <c r="I960">
        <f>COUNTIF(deals_closed!D:D, A960)</f>
        <v>10</v>
      </c>
      <c r="K960" t="str">
        <f>_xlfn.CONCAT(B960, " ",C960)</f>
        <v>Leone Capstack</v>
      </c>
    </row>
    <row r="961" spans="1:11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VLOOKUP(D961,'2018_commission_structure'!$A$2:$C$4,3,FALSE)</f>
        <v>65000</v>
      </c>
      <c r="G961">
        <f>VLOOKUP(D961,'2018_commission_structure'!$A$2:$C$4,2,FALSE)</f>
        <v>30000</v>
      </c>
      <c r="H961">
        <f t="shared" si="14"/>
        <v>0</v>
      </c>
      <c r="I961">
        <f>COUNTIF(deals_closed!D:D, A961)</f>
        <v>26</v>
      </c>
      <c r="K961" t="str">
        <f>_xlfn.CONCAT(B961, " ",C961)</f>
        <v>Ali Izaks</v>
      </c>
    </row>
    <row r="962" spans="1:11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VLOOKUP(D962,'2018_commission_structure'!$A$2:$C$4,3,FALSE)</f>
        <v>80000</v>
      </c>
      <c r="G962">
        <f>VLOOKUP(D962,'2018_commission_structure'!$A$2:$C$4,2,FALSE)</f>
        <v>50000</v>
      </c>
      <c r="H962">
        <f t="shared" si="14"/>
        <v>0</v>
      </c>
      <c r="I962">
        <f>COUNTIF(deals_closed!D:D, A962)</f>
        <v>18</v>
      </c>
      <c r="K962" t="str">
        <f>_xlfn.CONCAT(B962, " ",C962)</f>
        <v>Cobb Avramow</v>
      </c>
    </row>
    <row r="963" spans="1:11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VLOOKUP(D963,'2018_commission_structure'!$A$2:$C$4,3,FALSE)</f>
        <v>125000</v>
      </c>
      <c r="G963">
        <f>VLOOKUP(D963,'2018_commission_structure'!$A$2:$C$4,2,FALSE)</f>
        <v>75000</v>
      </c>
      <c r="H963">
        <f t="shared" ref="H963:H1001" si="15">IF(AND(E963&gt;=G963,E963&lt;=F963),0,1)</f>
        <v>0</v>
      </c>
      <c r="I963">
        <f>COUNTIF(deals_closed!D:D, A963)</f>
        <v>21</v>
      </c>
      <c r="K963" t="str">
        <f>_xlfn.CONCAT(B963, " ",C963)</f>
        <v>Robinia Losseljong</v>
      </c>
    </row>
    <row r="964" spans="1:11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VLOOKUP(D964,'2018_commission_structure'!$A$2:$C$4,3,FALSE)</f>
        <v>65000</v>
      </c>
      <c r="G964">
        <f>VLOOKUP(D964,'2018_commission_structure'!$A$2:$C$4,2,FALSE)</f>
        <v>30000</v>
      </c>
      <c r="H964">
        <f t="shared" si="15"/>
        <v>0</v>
      </c>
      <c r="I964">
        <f>COUNTIF(deals_closed!D:D, A964)</f>
        <v>16</v>
      </c>
      <c r="K964" t="str">
        <f>_xlfn.CONCAT(B964, " ",C964)</f>
        <v>Deloria Jardine</v>
      </c>
    </row>
    <row r="965" spans="1:11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VLOOKUP(D965,'2018_commission_structure'!$A$2:$C$4,3,FALSE)</f>
        <v>80000</v>
      </c>
      <c r="G965">
        <f>VLOOKUP(D965,'2018_commission_structure'!$A$2:$C$4,2,FALSE)</f>
        <v>50000</v>
      </c>
      <c r="H965">
        <f t="shared" si="15"/>
        <v>0</v>
      </c>
      <c r="I965">
        <f>COUNTIF(deals_closed!D:D, A965)</f>
        <v>8</v>
      </c>
      <c r="K965" t="str">
        <f>_xlfn.CONCAT(B965, " ",C965)</f>
        <v>Reggie Striker</v>
      </c>
    </row>
    <row r="966" spans="1:11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VLOOKUP(D966,'2018_commission_structure'!$A$2:$C$4,3,FALSE)</f>
        <v>125000</v>
      </c>
      <c r="G966">
        <f>VLOOKUP(D966,'2018_commission_structure'!$A$2:$C$4,2,FALSE)</f>
        <v>75000</v>
      </c>
      <c r="H966">
        <f t="shared" si="15"/>
        <v>0</v>
      </c>
      <c r="I966">
        <f>COUNTIF(deals_closed!D:D, A966)</f>
        <v>32</v>
      </c>
      <c r="K966" t="str">
        <f>_xlfn.CONCAT(B966, " ",C966)</f>
        <v>Barnabe McCaighey</v>
      </c>
    </row>
    <row r="967" spans="1:11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VLOOKUP(D967,'2018_commission_structure'!$A$2:$C$4,3,FALSE)</f>
        <v>125000</v>
      </c>
      <c r="G967">
        <f>VLOOKUP(D967,'2018_commission_structure'!$A$2:$C$4,2,FALSE)</f>
        <v>75000</v>
      </c>
      <c r="H967">
        <f t="shared" si="15"/>
        <v>0</v>
      </c>
      <c r="I967">
        <f>COUNTIF(deals_closed!D:D, A967)</f>
        <v>20</v>
      </c>
      <c r="K967" t="str">
        <f>_xlfn.CONCAT(B967, " ",C967)</f>
        <v>Reeta Hildred</v>
      </c>
    </row>
    <row r="968" spans="1:11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VLOOKUP(D968,'2018_commission_structure'!$A$2:$C$4,3,FALSE)</f>
        <v>80000</v>
      </c>
      <c r="G968">
        <f>VLOOKUP(D968,'2018_commission_structure'!$A$2:$C$4,2,FALSE)</f>
        <v>50000</v>
      </c>
      <c r="H968">
        <f t="shared" si="15"/>
        <v>0</v>
      </c>
      <c r="I968">
        <f>COUNTIF(deals_closed!D:D, A968)</f>
        <v>27</v>
      </c>
      <c r="K968" t="str">
        <f>_xlfn.CONCAT(B968, " ",C968)</f>
        <v>Demetri Goatman</v>
      </c>
    </row>
    <row r="969" spans="1:11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VLOOKUP(D969,'2018_commission_structure'!$A$2:$C$4,3,FALSE)</f>
        <v>65000</v>
      </c>
      <c r="G969">
        <f>VLOOKUP(D969,'2018_commission_structure'!$A$2:$C$4,2,FALSE)</f>
        <v>30000</v>
      </c>
      <c r="H969">
        <f t="shared" si="15"/>
        <v>0</v>
      </c>
      <c r="I969">
        <f>COUNTIF(deals_closed!D:D, A969)</f>
        <v>13</v>
      </c>
      <c r="K969" t="str">
        <f>_xlfn.CONCAT(B969, " ",C969)</f>
        <v>Jamie Simmings</v>
      </c>
    </row>
    <row r="970" spans="1:11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VLOOKUP(D970,'2018_commission_structure'!$A$2:$C$4,3,FALSE)</f>
        <v>80000</v>
      </c>
      <c r="G970">
        <f>VLOOKUP(D970,'2018_commission_structure'!$A$2:$C$4,2,FALSE)</f>
        <v>50000</v>
      </c>
      <c r="H970">
        <f t="shared" si="15"/>
        <v>0</v>
      </c>
      <c r="I970">
        <f>COUNTIF(deals_closed!D:D, A970)</f>
        <v>22</v>
      </c>
      <c r="K970" t="str">
        <f>_xlfn.CONCAT(B970, " ",C970)</f>
        <v>Neil Perritt</v>
      </c>
    </row>
    <row r="971" spans="1:11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VLOOKUP(D971,'2018_commission_structure'!$A$2:$C$4,3,FALSE)</f>
        <v>65000</v>
      </c>
      <c r="G971">
        <f>VLOOKUP(D971,'2018_commission_structure'!$A$2:$C$4,2,FALSE)</f>
        <v>30000</v>
      </c>
      <c r="H971">
        <f t="shared" si="15"/>
        <v>0</v>
      </c>
      <c r="I971">
        <f>COUNTIF(deals_closed!D:D, A971)</f>
        <v>14</v>
      </c>
      <c r="K971" t="str">
        <f>_xlfn.CONCAT(B971, " ",C971)</f>
        <v>Fianna Restorick</v>
      </c>
    </row>
    <row r="972" spans="1:11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VLOOKUP(D972,'2018_commission_structure'!$A$2:$C$4,3,FALSE)</f>
        <v>80000</v>
      </c>
      <c r="G972">
        <f>VLOOKUP(D972,'2018_commission_structure'!$A$2:$C$4,2,FALSE)</f>
        <v>50000</v>
      </c>
      <c r="H972">
        <f t="shared" si="15"/>
        <v>0</v>
      </c>
      <c r="I972">
        <f>COUNTIF(deals_closed!D:D, A972)</f>
        <v>24</v>
      </c>
      <c r="K972" t="str">
        <f>_xlfn.CONCAT(B972, " ",C972)</f>
        <v>Xymenes Stallard</v>
      </c>
    </row>
    <row r="973" spans="1:11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VLOOKUP(D973,'2018_commission_structure'!$A$2:$C$4,3,FALSE)</f>
        <v>125000</v>
      </c>
      <c r="G973">
        <f>VLOOKUP(D973,'2018_commission_structure'!$A$2:$C$4,2,FALSE)</f>
        <v>75000</v>
      </c>
      <c r="H973">
        <f t="shared" si="15"/>
        <v>0</v>
      </c>
      <c r="I973">
        <f>COUNTIF(deals_closed!D:D, A973)</f>
        <v>15</v>
      </c>
      <c r="K973" t="str">
        <f>_xlfn.CONCAT(B973, " ",C973)</f>
        <v>Daniela McMichael</v>
      </c>
    </row>
    <row r="974" spans="1:11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VLOOKUP(D974,'2018_commission_structure'!$A$2:$C$4,3,FALSE)</f>
        <v>80000</v>
      </c>
      <c r="G974">
        <f>VLOOKUP(D974,'2018_commission_structure'!$A$2:$C$4,2,FALSE)</f>
        <v>50000</v>
      </c>
      <c r="H974">
        <f t="shared" si="15"/>
        <v>0</v>
      </c>
      <c r="I974">
        <f>COUNTIF(deals_closed!D:D, A974)</f>
        <v>14</v>
      </c>
      <c r="K974" t="str">
        <f>_xlfn.CONCAT(B974, " ",C974)</f>
        <v>Bernelle Blint</v>
      </c>
    </row>
    <row r="975" spans="1:11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VLOOKUP(D975,'2018_commission_structure'!$A$2:$C$4,3,FALSE)</f>
        <v>80000</v>
      </c>
      <c r="G975">
        <f>VLOOKUP(D975,'2018_commission_structure'!$A$2:$C$4,2,FALSE)</f>
        <v>50000</v>
      </c>
      <c r="H975">
        <f t="shared" si="15"/>
        <v>0</v>
      </c>
      <c r="I975">
        <f>COUNTIF(deals_closed!D:D, A975)</f>
        <v>14</v>
      </c>
      <c r="K975" t="str">
        <f>_xlfn.CONCAT(B975, " ",C975)</f>
        <v>Guilbert Duckett</v>
      </c>
    </row>
    <row r="976" spans="1:11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VLOOKUP(D976,'2018_commission_structure'!$A$2:$C$4,3,FALSE)</f>
        <v>80000</v>
      </c>
      <c r="G976">
        <f>VLOOKUP(D976,'2018_commission_structure'!$A$2:$C$4,2,FALSE)</f>
        <v>50000</v>
      </c>
      <c r="H976">
        <f t="shared" si="15"/>
        <v>0</v>
      </c>
      <c r="I976">
        <f>COUNTIF(deals_closed!D:D, A976)</f>
        <v>20</v>
      </c>
      <c r="K976" t="str">
        <f>_xlfn.CONCAT(B976, " ",C976)</f>
        <v>Dionis Climie</v>
      </c>
    </row>
    <row r="977" spans="1:11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VLOOKUP(D977,'2018_commission_structure'!$A$2:$C$4,3,FALSE)</f>
        <v>125000</v>
      </c>
      <c r="G977">
        <f>VLOOKUP(D977,'2018_commission_structure'!$A$2:$C$4,2,FALSE)</f>
        <v>75000</v>
      </c>
      <c r="H977">
        <f t="shared" si="15"/>
        <v>0</v>
      </c>
      <c r="I977">
        <f>COUNTIF(deals_closed!D:D, A977)</f>
        <v>29</v>
      </c>
      <c r="K977" t="str">
        <f>_xlfn.CONCAT(B977, " ",C977)</f>
        <v>Fifine Jakeman</v>
      </c>
    </row>
    <row r="978" spans="1:11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VLOOKUP(D978,'2018_commission_structure'!$A$2:$C$4,3,FALSE)</f>
        <v>65000</v>
      </c>
      <c r="G978">
        <f>VLOOKUP(D978,'2018_commission_structure'!$A$2:$C$4,2,FALSE)</f>
        <v>30000</v>
      </c>
      <c r="H978">
        <f t="shared" si="15"/>
        <v>0</v>
      </c>
      <c r="I978">
        <f>COUNTIF(deals_closed!D:D, A978)</f>
        <v>11</v>
      </c>
      <c r="K978" t="str">
        <f>_xlfn.CONCAT(B978, " ",C978)</f>
        <v>Keelby Lawie</v>
      </c>
    </row>
    <row r="979" spans="1:11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VLOOKUP(D979,'2018_commission_structure'!$A$2:$C$4,3,FALSE)</f>
        <v>125000</v>
      </c>
      <c r="G979">
        <f>VLOOKUP(D979,'2018_commission_structure'!$A$2:$C$4,2,FALSE)</f>
        <v>75000</v>
      </c>
      <c r="H979">
        <f t="shared" si="15"/>
        <v>0</v>
      </c>
      <c r="I979">
        <f>COUNTIF(deals_closed!D:D, A979)</f>
        <v>23</v>
      </c>
      <c r="K979" t="str">
        <f>_xlfn.CONCAT(B979, " ",C979)</f>
        <v>Saree de Clercq</v>
      </c>
    </row>
    <row r="980" spans="1:11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VLOOKUP(D980,'2018_commission_structure'!$A$2:$C$4,3,FALSE)</f>
        <v>125000</v>
      </c>
      <c r="G980">
        <f>VLOOKUP(D980,'2018_commission_structure'!$A$2:$C$4,2,FALSE)</f>
        <v>75000</v>
      </c>
      <c r="H980">
        <f t="shared" si="15"/>
        <v>0</v>
      </c>
      <c r="I980">
        <f>COUNTIF(deals_closed!D:D, A980)</f>
        <v>29</v>
      </c>
      <c r="K980" t="str">
        <f>_xlfn.CONCAT(B980, " ",C980)</f>
        <v>Sutherland Fantin</v>
      </c>
    </row>
    <row r="981" spans="1:11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VLOOKUP(D981,'2018_commission_structure'!$A$2:$C$4,3,FALSE)</f>
        <v>125000</v>
      </c>
      <c r="G981">
        <f>VLOOKUP(D981,'2018_commission_structure'!$A$2:$C$4,2,FALSE)</f>
        <v>75000</v>
      </c>
      <c r="H981">
        <f t="shared" si="15"/>
        <v>0</v>
      </c>
      <c r="I981">
        <f>COUNTIF(deals_closed!D:D, A981)</f>
        <v>21</v>
      </c>
      <c r="K981" t="str">
        <f>_xlfn.CONCAT(B981, " ",C981)</f>
        <v>Hedwiga Plail</v>
      </c>
    </row>
    <row r="982" spans="1:11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VLOOKUP(D982,'2018_commission_structure'!$A$2:$C$4,3,FALSE)</f>
        <v>65000</v>
      </c>
      <c r="G982">
        <f>VLOOKUP(D982,'2018_commission_structure'!$A$2:$C$4,2,FALSE)</f>
        <v>30000</v>
      </c>
      <c r="H982">
        <f t="shared" si="15"/>
        <v>0</v>
      </c>
      <c r="I982">
        <f>COUNTIF(deals_closed!D:D, A982)</f>
        <v>22</v>
      </c>
      <c r="K982" t="str">
        <f>_xlfn.CONCAT(B982, " ",C982)</f>
        <v>Tucker Wurst</v>
      </c>
    </row>
    <row r="983" spans="1:11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VLOOKUP(D983,'2018_commission_structure'!$A$2:$C$4,3,FALSE)</f>
        <v>65000</v>
      </c>
      <c r="G983">
        <f>VLOOKUP(D983,'2018_commission_structure'!$A$2:$C$4,2,FALSE)</f>
        <v>30000</v>
      </c>
      <c r="H983">
        <f t="shared" si="15"/>
        <v>0</v>
      </c>
      <c r="I983">
        <f>COUNTIF(deals_closed!D:D, A983)</f>
        <v>31</v>
      </c>
      <c r="K983" t="str">
        <f>_xlfn.CONCAT(B983, " ",C983)</f>
        <v>Row Giottini</v>
      </c>
    </row>
    <row r="984" spans="1:11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VLOOKUP(D984,'2018_commission_structure'!$A$2:$C$4,3,FALSE)</f>
        <v>80000</v>
      </c>
      <c r="G984">
        <f>VLOOKUP(D984,'2018_commission_structure'!$A$2:$C$4,2,FALSE)</f>
        <v>50000</v>
      </c>
      <c r="H984">
        <f t="shared" si="15"/>
        <v>0</v>
      </c>
      <c r="I984">
        <f>COUNTIF(deals_closed!D:D, A984)</f>
        <v>25</v>
      </c>
      <c r="K984" t="str">
        <f>_xlfn.CONCAT(B984, " ",C984)</f>
        <v>Tremaine Dyzart</v>
      </c>
    </row>
    <row r="985" spans="1:11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VLOOKUP(D985,'2018_commission_structure'!$A$2:$C$4,3,FALSE)</f>
        <v>65000</v>
      </c>
      <c r="G985">
        <f>VLOOKUP(D985,'2018_commission_structure'!$A$2:$C$4,2,FALSE)</f>
        <v>30000</v>
      </c>
      <c r="H985">
        <f t="shared" si="15"/>
        <v>0</v>
      </c>
      <c r="I985">
        <f>COUNTIF(deals_closed!D:D, A985)</f>
        <v>26</v>
      </c>
      <c r="K985" t="str">
        <f>_xlfn.CONCAT(B985, " ",C985)</f>
        <v>Pippo Huish</v>
      </c>
    </row>
    <row r="986" spans="1:11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VLOOKUP(D986,'2018_commission_structure'!$A$2:$C$4,3,FALSE)</f>
        <v>65000</v>
      </c>
      <c r="G986">
        <f>VLOOKUP(D986,'2018_commission_structure'!$A$2:$C$4,2,FALSE)</f>
        <v>30000</v>
      </c>
      <c r="H986">
        <f t="shared" si="15"/>
        <v>0</v>
      </c>
      <c r="I986">
        <f>COUNTIF(deals_closed!D:D, A986)</f>
        <v>17</v>
      </c>
      <c r="K986" t="str">
        <f>_xlfn.CONCAT(B986, " ",C986)</f>
        <v>Cirilo Bolf</v>
      </c>
    </row>
    <row r="987" spans="1:11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VLOOKUP(D987,'2018_commission_structure'!$A$2:$C$4,3,FALSE)</f>
        <v>125000</v>
      </c>
      <c r="G987">
        <f>VLOOKUP(D987,'2018_commission_structure'!$A$2:$C$4,2,FALSE)</f>
        <v>75000</v>
      </c>
      <c r="H987">
        <f t="shared" si="15"/>
        <v>0</v>
      </c>
      <c r="I987">
        <f>COUNTIF(deals_closed!D:D, A987)</f>
        <v>22</v>
      </c>
      <c r="K987" t="str">
        <f>_xlfn.CONCAT(B987, " ",C987)</f>
        <v>Artair Runcie</v>
      </c>
    </row>
    <row r="988" spans="1:11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VLOOKUP(D988,'2018_commission_structure'!$A$2:$C$4,3,FALSE)</f>
        <v>65000</v>
      </c>
      <c r="G988">
        <f>VLOOKUP(D988,'2018_commission_structure'!$A$2:$C$4,2,FALSE)</f>
        <v>30000</v>
      </c>
      <c r="H988">
        <f t="shared" si="15"/>
        <v>0</v>
      </c>
      <c r="I988">
        <f>COUNTIF(deals_closed!D:D, A988)</f>
        <v>30</v>
      </c>
      <c r="K988" t="str">
        <f>_xlfn.CONCAT(B988, " ",C988)</f>
        <v>Bear Olczyk</v>
      </c>
    </row>
    <row r="989" spans="1:11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VLOOKUP(D989,'2018_commission_structure'!$A$2:$C$4,3,FALSE)</f>
        <v>80000</v>
      </c>
      <c r="G989">
        <f>VLOOKUP(D989,'2018_commission_structure'!$A$2:$C$4,2,FALSE)</f>
        <v>50000</v>
      </c>
      <c r="H989">
        <f t="shared" si="15"/>
        <v>0</v>
      </c>
      <c r="I989">
        <f>COUNTIF(deals_closed!D:D, A989)</f>
        <v>20</v>
      </c>
      <c r="K989" t="str">
        <f>_xlfn.CONCAT(B989, " ",C989)</f>
        <v>Eryn Derle</v>
      </c>
    </row>
    <row r="990" spans="1:11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VLOOKUP(D990,'2018_commission_structure'!$A$2:$C$4,3,FALSE)</f>
        <v>65000</v>
      </c>
      <c r="G990">
        <f>VLOOKUP(D990,'2018_commission_structure'!$A$2:$C$4,2,FALSE)</f>
        <v>30000</v>
      </c>
      <c r="H990">
        <f t="shared" si="15"/>
        <v>0</v>
      </c>
      <c r="I990">
        <f>COUNTIF(deals_closed!D:D, A990)</f>
        <v>23</v>
      </c>
      <c r="K990" t="str">
        <f>_xlfn.CONCAT(B990, " ",C990)</f>
        <v>Sterling Bebbington</v>
      </c>
    </row>
    <row r="991" spans="1:11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VLOOKUP(D991,'2018_commission_structure'!$A$2:$C$4,3,FALSE)</f>
        <v>80000</v>
      </c>
      <c r="G991">
        <f>VLOOKUP(D991,'2018_commission_structure'!$A$2:$C$4,2,FALSE)</f>
        <v>50000</v>
      </c>
      <c r="H991">
        <f t="shared" si="15"/>
        <v>0</v>
      </c>
      <c r="I991">
        <f>COUNTIF(deals_closed!D:D, A991)</f>
        <v>13</v>
      </c>
      <c r="K991" t="str">
        <f>_xlfn.CONCAT(B991, " ",C991)</f>
        <v>Chan Thorwarth</v>
      </c>
    </row>
    <row r="992" spans="1:11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VLOOKUP(D992,'2018_commission_structure'!$A$2:$C$4,3,FALSE)</f>
        <v>65000</v>
      </c>
      <c r="G992">
        <f>VLOOKUP(D992,'2018_commission_structure'!$A$2:$C$4,2,FALSE)</f>
        <v>30000</v>
      </c>
      <c r="H992">
        <f t="shared" si="15"/>
        <v>0</v>
      </c>
      <c r="I992">
        <f>COUNTIF(deals_closed!D:D, A992)</f>
        <v>26</v>
      </c>
      <c r="K992" t="str">
        <f>_xlfn.CONCAT(B992, " ",C992)</f>
        <v>Karlie Wennington</v>
      </c>
    </row>
    <row r="993" spans="1:11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VLOOKUP(D993,'2018_commission_structure'!$A$2:$C$4,3,FALSE)</f>
        <v>125000</v>
      </c>
      <c r="G993">
        <f>VLOOKUP(D993,'2018_commission_structure'!$A$2:$C$4,2,FALSE)</f>
        <v>75000</v>
      </c>
      <c r="H993">
        <f t="shared" si="15"/>
        <v>0</v>
      </c>
      <c r="I993">
        <f>COUNTIF(deals_closed!D:D, A993)</f>
        <v>31</v>
      </c>
      <c r="K993" t="str">
        <f>_xlfn.CONCAT(B993, " ",C993)</f>
        <v>Scot Lethem</v>
      </c>
    </row>
    <row r="994" spans="1:11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VLOOKUP(D994,'2018_commission_structure'!$A$2:$C$4,3,FALSE)</f>
        <v>125000</v>
      </c>
      <c r="G994">
        <f>VLOOKUP(D994,'2018_commission_structure'!$A$2:$C$4,2,FALSE)</f>
        <v>75000</v>
      </c>
      <c r="H994">
        <f t="shared" si="15"/>
        <v>0</v>
      </c>
      <c r="I994">
        <f>COUNTIF(deals_closed!D:D, A994)</f>
        <v>20</v>
      </c>
      <c r="K994" t="str">
        <f>_xlfn.CONCAT(B994, " ",C994)</f>
        <v>Monique Hammelberg</v>
      </c>
    </row>
    <row r="995" spans="1:11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VLOOKUP(D995,'2018_commission_structure'!$A$2:$C$4,3,FALSE)</f>
        <v>125000</v>
      </c>
      <c r="G995">
        <f>VLOOKUP(D995,'2018_commission_structure'!$A$2:$C$4,2,FALSE)</f>
        <v>75000</v>
      </c>
      <c r="H995">
        <f t="shared" si="15"/>
        <v>0</v>
      </c>
      <c r="I995">
        <f>COUNTIF(deals_closed!D:D, A995)</f>
        <v>14</v>
      </c>
      <c r="K995" t="str">
        <f>_xlfn.CONCAT(B995, " ",C995)</f>
        <v>Chen Dicker</v>
      </c>
    </row>
    <row r="996" spans="1:11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VLOOKUP(D996,'2018_commission_structure'!$A$2:$C$4,3,FALSE)</f>
        <v>65000</v>
      </c>
      <c r="G996">
        <f>VLOOKUP(D996,'2018_commission_structure'!$A$2:$C$4,2,FALSE)</f>
        <v>30000</v>
      </c>
      <c r="H996">
        <f t="shared" si="15"/>
        <v>0</v>
      </c>
      <c r="I996">
        <f>COUNTIF(deals_closed!D:D, A996)</f>
        <v>14</v>
      </c>
      <c r="K996" t="str">
        <f>_xlfn.CONCAT(B996, " ",C996)</f>
        <v>Arleen Freezor</v>
      </c>
    </row>
    <row r="997" spans="1:11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VLOOKUP(D997,'2018_commission_structure'!$A$2:$C$4,3,FALSE)</f>
        <v>80000</v>
      </c>
      <c r="G997">
        <f>VLOOKUP(D997,'2018_commission_structure'!$A$2:$C$4,2,FALSE)</f>
        <v>50000</v>
      </c>
      <c r="H997">
        <f t="shared" si="15"/>
        <v>0</v>
      </c>
      <c r="I997">
        <f>COUNTIF(deals_closed!D:D, A997)</f>
        <v>22</v>
      </c>
      <c r="K997" t="str">
        <f>_xlfn.CONCAT(B997, " ",C997)</f>
        <v>Trevor Greschik</v>
      </c>
    </row>
    <row r="998" spans="1:11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VLOOKUP(D998,'2018_commission_structure'!$A$2:$C$4,3,FALSE)</f>
        <v>125000</v>
      </c>
      <c r="G998">
        <f>VLOOKUP(D998,'2018_commission_structure'!$A$2:$C$4,2,FALSE)</f>
        <v>75000</v>
      </c>
      <c r="H998">
        <f t="shared" si="15"/>
        <v>0</v>
      </c>
      <c r="I998">
        <f>COUNTIF(deals_closed!D:D, A998)</f>
        <v>18</v>
      </c>
      <c r="K998" t="str">
        <f>_xlfn.CONCAT(B998, " ",C998)</f>
        <v>Burch Chat</v>
      </c>
    </row>
    <row r="999" spans="1:11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VLOOKUP(D999,'2018_commission_structure'!$A$2:$C$4,3,FALSE)</f>
        <v>125000</v>
      </c>
      <c r="G999">
        <f>VLOOKUP(D999,'2018_commission_structure'!$A$2:$C$4,2,FALSE)</f>
        <v>75000</v>
      </c>
      <c r="H999">
        <f t="shared" si="15"/>
        <v>0</v>
      </c>
      <c r="I999">
        <f>COUNTIF(deals_closed!D:D, A999)</f>
        <v>22</v>
      </c>
      <c r="K999" t="str">
        <f>_xlfn.CONCAT(B999, " ",C999)</f>
        <v>Marijn Avison</v>
      </c>
    </row>
    <row r="1000" spans="1:11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VLOOKUP(D1000,'2018_commission_structure'!$A$2:$C$4,3,FALSE)</f>
        <v>125000</v>
      </c>
      <c r="G1000">
        <f>VLOOKUP(D1000,'2018_commission_structure'!$A$2:$C$4,2,FALSE)</f>
        <v>75000</v>
      </c>
      <c r="H1000">
        <f t="shared" si="15"/>
        <v>0</v>
      </c>
      <c r="I1000">
        <f>COUNTIF(deals_closed!D:D, A1000)</f>
        <v>18</v>
      </c>
      <c r="K1000" t="str">
        <f>_xlfn.CONCAT(B1000, " ",C1000)</f>
        <v>Heinrick Conelly</v>
      </c>
    </row>
    <row r="1001" spans="1:11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VLOOKUP(D1001,'2018_commission_structure'!$A$2:$C$4,3,FALSE)</f>
        <v>80000</v>
      </c>
      <c r="G1001">
        <f>VLOOKUP(D1001,'2018_commission_structure'!$A$2:$C$4,2,FALSE)</f>
        <v>50000</v>
      </c>
      <c r="H1001">
        <f t="shared" si="15"/>
        <v>0</v>
      </c>
      <c r="I1001">
        <f>COUNTIF(deals_closed!D:D, A1001)</f>
        <v>22</v>
      </c>
      <c r="K1001" t="str">
        <f>_xlfn.CONCAT(B1001, " ",C1001)</f>
        <v>Nealson Niezen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013AA-0BFD-42D2-B668-4CFF994F1E01}">
  <dimension ref="A1:C10"/>
  <sheetViews>
    <sheetView tabSelected="1" workbookViewId="0">
      <selection activeCell="C1" sqref="C1"/>
    </sheetView>
  </sheetViews>
  <sheetFormatPr defaultRowHeight="15" x14ac:dyDescent="0.25"/>
  <cols>
    <col min="1" max="1" width="25.28515625" bestFit="1" customWidth="1"/>
    <col min="2" max="2" width="22.5703125" bestFit="1" customWidth="1"/>
    <col min="3" max="3" width="16.7109375" customWidth="1"/>
    <col min="4" max="4" width="11" bestFit="1" customWidth="1"/>
  </cols>
  <sheetData>
    <row r="1" spans="1:3" x14ac:dyDescent="0.25">
      <c r="A1" t="s">
        <v>22329</v>
      </c>
      <c r="B1" t="s">
        <v>22338</v>
      </c>
      <c r="C1">
        <v>515647594</v>
      </c>
    </row>
    <row r="2" spans="1:3" x14ac:dyDescent="0.25">
      <c r="B2" t="s">
        <v>22337</v>
      </c>
      <c r="C2" t="str">
        <f>VLOOKUP(C1,base_salary!A2:L1001,11,TRUE)</f>
        <v>Foster Smith</v>
      </c>
    </row>
    <row r="3" spans="1:3" x14ac:dyDescent="0.25">
      <c r="B3" t="s">
        <v>22332</v>
      </c>
      <c r="C3" t="str">
        <f>VLOOKUP(C1,base_salary!A2:L1001,4,TRUE)</f>
        <v>Account Executive I</v>
      </c>
    </row>
    <row r="4" spans="1:3" x14ac:dyDescent="0.25">
      <c r="A4" t="s">
        <v>22330</v>
      </c>
      <c r="B4" t="s">
        <v>22333</v>
      </c>
      <c r="C4" s="5">
        <f>VLOOKUP(C1,base_salary!A2:L1001,5,TRUE)</f>
        <v>63106</v>
      </c>
    </row>
    <row r="5" spans="1:3" x14ac:dyDescent="0.25">
      <c r="B5" t="s">
        <v>22334</v>
      </c>
      <c r="C5" s="5">
        <f>VLOOKUP(C1,calculations!A2:T1001,19,TRUE)</f>
        <v>71813.55</v>
      </c>
    </row>
    <row r="6" spans="1:3" x14ac:dyDescent="0.25">
      <c r="B6" t="s">
        <v>22335</v>
      </c>
      <c r="C6" s="5">
        <f>VLOOKUP(C1,calculations!A2:T1001,20,TRUE)</f>
        <v>261131.55</v>
      </c>
    </row>
    <row r="7" spans="1:3" x14ac:dyDescent="0.25">
      <c r="C7" s="5"/>
    </row>
    <row r="8" spans="1:3" x14ac:dyDescent="0.25">
      <c r="A8" t="s">
        <v>22331</v>
      </c>
      <c r="B8" t="s">
        <v>22336</v>
      </c>
      <c r="C8" s="5">
        <f>VLOOKUP(C3,benchmark_data!A1:D4,2,TRUE)</f>
        <v>50000</v>
      </c>
    </row>
    <row r="9" spans="1:3" x14ac:dyDescent="0.25">
      <c r="B9" t="s">
        <v>22321</v>
      </c>
      <c r="C9" s="5">
        <f>VLOOKUP(C3,benchmark_data!A1:D4,3,TRUE)</f>
        <v>75000</v>
      </c>
    </row>
    <row r="10" spans="1:3" x14ac:dyDescent="0.25">
      <c r="B10" t="s">
        <v>22322</v>
      </c>
      <c r="C10" s="5">
        <f>VLOOKUP(C3,benchmark_data!A1:D4,4,TRUE)</f>
        <v>125000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B6B805-DB42-4E34-B9F9-BC9DD1F35B37}">
          <x14:formula1>
            <xm:f>base_salary!$A$2:$A$1001</xm:f>
          </x14:formula1>
          <xm:sqref>C1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001"/>
  <sheetViews>
    <sheetView workbookViewId="0">
      <selection activeCell="I14" sqref="I14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</cols>
  <sheetData>
    <row r="1" spans="1:6" x14ac:dyDescent="0.25">
      <c r="A1" t="s">
        <v>1926</v>
      </c>
      <c r="B1" t="s">
        <v>1927</v>
      </c>
      <c r="C1" t="s">
        <v>1928</v>
      </c>
      <c r="D1" t="s">
        <v>0</v>
      </c>
    </row>
    <row r="2" spans="1:6" x14ac:dyDescent="0.25">
      <c r="A2" t="s">
        <v>1929</v>
      </c>
      <c r="B2" t="s">
        <v>1930</v>
      </c>
      <c r="C2">
        <v>56950</v>
      </c>
      <c r="D2">
        <v>5422052862</v>
      </c>
      <c r="F2">
        <f>COUNTIF(D:D,A2)</f>
        <v>0</v>
      </c>
    </row>
    <row r="3" spans="1:6" x14ac:dyDescent="0.25">
      <c r="A3" t="s">
        <v>1931</v>
      </c>
      <c r="B3" t="s">
        <v>1932</v>
      </c>
      <c r="C3">
        <v>48209</v>
      </c>
      <c r="D3">
        <v>8565880958</v>
      </c>
      <c r="F3">
        <f t="shared" ref="F3:F10" si="0">COUNTIF(D:D,A3)</f>
        <v>0</v>
      </c>
    </row>
    <row r="4" spans="1:6" x14ac:dyDescent="0.25">
      <c r="A4" t="s">
        <v>1933</v>
      </c>
      <c r="B4" t="s">
        <v>1934</v>
      </c>
      <c r="C4">
        <v>21451</v>
      </c>
      <c r="D4">
        <v>5511711233</v>
      </c>
      <c r="F4">
        <f t="shared" si="0"/>
        <v>0</v>
      </c>
    </row>
    <row r="5" spans="1:6" x14ac:dyDescent="0.25">
      <c r="A5" t="s">
        <v>1935</v>
      </c>
      <c r="B5" t="s">
        <v>1936</v>
      </c>
      <c r="C5">
        <v>25987</v>
      </c>
      <c r="D5">
        <v>3547596165</v>
      </c>
      <c r="F5">
        <f t="shared" si="0"/>
        <v>0</v>
      </c>
    </row>
    <row r="6" spans="1:6" x14ac:dyDescent="0.25">
      <c r="A6" t="s">
        <v>1937</v>
      </c>
      <c r="B6" t="s">
        <v>1938</v>
      </c>
      <c r="C6">
        <v>34774</v>
      </c>
      <c r="D6">
        <v>4175195971</v>
      </c>
      <c r="F6">
        <f t="shared" si="0"/>
        <v>0</v>
      </c>
    </row>
    <row r="7" spans="1:6" x14ac:dyDescent="0.25">
      <c r="A7" t="s">
        <v>1939</v>
      </c>
      <c r="B7" t="s">
        <v>1940</v>
      </c>
      <c r="C7">
        <v>14259</v>
      </c>
      <c r="D7">
        <v>6183510505</v>
      </c>
      <c r="F7">
        <f t="shared" si="0"/>
        <v>0</v>
      </c>
    </row>
    <row r="8" spans="1:6" x14ac:dyDescent="0.25">
      <c r="A8" t="s">
        <v>1941</v>
      </c>
      <c r="B8" t="s">
        <v>1942</v>
      </c>
      <c r="C8">
        <v>14971</v>
      </c>
      <c r="D8">
        <v>9483290694</v>
      </c>
      <c r="F8">
        <f t="shared" si="0"/>
        <v>0</v>
      </c>
    </row>
    <row r="9" spans="1:6" x14ac:dyDescent="0.25">
      <c r="A9" t="s">
        <v>1943</v>
      </c>
      <c r="B9" t="s">
        <v>1944</v>
      </c>
      <c r="C9">
        <v>56182</v>
      </c>
      <c r="D9">
        <v>264454596</v>
      </c>
      <c r="F9">
        <f t="shared" si="0"/>
        <v>0</v>
      </c>
    </row>
    <row r="10" spans="1:6" x14ac:dyDescent="0.25">
      <c r="A10" t="s">
        <v>1945</v>
      </c>
      <c r="B10" t="s">
        <v>1946</v>
      </c>
      <c r="C10">
        <v>37022</v>
      </c>
      <c r="D10">
        <v>3935718624</v>
      </c>
      <c r="F10">
        <f t="shared" si="0"/>
        <v>0</v>
      </c>
    </row>
    <row r="11" spans="1:6" x14ac:dyDescent="0.25">
      <c r="A11" t="s">
        <v>1947</v>
      </c>
      <c r="B11" t="s">
        <v>1948</v>
      </c>
      <c r="C11">
        <v>54203</v>
      </c>
      <c r="D11">
        <v>2355104786</v>
      </c>
    </row>
    <row r="12" spans="1:6" x14ac:dyDescent="0.25">
      <c r="A12" t="s">
        <v>1949</v>
      </c>
      <c r="B12" t="s">
        <v>1950</v>
      </c>
      <c r="C12">
        <v>17688</v>
      </c>
      <c r="D12">
        <v>2533903736</v>
      </c>
    </row>
    <row r="13" spans="1:6" x14ac:dyDescent="0.25">
      <c r="A13" t="s">
        <v>1951</v>
      </c>
      <c r="B13" t="s">
        <v>1952</v>
      </c>
      <c r="C13">
        <v>53718</v>
      </c>
      <c r="D13">
        <v>9293760045</v>
      </c>
    </row>
    <row r="14" spans="1:6" x14ac:dyDescent="0.25">
      <c r="A14" t="s">
        <v>1953</v>
      </c>
      <c r="B14" t="s">
        <v>1954</v>
      </c>
      <c r="C14">
        <v>22114</v>
      </c>
      <c r="D14">
        <v>3933561566</v>
      </c>
    </row>
    <row r="15" spans="1:6" x14ac:dyDescent="0.25">
      <c r="A15" t="s">
        <v>1955</v>
      </c>
      <c r="B15" t="s">
        <v>1956</v>
      </c>
      <c r="C15">
        <v>56954</v>
      </c>
      <c r="D15">
        <v>7402856011</v>
      </c>
    </row>
    <row r="16" spans="1:6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B7E8E-C25A-4D31-8E02-BD4904D215BE}">
  <dimension ref="A1:T1001"/>
  <sheetViews>
    <sheetView workbookViewId="0">
      <selection activeCell="D2" sqref="D2:I14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  <col min="6" max="6" width="19.85546875" bestFit="1" customWidth="1"/>
    <col min="7" max="7" width="14.28515625" style="5" bestFit="1" customWidth="1"/>
    <col min="8" max="9" width="12.5703125" bestFit="1" customWidth="1"/>
    <col min="10" max="10" width="13.28515625" bestFit="1" customWidth="1"/>
    <col min="11" max="11" width="11.5703125" bestFit="1" customWidth="1"/>
    <col min="14" max="14" width="10" bestFit="1" customWidth="1"/>
    <col min="15" max="18" width="11.5703125" bestFit="1" customWidth="1"/>
    <col min="19" max="19" width="17" bestFit="1" customWidth="1"/>
    <col min="20" max="20" width="12.57031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22325</v>
      </c>
      <c r="G1" s="6" t="s">
        <v>22326</v>
      </c>
      <c r="H1" t="s">
        <v>22318</v>
      </c>
      <c r="I1" s="7">
        <v>1.25</v>
      </c>
      <c r="J1" s="7">
        <v>1.5</v>
      </c>
      <c r="K1" s="7">
        <v>2</v>
      </c>
      <c r="L1" t="s">
        <v>22327</v>
      </c>
      <c r="M1" t="s">
        <v>22328</v>
      </c>
      <c r="N1" t="s">
        <v>22313</v>
      </c>
      <c r="O1" t="s">
        <v>22314</v>
      </c>
      <c r="P1" t="s">
        <v>22315</v>
      </c>
      <c r="Q1" t="s">
        <v>22316</v>
      </c>
      <c r="R1" t="s">
        <v>22317</v>
      </c>
      <c r="S1" t="s">
        <v>22339</v>
      </c>
      <c r="T1" t="s">
        <v>22340</v>
      </c>
    </row>
    <row r="2" spans="1:20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 xml:space="preserve"> COUNTIF(deals_closed!D:D,A2)</f>
        <v>19</v>
      </c>
      <c r="G2" s="5">
        <f>SUMIF(deals_closed!D:D, calculations!A2, deals_closed!C:C)</f>
        <v>690078</v>
      </c>
      <c r="H2" s="5">
        <f>VLOOKUP(D2,'2018_commission_structure'!$A$2:$I$4,9,FALSE)</f>
        <v>500000</v>
      </c>
      <c r="I2" s="9">
        <f>H2*1.25</f>
        <v>625000</v>
      </c>
      <c r="J2" s="8">
        <f>H2*1.5</f>
        <v>750000</v>
      </c>
      <c r="K2" s="9">
        <f>H2*2</f>
        <v>1000000</v>
      </c>
      <c r="L2" s="10">
        <f>G2/H2</f>
        <v>1.3801559999999999</v>
      </c>
      <c r="M2" t="str">
        <f>IF(L2&lt;=1, "0-100%",
IF(L2&lt;=1.25, "100-125%",
IF(L2&lt;=1.5, "125-150%",
IF(L2&lt;2, "150-200%", "&gt;200%"))))</f>
        <v>125-150%</v>
      </c>
      <c r="N2" s="9">
        <f>MIN(H2, G2)*INDEX('2018_commission_structure'!$A$1:$I$4,
MATCH($D2, '2018_commission_structure'!$A$1:$A$4,0),
MATCH(N$1, '2018_commission_structure'!$A$1:$I$1,0))</f>
        <v>50000</v>
      </c>
      <c r="O2" s="11">
        <f>IF(G2&gt;H2, MIN(G2-H2, I2-H2)*
INDEX('2018_commission_structure'!$A$1:$I$4,
MATCH($D2, '2018_commission_structure'!$A$1:$A$4, 0),
MATCH(O$1, '2018_commission_structure'!$A$1:$I$1, 0)), 0)</f>
        <v>18750</v>
      </c>
      <c r="P2" s="11">
        <f>IF(G2&gt;H2, MIN(G2-H2, J2-H2)*
INDEX('2018_commission_structure'!$A$1:$I$4,
MATCH($D2, '2018_commission_structure'!$A$1:$A$4, 0),
MATCH(O$1, '2018_commission_structure'!$A$1:$I$1, 0)), 0)</f>
        <v>28511.7</v>
      </c>
      <c r="Q2" s="11">
        <f>IF(G2&gt;H2, MIN(G2-H2, I2-H2)*
INDEX('2018_commission_structure'!$A$1:$I$4,
MATCH($D2, '2018_commission_structure'!$A$1:$A$4, 0),
MATCH(P$1, '2018_commission_structure'!$A$1:$I$1, 0)), 0)</f>
        <v>22500</v>
      </c>
      <c r="R2" s="11">
        <f>IF(G2&gt;K2, (G2-K2) *
INDEX('2018_commission_structure'!$A$1:$I$4,
MATCH($D2, '2018_commission_structure'!$A$1:$A$4,0),
MATCH(R$1, '2018_commission_structure'!$A$1:$I$1,0)), 0)</f>
        <v>0</v>
      </c>
      <c r="S2" s="11">
        <f>SUM(O2:Q2)</f>
        <v>69761.7</v>
      </c>
      <c r="T2" s="11" cm="1">
        <f t="array" ref="T2">SUM(E2+O2:Q2)</f>
        <v>234545.7</v>
      </c>
    </row>
    <row r="3" spans="1:20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 xml:space="preserve"> COUNTIF(deals_closed!D:D,A3)</f>
        <v>27</v>
      </c>
      <c r="G3" s="5">
        <f>SUMIF(deals_closed!D:D, calculations!A3, deals_closed!C:C)</f>
        <v>929293</v>
      </c>
      <c r="H3" s="5">
        <f>VLOOKUP(D3,'2018_commission_structure'!$A$2:$I$4,9,FALSE)</f>
        <v>750000</v>
      </c>
      <c r="I3" s="9">
        <f t="shared" ref="I3:I66" si="0">H3*1.25</f>
        <v>937500</v>
      </c>
      <c r="J3" s="8">
        <f t="shared" ref="J3:J66" si="1">H3*1.5</f>
        <v>1125000</v>
      </c>
      <c r="K3" s="9">
        <f t="shared" ref="K3:K66" si="2">H3*2</f>
        <v>1500000</v>
      </c>
      <c r="L3" s="10">
        <f t="shared" ref="L3:L66" si="3">G3/H3</f>
        <v>1.2390573333333332</v>
      </c>
      <c r="M3" t="str">
        <f t="shared" ref="M3:M66" si="4">IF(L3&lt;=1, "0-100%",
IF(L3&lt;=1.25, "100-125%",
IF(L3&lt;=1.5, "125-150%",
IF(L3&lt;2, "150-200%", "&gt;200%"))))</f>
        <v>100-125%</v>
      </c>
      <c r="N3" s="9">
        <f>MIN(H3, G3)*INDEX('2018_commission_structure'!$A$1:$I$4,
MATCH($D3, '2018_commission_structure'!$A$1:$A$4,0),
MATCH(N$1, '2018_commission_structure'!$A$1:$I$1,0))</f>
        <v>112500</v>
      </c>
      <c r="O3" s="11">
        <f>IF(G3&gt;H3, MIN(G3-H3, I3-H3)*
INDEX('2018_commission_structure'!$A$1:$I$4,
MATCH($D3, '2018_commission_structure'!$A$1:$A$4, 0),
MATCH(O$1, '2018_commission_structure'!$A$1:$I$1, 0)), 0)</f>
        <v>34065.67</v>
      </c>
      <c r="P3" s="11">
        <f>IF(G3&gt;H3, MIN(G3-H3, J3-H3)*
INDEX('2018_commission_structure'!$A$1:$I$4,
MATCH($D3, '2018_commission_structure'!$A$1:$A$4, 0),
MATCH(O$1, '2018_commission_structure'!$A$1:$I$1, 0)), 0)</f>
        <v>34065.67</v>
      </c>
      <c r="Q3" s="11">
        <f>IF(G3&gt;H3, MIN(G3-H3, I3-H3)*
INDEX('2018_commission_structure'!$A$1:$I$4,
MATCH($D3, '2018_commission_structure'!$A$1:$A$4, 0),
MATCH(P$1, '2018_commission_structure'!$A$1:$I$1, 0)), 0)</f>
        <v>41237.39</v>
      </c>
      <c r="R3" s="11">
        <f>IF(G3&gt;K3, (G3-K3) *
INDEX('2018_commission_structure'!$A$1:$I$4,
MATCH($D3, '2018_commission_structure'!$A$1:$A$4,0),
MATCH(R$1, '2018_commission_structure'!$A$1:$I$1,0)), 0)</f>
        <v>0</v>
      </c>
      <c r="S3" s="11">
        <f t="shared" ref="S3:S66" si="5">SUM(O3:Q3)</f>
        <v>109368.73</v>
      </c>
      <c r="T3" s="11" cm="1">
        <f t="array" ref="T3">SUM(E3+O3:Q3)</f>
        <v>351648.73</v>
      </c>
    </row>
    <row r="4" spans="1:20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 xml:space="preserve"> COUNTIF(deals_closed!D:D,A4)</f>
        <v>20</v>
      </c>
      <c r="G4" s="5">
        <f>SUMIF(deals_closed!D:D, calculations!A4, deals_closed!C:C)</f>
        <v>737684</v>
      </c>
      <c r="H4" s="5">
        <f>VLOOKUP(D4,'2018_commission_structure'!$A$2:$I$4,9,FALSE)</f>
        <v>750000</v>
      </c>
      <c r="I4" s="9">
        <f t="shared" si="0"/>
        <v>937500</v>
      </c>
      <c r="J4" s="8">
        <f t="shared" si="1"/>
        <v>1125000</v>
      </c>
      <c r="K4" s="9">
        <f t="shared" si="2"/>
        <v>1500000</v>
      </c>
      <c r="L4" s="10">
        <f t="shared" si="3"/>
        <v>0.98357866666666671</v>
      </c>
      <c r="M4" t="str">
        <f t="shared" si="4"/>
        <v>0-100%</v>
      </c>
      <c r="N4" s="9">
        <f>MIN(H4, G4)*INDEX('2018_commission_structure'!$A$1:$I$4,
MATCH($D4, '2018_commission_structure'!$A$1:$A$4,0),
MATCH(N$1, '2018_commission_structure'!$A$1:$I$1,0))</f>
        <v>110652.59999999999</v>
      </c>
      <c r="O4" s="11">
        <f>IF(G4&gt;H4, MIN(G4-H4, I4-H4)*
INDEX('2018_commission_structure'!$A$1:$I$4,
MATCH($D4, '2018_commission_structure'!$A$1:$A$4, 0),
MATCH(O$1, '2018_commission_structure'!$A$1:$I$1, 0)), 0)</f>
        <v>0</v>
      </c>
      <c r="P4" s="11">
        <f>IF(G4&gt;H4, MIN(G4-H4, J4-H4)*
INDEX('2018_commission_structure'!$A$1:$I$4,
MATCH($D4, '2018_commission_structure'!$A$1:$A$4, 0),
MATCH(O$1, '2018_commission_structure'!$A$1:$I$1, 0)), 0)</f>
        <v>0</v>
      </c>
      <c r="Q4" s="11">
        <f>IF(G4&gt;H4, MIN(G4-H4, I4-H4)*
INDEX('2018_commission_structure'!$A$1:$I$4,
MATCH($D4, '2018_commission_structure'!$A$1:$A$4, 0),
MATCH(P$1, '2018_commission_structure'!$A$1:$I$1, 0)), 0)</f>
        <v>0</v>
      </c>
      <c r="R4" s="11">
        <f>IF(G4&gt;K4, (G4-K4) *
INDEX('2018_commission_structure'!$A$1:$I$4,
MATCH($D4, '2018_commission_structure'!$A$1:$A$4,0),
MATCH(R$1, '2018_commission_structure'!$A$1:$I$1,0)), 0)</f>
        <v>0</v>
      </c>
      <c r="S4" s="11">
        <f t="shared" si="5"/>
        <v>0</v>
      </c>
      <c r="T4" s="11" cm="1">
        <f t="array" ref="T4">SUM(E4+O4:Q4)</f>
        <v>340359</v>
      </c>
    </row>
    <row r="5" spans="1:20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 xml:space="preserve"> COUNTIF(deals_closed!D:D,A5)</f>
        <v>20</v>
      </c>
      <c r="G5" s="5">
        <f>SUMIF(deals_closed!D:D, calculations!A5, deals_closed!C:C)</f>
        <v>757866</v>
      </c>
      <c r="H5" s="5">
        <f>VLOOKUP(D5,'2018_commission_structure'!$A$2:$I$4,9,FALSE)</f>
        <v>750000</v>
      </c>
      <c r="I5" s="9">
        <f t="shared" si="0"/>
        <v>937500</v>
      </c>
      <c r="J5" s="8">
        <f t="shared" si="1"/>
        <v>1125000</v>
      </c>
      <c r="K5" s="9">
        <f t="shared" si="2"/>
        <v>1500000</v>
      </c>
      <c r="L5" s="10">
        <f t="shared" si="3"/>
        <v>1.0104880000000001</v>
      </c>
      <c r="M5" t="str">
        <f t="shared" si="4"/>
        <v>100-125%</v>
      </c>
      <c r="N5" s="9">
        <f>MIN(H5, G5)*INDEX('2018_commission_structure'!$A$1:$I$4,
MATCH($D5, '2018_commission_structure'!$A$1:$A$4,0),
MATCH(N$1, '2018_commission_structure'!$A$1:$I$1,0))</f>
        <v>112500</v>
      </c>
      <c r="O5" s="11">
        <f>IF(G5&gt;H5, MIN(G5-H5, I5-H5)*
INDEX('2018_commission_structure'!$A$1:$I$4,
MATCH($D5, '2018_commission_structure'!$A$1:$A$4, 0),
MATCH(O$1, '2018_commission_structure'!$A$1:$I$1, 0)), 0)</f>
        <v>1494.54</v>
      </c>
      <c r="P5" s="11">
        <f>IF(G5&gt;H5, MIN(G5-H5, J5-H5)*
INDEX('2018_commission_structure'!$A$1:$I$4,
MATCH($D5, '2018_commission_structure'!$A$1:$A$4, 0),
MATCH(O$1, '2018_commission_structure'!$A$1:$I$1, 0)), 0)</f>
        <v>1494.54</v>
      </c>
      <c r="Q5" s="11">
        <f>IF(G5&gt;H5, MIN(G5-H5, I5-H5)*
INDEX('2018_commission_structure'!$A$1:$I$4,
MATCH($D5, '2018_commission_structure'!$A$1:$A$4, 0),
MATCH(P$1, '2018_commission_structure'!$A$1:$I$1, 0)), 0)</f>
        <v>1809.18</v>
      </c>
      <c r="R5" s="11">
        <f>IF(G5&gt;K5, (G5-K5) *
INDEX('2018_commission_structure'!$A$1:$I$4,
MATCH($D5, '2018_commission_structure'!$A$1:$A$4,0),
MATCH(R$1, '2018_commission_structure'!$A$1:$I$1,0)), 0)</f>
        <v>0</v>
      </c>
      <c r="S5" s="11">
        <f t="shared" si="5"/>
        <v>4798.26</v>
      </c>
      <c r="T5" s="11" cm="1">
        <f t="array" ref="T5">SUM(E5+O5:Q5)</f>
        <v>321661.26</v>
      </c>
    </row>
    <row r="6" spans="1:20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 xml:space="preserve"> COUNTIF(deals_closed!D:D,A6)</f>
        <v>22</v>
      </c>
      <c r="G6" s="5">
        <f>SUMIF(deals_closed!D:D, calculations!A6, deals_closed!C:C)</f>
        <v>764531</v>
      </c>
      <c r="H6" s="5">
        <f>VLOOKUP(D6,'2018_commission_structure'!$A$2:$I$4,9,FALSE)</f>
        <v>750000</v>
      </c>
      <c r="I6" s="9">
        <f t="shared" si="0"/>
        <v>937500</v>
      </c>
      <c r="J6" s="8">
        <f t="shared" si="1"/>
        <v>1125000</v>
      </c>
      <c r="K6" s="9">
        <f t="shared" si="2"/>
        <v>1500000</v>
      </c>
      <c r="L6" s="10">
        <f t="shared" si="3"/>
        <v>1.0193746666666668</v>
      </c>
      <c r="M6" t="str">
        <f t="shared" si="4"/>
        <v>100-125%</v>
      </c>
      <c r="N6" s="9">
        <f>MIN(H6, G6)*INDEX('2018_commission_structure'!$A$1:$I$4,
MATCH($D6, '2018_commission_structure'!$A$1:$A$4,0),
MATCH(N$1, '2018_commission_structure'!$A$1:$I$1,0))</f>
        <v>112500</v>
      </c>
      <c r="O6" s="11">
        <f>IF(G6&gt;H6, MIN(G6-H6, I6-H6)*
INDEX('2018_commission_structure'!$A$1:$I$4,
MATCH($D6, '2018_commission_structure'!$A$1:$A$4, 0),
MATCH(O$1, '2018_commission_structure'!$A$1:$I$1, 0)), 0)</f>
        <v>2760.89</v>
      </c>
      <c r="P6" s="11">
        <f>IF(G6&gt;H6, MIN(G6-H6, J6-H6)*
INDEX('2018_commission_structure'!$A$1:$I$4,
MATCH($D6, '2018_commission_structure'!$A$1:$A$4, 0),
MATCH(O$1, '2018_commission_structure'!$A$1:$I$1, 0)), 0)</f>
        <v>2760.89</v>
      </c>
      <c r="Q6" s="11">
        <f>IF(G6&gt;H6, MIN(G6-H6, I6-H6)*
INDEX('2018_commission_structure'!$A$1:$I$4,
MATCH($D6, '2018_commission_structure'!$A$1:$A$4, 0),
MATCH(P$1, '2018_commission_structure'!$A$1:$I$1, 0)), 0)</f>
        <v>3342.13</v>
      </c>
      <c r="R6" s="11">
        <f>IF(G6&gt;K6, (G6-K6) *
INDEX('2018_commission_structure'!$A$1:$I$4,
MATCH($D6, '2018_commission_structure'!$A$1:$A$4,0),
MATCH(R$1, '2018_commission_structure'!$A$1:$I$1,0)), 0)</f>
        <v>0</v>
      </c>
      <c r="S6" s="11">
        <f t="shared" si="5"/>
        <v>8863.91</v>
      </c>
      <c r="T6" s="11" cm="1">
        <f t="array" ref="T6">SUM(E6+O6:Q6)</f>
        <v>253156.91</v>
      </c>
    </row>
    <row r="7" spans="1:20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 xml:space="preserve"> COUNTIF(deals_closed!D:D,A7)</f>
        <v>13</v>
      </c>
      <c r="G7" s="5">
        <f>SUMIF(deals_closed!D:D, calculations!A7, deals_closed!C:C)</f>
        <v>529764</v>
      </c>
      <c r="H7" s="5">
        <f>VLOOKUP(D7,'2018_commission_structure'!$A$2:$I$4,9,FALSE)</f>
        <v>750000</v>
      </c>
      <c r="I7" s="9">
        <f t="shared" si="0"/>
        <v>937500</v>
      </c>
      <c r="J7" s="8">
        <f t="shared" si="1"/>
        <v>1125000</v>
      </c>
      <c r="K7" s="9">
        <f t="shared" si="2"/>
        <v>1500000</v>
      </c>
      <c r="L7" s="10">
        <f t="shared" si="3"/>
        <v>0.70635199999999998</v>
      </c>
      <c r="M7" t="str">
        <f t="shared" si="4"/>
        <v>0-100%</v>
      </c>
      <c r="N7" s="9">
        <f>MIN(H7, G7)*INDEX('2018_commission_structure'!$A$1:$I$4,
MATCH($D7, '2018_commission_structure'!$A$1:$A$4,0),
MATCH(N$1, '2018_commission_structure'!$A$1:$I$1,0))</f>
        <v>79464.599999999991</v>
      </c>
      <c r="O7" s="11">
        <f>IF(G7&gt;H7, MIN(G7-H7, I7-H7)*
INDEX('2018_commission_structure'!$A$1:$I$4,
MATCH($D7, '2018_commission_structure'!$A$1:$A$4, 0),
MATCH(O$1, '2018_commission_structure'!$A$1:$I$1, 0)), 0)</f>
        <v>0</v>
      </c>
      <c r="P7" s="11">
        <f>IF(G7&gt;H7, MIN(G7-H7, J7-H7)*
INDEX('2018_commission_structure'!$A$1:$I$4,
MATCH($D7, '2018_commission_structure'!$A$1:$A$4, 0),
MATCH(O$1, '2018_commission_structure'!$A$1:$I$1, 0)), 0)</f>
        <v>0</v>
      </c>
      <c r="Q7" s="11">
        <f>IF(G7&gt;H7, MIN(G7-H7, I7-H7)*
INDEX('2018_commission_structure'!$A$1:$I$4,
MATCH($D7, '2018_commission_structure'!$A$1:$A$4, 0),
MATCH(P$1, '2018_commission_structure'!$A$1:$I$1, 0)), 0)</f>
        <v>0</v>
      </c>
      <c r="R7" s="11">
        <f>IF(G7&gt;K7, (G7-K7) *
INDEX('2018_commission_structure'!$A$1:$I$4,
MATCH($D7, '2018_commission_structure'!$A$1:$A$4,0),
MATCH(R$1, '2018_commission_structure'!$A$1:$I$1,0)), 0)</f>
        <v>0</v>
      </c>
      <c r="S7" s="11">
        <f t="shared" si="5"/>
        <v>0</v>
      </c>
      <c r="T7" s="11" cm="1">
        <f t="array" ref="T7">SUM(E7+O7:Q7)</f>
        <v>330465</v>
      </c>
    </row>
    <row r="8" spans="1:20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 xml:space="preserve"> COUNTIF(deals_closed!D:D,A8)</f>
        <v>22</v>
      </c>
      <c r="G8" s="5">
        <f>SUMIF(deals_closed!D:D, calculations!A8, deals_closed!C:C)</f>
        <v>703757</v>
      </c>
      <c r="H8" s="5">
        <f>VLOOKUP(D8,'2018_commission_structure'!$A$2:$I$4,9,FALSE)</f>
        <v>500000</v>
      </c>
      <c r="I8" s="9">
        <f t="shared" si="0"/>
        <v>625000</v>
      </c>
      <c r="J8" s="8">
        <f t="shared" si="1"/>
        <v>750000</v>
      </c>
      <c r="K8" s="9">
        <f t="shared" si="2"/>
        <v>1000000</v>
      </c>
      <c r="L8" s="10">
        <f t="shared" si="3"/>
        <v>1.4075139999999999</v>
      </c>
      <c r="M8" t="str">
        <f t="shared" si="4"/>
        <v>125-150%</v>
      </c>
      <c r="N8" s="9">
        <f>MIN(H8, G8)*INDEX('2018_commission_structure'!$A$1:$I$4,
MATCH($D8, '2018_commission_structure'!$A$1:$A$4,0),
MATCH(N$1, '2018_commission_structure'!$A$1:$I$1,0))</f>
        <v>50000</v>
      </c>
      <c r="O8" s="11">
        <f>IF(G8&gt;H8, MIN(G8-H8, I8-H8)*
INDEX('2018_commission_structure'!$A$1:$I$4,
MATCH($D8, '2018_commission_structure'!$A$1:$A$4, 0),
MATCH(O$1, '2018_commission_structure'!$A$1:$I$1, 0)), 0)</f>
        <v>18750</v>
      </c>
      <c r="P8" s="11">
        <f>IF(G8&gt;H8, MIN(G8-H8, J8-H8)*
INDEX('2018_commission_structure'!$A$1:$I$4,
MATCH($D8, '2018_commission_structure'!$A$1:$A$4, 0),
MATCH(O$1, '2018_commission_structure'!$A$1:$I$1, 0)), 0)</f>
        <v>30563.55</v>
      </c>
      <c r="Q8" s="11">
        <f>IF(G8&gt;H8, MIN(G8-H8, I8-H8)*
INDEX('2018_commission_structure'!$A$1:$I$4,
MATCH($D8, '2018_commission_structure'!$A$1:$A$4, 0),
MATCH(P$1, '2018_commission_structure'!$A$1:$I$1, 0)), 0)</f>
        <v>22500</v>
      </c>
      <c r="R8" s="11">
        <f>IF(G8&gt;K8, (G8-K8) *
INDEX('2018_commission_structure'!$A$1:$I$4,
MATCH($D8, '2018_commission_structure'!$A$1:$A$4,0),
MATCH(R$1, '2018_commission_structure'!$A$1:$I$1,0)), 0)</f>
        <v>0</v>
      </c>
      <c r="S8" s="11">
        <f t="shared" si="5"/>
        <v>71813.55</v>
      </c>
      <c r="T8" s="11" cm="1">
        <f t="array" ref="T8">SUM(E8+O8:Q8)</f>
        <v>261131.55</v>
      </c>
    </row>
    <row r="9" spans="1:20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 xml:space="preserve"> COUNTIF(deals_closed!D:D,A9)</f>
        <v>22</v>
      </c>
      <c r="G9" s="5">
        <f>SUMIF(deals_closed!D:D, calculations!A9, deals_closed!C:C)</f>
        <v>777660</v>
      </c>
      <c r="H9" s="5">
        <f>VLOOKUP(D9,'2018_commission_structure'!$A$2:$I$4,9,FALSE)</f>
        <v>750000</v>
      </c>
      <c r="I9" s="9">
        <f t="shared" si="0"/>
        <v>937500</v>
      </c>
      <c r="J9" s="8">
        <f t="shared" si="1"/>
        <v>1125000</v>
      </c>
      <c r="K9" s="9">
        <f t="shared" si="2"/>
        <v>1500000</v>
      </c>
      <c r="L9" s="10">
        <f t="shared" si="3"/>
        <v>1.03688</v>
      </c>
      <c r="M9" t="str">
        <f t="shared" si="4"/>
        <v>100-125%</v>
      </c>
      <c r="N9" s="9">
        <f>MIN(H9, G9)*INDEX('2018_commission_structure'!$A$1:$I$4,
MATCH($D9, '2018_commission_structure'!$A$1:$A$4,0),
MATCH(N$1, '2018_commission_structure'!$A$1:$I$1,0))</f>
        <v>112500</v>
      </c>
      <c r="O9" s="11">
        <f>IF(G9&gt;H9, MIN(G9-H9, I9-H9)*
INDEX('2018_commission_structure'!$A$1:$I$4,
MATCH($D9, '2018_commission_structure'!$A$1:$A$4, 0),
MATCH(O$1, '2018_commission_structure'!$A$1:$I$1, 0)), 0)</f>
        <v>5255.4</v>
      </c>
      <c r="P9" s="11">
        <f>IF(G9&gt;H9, MIN(G9-H9, J9-H9)*
INDEX('2018_commission_structure'!$A$1:$I$4,
MATCH($D9, '2018_commission_structure'!$A$1:$A$4, 0),
MATCH(O$1, '2018_commission_structure'!$A$1:$I$1, 0)), 0)</f>
        <v>5255.4</v>
      </c>
      <c r="Q9" s="11">
        <f>IF(G9&gt;H9, MIN(G9-H9, I9-H9)*
INDEX('2018_commission_structure'!$A$1:$I$4,
MATCH($D9, '2018_commission_structure'!$A$1:$A$4, 0),
MATCH(P$1, '2018_commission_structure'!$A$1:$I$1, 0)), 0)</f>
        <v>6361.8</v>
      </c>
      <c r="R9" s="11">
        <f>IF(G9&gt;K9, (G9-K9) *
INDEX('2018_commission_structure'!$A$1:$I$4,
MATCH($D9, '2018_commission_structure'!$A$1:$A$4,0),
MATCH(R$1, '2018_commission_structure'!$A$1:$I$1,0)), 0)</f>
        <v>0</v>
      </c>
      <c r="S9" s="11">
        <f t="shared" si="5"/>
        <v>16872.599999999999</v>
      </c>
      <c r="T9" s="11" cm="1">
        <f t="array" ref="T9">SUM(E9+O9:Q9)</f>
        <v>298053.59999999998</v>
      </c>
    </row>
    <row r="10" spans="1:20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 xml:space="preserve"> COUNTIF(deals_closed!D:D,A10)</f>
        <v>19</v>
      </c>
      <c r="G10" s="5">
        <f>SUMIF(deals_closed!D:D, calculations!A10, deals_closed!C:C)</f>
        <v>713679</v>
      </c>
      <c r="H10" s="5">
        <f>VLOOKUP(D10,'2018_commission_structure'!$A$2:$I$4,9,FALSE)</f>
        <v>750000</v>
      </c>
      <c r="I10" s="9">
        <f t="shared" si="0"/>
        <v>937500</v>
      </c>
      <c r="J10" s="8">
        <f t="shared" si="1"/>
        <v>1125000</v>
      </c>
      <c r="K10" s="9">
        <f t="shared" si="2"/>
        <v>1500000</v>
      </c>
      <c r="L10" s="10">
        <f t="shared" si="3"/>
        <v>0.95157199999999997</v>
      </c>
      <c r="M10" t="str">
        <f t="shared" si="4"/>
        <v>0-100%</v>
      </c>
      <c r="N10" s="9">
        <f>MIN(H10, G10)*INDEX('2018_commission_structure'!$A$1:$I$4,
MATCH($D10, '2018_commission_structure'!$A$1:$A$4,0),
MATCH(N$1, '2018_commission_structure'!$A$1:$I$1,0))</f>
        <v>107051.84999999999</v>
      </c>
      <c r="O10" s="11">
        <f>IF(G10&gt;H10, MIN(G10-H10, I10-H10)*
INDEX('2018_commission_structure'!$A$1:$I$4,
MATCH($D10, '2018_commission_structure'!$A$1:$A$4, 0),
MATCH(O$1, '2018_commission_structure'!$A$1:$I$1, 0)), 0)</f>
        <v>0</v>
      </c>
      <c r="P10" s="11">
        <f>IF(G10&gt;H10, MIN(G10-H10, J10-H10)*
INDEX('2018_commission_structure'!$A$1:$I$4,
MATCH($D10, '2018_commission_structure'!$A$1:$A$4, 0),
MATCH(O$1, '2018_commission_structure'!$A$1:$I$1, 0)), 0)</f>
        <v>0</v>
      </c>
      <c r="Q10" s="11">
        <f>IF(G10&gt;H10, MIN(G10-H10, I10-H10)*
INDEX('2018_commission_structure'!$A$1:$I$4,
MATCH($D10, '2018_commission_structure'!$A$1:$A$4, 0),
MATCH(P$1, '2018_commission_structure'!$A$1:$I$1, 0)), 0)</f>
        <v>0</v>
      </c>
      <c r="R10" s="11">
        <f>IF(G10&gt;K10, (G10-K10) *
INDEX('2018_commission_structure'!$A$1:$I$4,
MATCH($D10, '2018_commission_structure'!$A$1:$A$4,0),
MATCH(R$1, '2018_commission_structure'!$A$1:$I$1,0)), 0)</f>
        <v>0</v>
      </c>
      <c r="S10" s="11">
        <f t="shared" si="5"/>
        <v>0</v>
      </c>
      <c r="T10" s="11" cm="1">
        <f t="array" ref="T10">SUM(E10+O10:Q10)</f>
        <v>332451</v>
      </c>
    </row>
    <row r="11" spans="1:20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 xml:space="preserve"> COUNTIF(deals_closed!D:D,A11)</f>
        <v>17</v>
      </c>
      <c r="G11" s="5">
        <f>SUMIF(deals_closed!D:D, calculations!A11, deals_closed!C:C)</f>
        <v>714914</v>
      </c>
      <c r="H11" s="5">
        <f>VLOOKUP(D11,'2018_commission_structure'!$A$2:$I$4,9,FALSE)</f>
        <v>750000</v>
      </c>
      <c r="I11" s="9">
        <f t="shared" si="0"/>
        <v>937500</v>
      </c>
      <c r="J11" s="8">
        <f t="shared" si="1"/>
        <v>1125000</v>
      </c>
      <c r="K11" s="9">
        <f t="shared" si="2"/>
        <v>1500000</v>
      </c>
      <c r="L11" s="10">
        <f t="shared" si="3"/>
        <v>0.95321866666666666</v>
      </c>
      <c r="M11" t="str">
        <f t="shared" si="4"/>
        <v>0-100%</v>
      </c>
      <c r="N11" s="9">
        <f>MIN(H11, G11)*INDEX('2018_commission_structure'!$A$1:$I$4,
MATCH($D11, '2018_commission_structure'!$A$1:$A$4,0),
MATCH(N$1, '2018_commission_structure'!$A$1:$I$1,0))</f>
        <v>107237.09999999999</v>
      </c>
      <c r="O11" s="11">
        <f>IF(G11&gt;H11, MIN(G11-H11, I11-H11)*
INDEX('2018_commission_structure'!$A$1:$I$4,
MATCH($D11, '2018_commission_structure'!$A$1:$A$4, 0),
MATCH(O$1, '2018_commission_structure'!$A$1:$I$1, 0)), 0)</f>
        <v>0</v>
      </c>
      <c r="P11" s="11">
        <f>IF(G11&gt;H11, MIN(G11-H11, J11-H11)*
INDEX('2018_commission_structure'!$A$1:$I$4,
MATCH($D11, '2018_commission_structure'!$A$1:$A$4, 0),
MATCH(O$1, '2018_commission_structure'!$A$1:$I$1, 0)), 0)</f>
        <v>0</v>
      </c>
      <c r="Q11" s="11">
        <f>IF(G11&gt;H11, MIN(G11-H11, I11-H11)*
INDEX('2018_commission_structure'!$A$1:$I$4,
MATCH($D11, '2018_commission_structure'!$A$1:$A$4, 0),
MATCH(P$1, '2018_commission_structure'!$A$1:$I$1, 0)), 0)</f>
        <v>0</v>
      </c>
      <c r="R11" s="11">
        <f>IF(G11&gt;K11, (G11-K11) *
INDEX('2018_commission_structure'!$A$1:$I$4,
MATCH($D11, '2018_commission_structure'!$A$1:$A$4,0),
MATCH(R$1, '2018_commission_structure'!$A$1:$I$1,0)), 0)</f>
        <v>0</v>
      </c>
      <c r="S11" s="11">
        <f t="shared" si="5"/>
        <v>0</v>
      </c>
      <c r="T11" s="11" cm="1">
        <f t="array" ref="T11">SUM(E11+O11:Q11)</f>
        <v>359184</v>
      </c>
    </row>
    <row r="12" spans="1:20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 xml:space="preserve"> COUNTIF(deals_closed!D:D,A12)</f>
        <v>23</v>
      </c>
      <c r="G12" s="5">
        <f>SUMIF(deals_closed!D:D, calculations!A12, deals_closed!C:C)</f>
        <v>871918</v>
      </c>
      <c r="H12" s="5">
        <f>VLOOKUP(D12,'2018_commission_structure'!$A$2:$I$4,9,FALSE)</f>
        <v>600000</v>
      </c>
      <c r="I12" s="9">
        <f t="shared" si="0"/>
        <v>750000</v>
      </c>
      <c r="J12" s="8">
        <f t="shared" si="1"/>
        <v>900000</v>
      </c>
      <c r="K12" s="9">
        <f t="shared" si="2"/>
        <v>1200000</v>
      </c>
      <c r="L12" s="10">
        <f t="shared" si="3"/>
        <v>1.4531966666666667</v>
      </c>
      <c r="M12" t="str">
        <f t="shared" si="4"/>
        <v>125-150%</v>
      </c>
      <c r="N12" s="9">
        <f>MIN(H12, G12)*INDEX('2018_commission_structure'!$A$1:$I$4,
MATCH($D12, '2018_commission_structure'!$A$1:$A$4,0),
MATCH(N$1, '2018_commission_structure'!$A$1:$I$1,0))</f>
        <v>78000</v>
      </c>
      <c r="O12" s="11">
        <f>IF(G12&gt;H12, MIN(G12-H12, I12-H12)*
INDEX('2018_commission_structure'!$A$1:$I$4,
MATCH($D12, '2018_commission_structure'!$A$1:$A$4, 0),
MATCH(O$1, '2018_commission_structure'!$A$1:$I$1, 0)), 0)</f>
        <v>25500.000000000004</v>
      </c>
      <c r="P12" s="11">
        <f>IF(G12&gt;H12, MIN(G12-H12, J12-H12)*
INDEX('2018_commission_structure'!$A$1:$I$4,
MATCH($D12, '2018_commission_structure'!$A$1:$A$4, 0),
MATCH(O$1, '2018_commission_structure'!$A$1:$I$1, 0)), 0)</f>
        <v>46226.060000000005</v>
      </c>
      <c r="Q12" s="11">
        <f>IF(G12&gt;H12, MIN(G12-H12, I12-H12)*
INDEX('2018_commission_structure'!$A$1:$I$4,
MATCH($D12, '2018_commission_structure'!$A$1:$A$4, 0),
MATCH(P$1, '2018_commission_structure'!$A$1:$I$1, 0)), 0)</f>
        <v>31500</v>
      </c>
      <c r="R12" s="11">
        <f>IF(G12&gt;K12, (G12-K12) *
INDEX('2018_commission_structure'!$A$1:$I$4,
MATCH($D12, '2018_commission_structure'!$A$1:$A$4,0),
MATCH(R$1, '2018_commission_structure'!$A$1:$I$1,0)), 0)</f>
        <v>0</v>
      </c>
      <c r="S12" s="11">
        <f t="shared" si="5"/>
        <v>103226.06000000001</v>
      </c>
      <c r="T12" s="11" cm="1">
        <f t="array" ref="T12">SUM(E12+O12:Q12)</f>
        <v>282692.06</v>
      </c>
    </row>
    <row r="13" spans="1:20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 xml:space="preserve"> COUNTIF(deals_closed!D:D,A13)</f>
        <v>21</v>
      </c>
      <c r="G13" s="5">
        <f>SUMIF(deals_closed!D:D, calculations!A13, deals_closed!C:C)</f>
        <v>785055</v>
      </c>
      <c r="H13" s="5">
        <f>VLOOKUP(D13,'2018_commission_structure'!$A$2:$I$4,9,FALSE)</f>
        <v>750000</v>
      </c>
      <c r="I13" s="9">
        <f t="shared" si="0"/>
        <v>937500</v>
      </c>
      <c r="J13" s="8">
        <f t="shared" si="1"/>
        <v>1125000</v>
      </c>
      <c r="K13" s="9">
        <f t="shared" si="2"/>
        <v>1500000</v>
      </c>
      <c r="L13" s="10">
        <f t="shared" si="3"/>
        <v>1.04674</v>
      </c>
      <c r="M13" t="str">
        <f t="shared" si="4"/>
        <v>100-125%</v>
      </c>
      <c r="N13" s="9">
        <f>MIN(H13, G13)*INDEX('2018_commission_structure'!$A$1:$I$4,
MATCH($D13, '2018_commission_structure'!$A$1:$A$4,0),
MATCH(N$1, '2018_commission_structure'!$A$1:$I$1,0))</f>
        <v>112500</v>
      </c>
      <c r="O13" s="11">
        <f>IF(G13&gt;H13, MIN(G13-H13, I13-H13)*
INDEX('2018_commission_structure'!$A$1:$I$4,
MATCH($D13, '2018_commission_structure'!$A$1:$A$4, 0),
MATCH(O$1, '2018_commission_structure'!$A$1:$I$1, 0)), 0)</f>
        <v>6660.45</v>
      </c>
      <c r="P13" s="11">
        <f>IF(G13&gt;H13, MIN(G13-H13, J13-H13)*
INDEX('2018_commission_structure'!$A$1:$I$4,
MATCH($D13, '2018_commission_structure'!$A$1:$A$4, 0),
MATCH(O$1, '2018_commission_structure'!$A$1:$I$1, 0)), 0)</f>
        <v>6660.45</v>
      </c>
      <c r="Q13" s="11">
        <f>IF(G13&gt;H13, MIN(G13-H13, I13-H13)*
INDEX('2018_commission_structure'!$A$1:$I$4,
MATCH($D13, '2018_commission_structure'!$A$1:$A$4, 0),
MATCH(P$1, '2018_commission_structure'!$A$1:$I$1, 0)), 0)</f>
        <v>8062.6500000000005</v>
      </c>
      <c r="R13" s="11">
        <f>IF(G13&gt;K13, (G13-K13) *
INDEX('2018_commission_structure'!$A$1:$I$4,
MATCH($D13, '2018_commission_structure'!$A$1:$A$4,0),
MATCH(R$1, '2018_commission_structure'!$A$1:$I$1,0)), 0)</f>
        <v>0</v>
      </c>
      <c r="S13" s="11">
        <f t="shared" si="5"/>
        <v>21383.55</v>
      </c>
      <c r="T13" s="11" cm="1">
        <f t="array" ref="T13">SUM(E13+O13:Q13)</f>
        <v>311159.55</v>
      </c>
    </row>
    <row r="14" spans="1:20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 xml:space="preserve"> COUNTIF(deals_closed!D:D,A14)</f>
        <v>22</v>
      </c>
      <c r="G14" s="5">
        <f>SUMIF(deals_closed!D:D, calculations!A14, deals_closed!C:C)</f>
        <v>734144</v>
      </c>
      <c r="H14" s="5">
        <f>VLOOKUP(D14,'2018_commission_structure'!$A$2:$I$4,9,FALSE)</f>
        <v>750000</v>
      </c>
      <c r="I14" s="9">
        <f t="shared" si="0"/>
        <v>937500</v>
      </c>
      <c r="J14" s="8">
        <f t="shared" si="1"/>
        <v>1125000</v>
      </c>
      <c r="K14" s="9">
        <f t="shared" si="2"/>
        <v>1500000</v>
      </c>
      <c r="L14" s="10">
        <f t="shared" si="3"/>
        <v>0.97885866666666665</v>
      </c>
      <c r="M14" t="str">
        <f t="shared" si="4"/>
        <v>0-100%</v>
      </c>
      <c r="N14" s="9">
        <f>MIN(H14, G14)*INDEX('2018_commission_structure'!$A$1:$I$4,
MATCH($D14, '2018_commission_structure'!$A$1:$A$4,0),
MATCH(N$1, '2018_commission_structure'!$A$1:$I$1,0))</f>
        <v>110121.59999999999</v>
      </c>
      <c r="O14" s="11">
        <f>IF(G14&gt;H14, MIN(G14-H14, I14-H14)*
INDEX('2018_commission_structure'!$A$1:$I$4,
MATCH($D14, '2018_commission_structure'!$A$1:$A$4, 0),
MATCH(O$1, '2018_commission_structure'!$A$1:$I$1, 0)), 0)</f>
        <v>0</v>
      </c>
      <c r="P14" s="11">
        <f>IF(G14&gt;H14, MIN(G14-H14, J14-H14)*
INDEX('2018_commission_structure'!$A$1:$I$4,
MATCH($D14, '2018_commission_structure'!$A$1:$A$4, 0),
MATCH(O$1, '2018_commission_structure'!$A$1:$I$1, 0)), 0)</f>
        <v>0</v>
      </c>
      <c r="Q14" s="11">
        <f>IF(G14&gt;H14, MIN(G14-H14, I14-H14)*
INDEX('2018_commission_structure'!$A$1:$I$4,
MATCH($D14, '2018_commission_structure'!$A$1:$A$4, 0),
MATCH(P$1, '2018_commission_structure'!$A$1:$I$1, 0)), 0)</f>
        <v>0</v>
      </c>
      <c r="R14" s="11">
        <f>IF(G14&gt;K14, (G14-K14) *
INDEX('2018_commission_structure'!$A$1:$I$4,
MATCH($D14, '2018_commission_structure'!$A$1:$A$4,0),
MATCH(R$1, '2018_commission_structure'!$A$1:$I$1,0)), 0)</f>
        <v>0</v>
      </c>
      <c r="S14" s="11">
        <f t="shared" si="5"/>
        <v>0</v>
      </c>
      <c r="T14" s="11" cm="1">
        <f t="array" ref="T14">SUM(E14+O14:Q14)</f>
        <v>227646</v>
      </c>
    </row>
    <row r="15" spans="1:20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 xml:space="preserve"> COUNTIF(deals_closed!D:D,A15)</f>
        <v>20</v>
      </c>
      <c r="G15" s="5">
        <f>SUMIF(deals_closed!D:D, calculations!A15, deals_closed!C:C)</f>
        <v>665862</v>
      </c>
      <c r="H15" s="5">
        <f>VLOOKUP(D15,'2018_commission_structure'!$A$2:$I$4,9,FALSE)</f>
        <v>500000</v>
      </c>
      <c r="I15" s="9">
        <f t="shared" si="0"/>
        <v>625000</v>
      </c>
      <c r="J15" s="8">
        <f t="shared" si="1"/>
        <v>750000</v>
      </c>
      <c r="K15" s="9">
        <f t="shared" si="2"/>
        <v>1000000</v>
      </c>
      <c r="L15" s="10">
        <f t="shared" si="3"/>
        <v>1.3317239999999999</v>
      </c>
      <c r="M15" t="str">
        <f t="shared" si="4"/>
        <v>125-150%</v>
      </c>
      <c r="N15" s="9">
        <f>MIN(H15, G15)*INDEX('2018_commission_structure'!$A$1:$I$4,
MATCH($D15, '2018_commission_structure'!$A$1:$A$4,0),
MATCH(N$1, '2018_commission_structure'!$A$1:$I$1,0))</f>
        <v>50000</v>
      </c>
      <c r="O15" s="11">
        <f>IF(G15&gt;H15, MIN(G15-H15, I15-H15)*
INDEX('2018_commission_structure'!$A$1:$I$4,
MATCH($D15, '2018_commission_structure'!$A$1:$A$4, 0),
MATCH(O$1, '2018_commission_structure'!$A$1:$I$1, 0)), 0)</f>
        <v>18750</v>
      </c>
      <c r="P15" s="11">
        <f>IF(G15&gt;H15, MIN(G15-H15, J15-H15)*
INDEX('2018_commission_structure'!$A$1:$I$4,
MATCH($D15, '2018_commission_structure'!$A$1:$A$4, 0),
MATCH(O$1, '2018_commission_structure'!$A$1:$I$1, 0)), 0)</f>
        <v>24879.3</v>
      </c>
      <c r="Q15" s="11">
        <f>IF(G15&gt;H15, MIN(G15-H15, I15-H15)*
INDEX('2018_commission_structure'!$A$1:$I$4,
MATCH($D15, '2018_commission_structure'!$A$1:$A$4, 0),
MATCH(P$1, '2018_commission_structure'!$A$1:$I$1, 0)), 0)</f>
        <v>22500</v>
      </c>
      <c r="R15" s="11">
        <f>IF(G15&gt;K15, (G15-K15) *
INDEX('2018_commission_structure'!$A$1:$I$4,
MATCH($D15, '2018_commission_structure'!$A$1:$A$4,0),
MATCH(R$1, '2018_commission_structure'!$A$1:$I$1,0)), 0)</f>
        <v>0</v>
      </c>
      <c r="S15" s="11">
        <f t="shared" si="5"/>
        <v>66129.3</v>
      </c>
      <c r="T15" s="11" cm="1">
        <f t="array" ref="T15">SUM(E15+O15:Q15)</f>
        <v>180441.3</v>
      </c>
    </row>
    <row r="16" spans="1:20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 xml:space="preserve"> COUNTIF(deals_closed!D:D,A16)</f>
        <v>17</v>
      </c>
      <c r="G16" s="5">
        <f>SUMIF(deals_closed!D:D, calculations!A16, deals_closed!C:C)</f>
        <v>661373</v>
      </c>
      <c r="H16" s="5">
        <f>VLOOKUP(D16,'2018_commission_structure'!$A$2:$I$4,9,FALSE)</f>
        <v>750000</v>
      </c>
      <c r="I16" s="9">
        <f t="shared" si="0"/>
        <v>937500</v>
      </c>
      <c r="J16" s="8">
        <f t="shared" si="1"/>
        <v>1125000</v>
      </c>
      <c r="K16" s="9">
        <f t="shared" si="2"/>
        <v>1500000</v>
      </c>
      <c r="L16" s="10">
        <f t="shared" si="3"/>
        <v>0.88183066666666665</v>
      </c>
      <c r="M16" t="str">
        <f t="shared" si="4"/>
        <v>0-100%</v>
      </c>
      <c r="N16" s="9">
        <f>MIN(H16, G16)*INDEX('2018_commission_structure'!$A$1:$I$4,
MATCH($D16, '2018_commission_structure'!$A$1:$A$4,0),
MATCH(N$1, '2018_commission_structure'!$A$1:$I$1,0))</f>
        <v>99205.95</v>
      </c>
      <c r="O16" s="11">
        <f>IF(G16&gt;H16, MIN(G16-H16, I16-H16)*
INDEX('2018_commission_structure'!$A$1:$I$4,
MATCH($D16, '2018_commission_structure'!$A$1:$A$4, 0),
MATCH(O$1, '2018_commission_structure'!$A$1:$I$1, 0)), 0)</f>
        <v>0</v>
      </c>
      <c r="P16" s="11">
        <f>IF(G16&gt;H16, MIN(G16-H16, J16-H16)*
INDEX('2018_commission_structure'!$A$1:$I$4,
MATCH($D16, '2018_commission_structure'!$A$1:$A$4, 0),
MATCH(O$1, '2018_commission_structure'!$A$1:$I$1, 0)), 0)</f>
        <v>0</v>
      </c>
      <c r="Q16" s="11">
        <f>IF(G16&gt;H16, MIN(G16-H16, I16-H16)*
INDEX('2018_commission_structure'!$A$1:$I$4,
MATCH($D16, '2018_commission_structure'!$A$1:$A$4, 0),
MATCH(P$1, '2018_commission_structure'!$A$1:$I$1, 0)), 0)</f>
        <v>0</v>
      </c>
      <c r="R16" s="11">
        <f>IF(G16&gt;K16, (G16-K16) *
INDEX('2018_commission_structure'!$A$1:$I$4,
MATCH($D16, '2018_commission_structure'!$A$1:$A$4,0),
MATCH(R$1, '2018_commission_structure'!$A$1:$I$1,0)), 0)</f>
        <v>0</v>
      </c>
      <c r="S16" s="11">
        <f t="shared" si="5"/>
        <v>0</v>
      </c>
      <c r="T16" s="11" cm="1">
        <f t="array" ref="T16">SUM(E16+O16:Q16)</f>
        <v>299964</v>
      </c>
    </row>
    <row r="17" spans="1:20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 xml:space="preserve"> COUNTIF(deals_closed!D:D,A17)</f>
        <v>21</v>
      </c>
      <c r="G17" s="5">
        <f>SUMIF(deals_closed!D:D, calculations!A17, deals_closed!C:C)</f>
        <v>760710</v>
      </c>
      <c r="H17" s="5">
        <f>VLOOKUP(D17,'2018_commission_structure'!$A$2:$I$4,9,FALSE)</f>
        <v>500000</v>
      </c>
      <c r="I17" s="9">
        <f t="shared" si="0"/>
        <v>625000</v>
      </c>
      <c r="J17" s="8">
        <f t="shared" si="1"/>
        <v>750000</v>
      </c>
      <c r="K17" s="9">
        <f t="shared" si="2"/>
        <v>1000000</v>
      </c>
      <c r="L17" s="10">
        <f t="shared" si="3"/>
        <v>1.52142</v>
      </c>
      <c r="M17" t="str">
        <f t="shared" si="4"/>
        <v>150-200%</v>
      </c>
      <c r="N17" s="9">
        <f>MIN(H17, G17)*INDEX('2018_commission_structure'!$A$1:$I$4,
MATCH($D17, '2018_commission_structure'!$A$1:$A$4,0),
MATCH(N$1, '2018_commission_structure'!$A$1:$I$1,0))</f>
        <v>50000</v>
      </c>
      <c r="O17" s="11">
        <f>IF(G17&gt;H17, MIN(G17-H17, I17-H17)*
INDEX('2018_commission_structure'!$A$1:$I$4,
MATCH($D17, '2018_commission_structure'!$A$1:$A$4, 0),
MATCH(O$1, '2018_commission_structure'!$A$1:$I$1, 0)), 0)</f>
        <v>18750</v>
      </c>
      <c r="P17" s="11">
        <f>IF(G17&gt;H17, MIN(G17-H17, J17-H17)*
INDEX('2018_commission_structure'!$A$1:$I$4,
MATCH($D17, '2018_commission_structure'!$A$1:$A$4, 0),
MATCH(O$1, '2018_commission_structure'!$A$1:$I$1, 0)), 0)</f>
        <v>37500</v>
      </c>
      <c r="Q17" s="11">
        <f>IF(G17&gt;H17, MIN(G17-H17, I17-H17)*
INDEX('2018_commission_structure'!$A$1:$I$4,
MATCH($D17, '2018_commission_structure'!$A$1:$A$4, 0),
MATCH(P$1, '2018_commission_structure'!$A$1:$I$1, 0)), 0)</f>
        <v>22500</v>
      </c>
      <c r="R17" s="11">
        <f>IF(G17&gt;K17, (G17-K17) *
INDEX('2018_commission_structure'!$A$1:$I$4,
MATCH($D17, '2018_commission_structure'!$A$1:$A$4,0),
MATCH(R$1, '2018_commission_structure'!$A$1:$I$1,0)), 0)</f>
        <v>0</v>
      </c>
      <c r="S17" s="11">
        <f t="shared" si="5"/>
        <v>78750</v>
      </c>
      <c r="T17" s="11" cm="1">
        <f t="array" ref="T17">SUM(E17+O17:Q17)</f>
        <v>220191</v>
      </c>
    </row>
    <row r="18" spans="1:20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 xml:space="preserve"> COUNTIF(deals_closed!D:D,A18)</f>
        <v>14</v>
      </c>
      <c r="G18" s="5">
        <f>SUMIF(deals_closed!D:D, calculations!A18, deals_closed!C:C)</f>
        <v>474138</v>
      </c>
      <c r="H18" s="5">
        <f>VLOOKUP(D18,'2018_commission_structure'!$A$2:$I$4,9,FALSE)</f>
        <v>750000</v>
      </c>
      <c r="I18" s="9">
        <f t="shared" si="0"/>
        <v>937500</v>
      </c>
      <c r="J18" s="8">
        <f t="shared" si="1"/>
        <v>1125000</v>
      </c>
      <c r="K18" s="9">
        <f t="shared" si="2"/>
        <v>1500000</v>
      </c>
      <c r="L18" s="10">
        <f t="shared" si="3"/>
        <v>0.63218399999999997</v>
      </c>
      <c r="M18" t="str">
        <f t="shared" si="4"/>
        <v>0-100%</v>
      </c>
      <c r="N18" s="9">
        <f>MIN(H18, G18)*INDEX('2018_commission_structure'!$A$1:$I$4,
MATCH($D18, '2018_commission_structure'!$A$1:$A$4,0),
MATCH(N$1, '2018_commission_structure'!$A$1:$I$1,0))</f>
        <v>71120.7</v>
      </c>
      <c r="O18" s="11">
        <f>IF(G18&gt;H18, MIN(G18-H18, I18-H18)*
INDEX('2018_commission_structure'!$A$1:$I$4,
MATCH($D18, '2018_commission_structure'!$A$1:$A$4, 0),
MATCH(O$1, '2018_commission_structure'!$A$1:$I$1, 0)), 0)</f>
        <v>0</v>
      </c>
      <c r="P18" s="11">
        <f>IF(G18&gt;H18, MIN(G18-H18, J18-H18)*
INDEX('2018_commission_structure'!$A$1:$I$4,
MATCH($D18, '2018_commission_structure'!$A$1:$A$4, 0),
MATCH(O$1, '2018_commission_structure'!$A$1:$I$1, 0)), 0)</f>
        <v>0</v>
      </c>
      <c r="Q18" s="11">
        <f>IF(G18&gt;H18, MIN(G18-H18, I18-H18)*
INDEX('2018_commission_structure'!$A$1:$I$4,
MATCH($D18, '2018_commission_structure'!$A$1:$A$4, 0),
MATCH(P$1, '2018_commission_structure'!$A$1:$I$1, 0)), 0)</f>
        <v>0</v>
      </c>
      <c r="R18" s="11">
        <f>IF(G18&gt;K18, (G18-K18) *
INDEX('2018_commission_structure'!$A$1:$I$4,
MATCH($D18, '2018_commission_structure'!$A$1:$A$4,0),
MATCH(R$1, '2018_commission_structure'!$A$1:$I$1,0)), 0)</f>
        <v>0</v>
      </c>
      <c r="S18" s="11">
        <f t="shared" si="5"/>
        <v>0</v>
      </c>
      <c r="T18" s="11" cm="1">
        <f t="array" ref="T18">SUM(E18+O18:Q18)</f>
        <v>358872</v>
      </c>
    </row>
    <row r="19" spans="1:20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 xml:space="preserve"> COUNTIF(deals_closed!D:D,A19)</f>
        <v>16</v>
      </c>
      <c r="G19" s="5">
        <f>SUMIF(deals_closed!D:D, calculations!A19, deals_closed!C:C)</f>
        <v>472412</v>
      </c>
      <c r="H19" s="5">
        <f>VLOOKUP(D19,'2018_commission_structure'!$A$2:$I$4,9,FALSE)</f>
        <v>500000</v>
      </c>
      <c r="I19" s="9">
        <f t="shared" si="0"/>
        <v>625000</v>
      </c>
      <c r="J19" s="8">
        <f t="shared" si="1"/>
        <v>750000</v>
      </c>
      <c r="K19" s="9">
        <f t="shared" si="2"/>
        <v>1000000</v>
      </c>
      <c r="L19" s="10">
        <f t="shared" si="3"/>
        <v>0.944824</v>
      </c>
      <c r="M19" t="str">
        <f t="shared" si="4"/>
        <v>0-100%</v>
      </c>
      <c r="N19" s="9">
        <f>MIN(H19, G19)*INDEX('2018_commission_structure'!$A$1:$I$4,
MATCH($D19, '2018_commission_structure'!$A$1:$A$4,0),
MATCH(N$1, '2018_commission_structure'!$A$1:$I$1,0))</f>
        <v>47241.200000000004</v>
      </c>
      <c r="O19" s="11">
        <f>IF(G19&gt;H19, MIN(G19-H19, I19-H19)*
INDEX('2018_commission_structure'!$A$1:$I$4,
MATCH($D19, '2018_commission_structure'!$A$1:$A$4, 0),
MATCH(O$1, '2018_commission_structure'!$A$1:$I$1, 0)), 0)</f>
        <v>0</v>
      </c>
      <c r="P19" s="11">
        <f>IF(G19&gt;H19, MIN(G19-H19, J19-H19)*
INDEX('2018_commission_structure'!$A$1:$I$4,
MATCH($D19, '2018_commission_structure'!$A$1:$A$4, 0),
MATCH(O$1, '2018_commission_structure'!$A$1:$I$1, 0)), 0)</f>
        <v>0</v>
      </c>
      <c r="Q19" s="11">
        <f>IF(G19&gt;H19, MIN(G19-H19, I19-H19)*
INDEX('2018_commission_structure'!$A$1:$I$4,
MATCH($D19, '2018_commission_structure'!$A$1:$A$4, 0),
MATCH(P$1, '2018_commission_structure'!$A$1:$I$1, 0)), 0)</f>
        <v>0</v>
      </c>
      <c r="R19" s="11">
        <f>IF(G19&gt;K19, (G19-K19) *
INDEX('2018_commission_structure'!$A$1:$I$4,
MATCH($D19, '2018_commission_structure'!$A$1:$A$4,0),
MATCH(R$1, '2018_commission_structure'!$A$1:$I$1,0)), 0)</f>
        <v>0</v>
      </c>
      <c r="S19" s="11">
        <f t="shared" si="5"/>
        <v>0</v>
      </c>
      <c r="T19" s="11" cm="1">
        <f t="array" ref="T19">SUM(E19+O19:Q19)</f>
        <v>151914</v>
      </c>
    </row>
    <row r="20" spans="1:20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 xml:space="preserve"> COUNTIF(deals_closed!D:D,A20)</f>
        <v>28</v>
      </c>
      <c r="G20" s="5">
        <f>SUMIF(deals_closed!D:D, calculations!A20, deals_closed!C:C)</f>
        <v>941481</v>
      </c>
      <c r="H20" s="5">
        <f>VLOOKUP(D20,'2018_commission_structure'!$A$2:$I$4,9,FALSE)</f>
        <v>500000</v>
      </c>
      <c r="I20" s="9">
        <f t="shared" si="0"/>
        <v>625000</v>
      </c>
      <c r="J20" s="8">
        <f t="shared" si="1"/>
        <v>750000</v>
      </c>
      <c r="K20" s="9">
        <f t="shared" si="2"/>
        <v>1000000</v>
      </c>
      <c r="L20" s="10">
        <f t="shared" si="3"/>
        <v>1.882962</v>
      </c>
      <c r="M20" t="str">
        <f t="shared" si="4"/>
        <v>150-200%</v>
      </c>
      <c r="N20" s="9">
        <f>MIN(H20, G20)*INDEX('2018_commission_structure'!$A$1:$I$4,
MATCH($D20, '2018_commission_structure'!$A$1:$A$4,0),
MATCH(N$1, '2018_commission_structure'!$A$1:$I$1,0))</f>
        <v>50000</v>
      </c>
      <c r="O20" s="11">
        <f>IF(G20&gt;H20, MIN(G20-H20, I20-H20)*
INDEX('2018_commission_structure'!$A$1:$I$4,
MATCH($D20, '2018_commission_structure'!$A$1:$A$4, 0),
MATCH(O$1, '2018_commission_structure'!$A$1:$I$1, 0)), 0)</f>
        <v>18750</v>
      </c>
      <c r="P20" s="11">
        <f>IF(G20&gt;H20, MIN(G20-H20, J20-H20)*
INDEX('2018_commission_structure'!$A$1:$I$4,
MATCH($D20, '2018_commission_structure'!$A$1:$A$4, 0),
MATCH(O$1, '2018_commission_structure'!$A$1:$I$1, 0)), 0)</f>
        <v>37500</v>
      </c>
      <c r="Q20" s="11">
        <f>IF(G20&gt;H20, MIN(G20-H20, I20-H20)*
INDEX('2018_commission_structure'!$A$1:$I$4,
MATCH($D20, '2018_commission_structure'!$A$1:$A$4, 0),
MATCH(P$1, '2018_commission_structure'!$A$1:$I$1, 0)), 0)</f>
        <v>22500</v>
      </c>
      <c r="R20" s="11">
        <f>IF(G20&gt;K20, (G20-K20) *
INDEX('2018_commission_structure'!$A$1:$I$4,
MATCH($D20, '2018_commission_structure'!$A$1:$A$4,0),
MATCH(R$1, '2018_commission_structure'!$A$1:$I$1,0)), 0)</f>
        <v>0</v>
      </c>
      <c r="S20" s="11">
        <f t="shared" si="5"/>
        <v>78750</v>
      </c>
      <c r="T20" s="11" cm="1">
        <f t="array" ref="T20">SUM(E20+O20:Q20)</f>
        <v>242646</v>
      </c>
    </row>
    <row r="21" spans="1:20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 xml:space="preserve"> COUNTIF(deals_closed!D:D,A21)</f>
        <v>20</v>
      </c>
      <c r="G21" s="5">
        <f>SUMIF(deals_closed!D:D, calculations!A21, deals_closed!C:C)</f>
        <v>762746</v>
      </c>
      <c r="H21" s="5">
        <f>VLOOKUP(D21,'2018_commission_structure'!$A$2:$I$4,9,FALSE)</f>
        <v>500000</v>
      </c>
      <c r="I21" s="9">
        <f t="shared" si="0"/>
        <v>625000</v>
      </c>
      <c r="J21" s="8">
        <f t="shared" si="1"/>
        <v>750000</v>
      </c>
      <c r="K21" s="9">
        <f t="shared" si="2"/>
        <v>1000000</v>
      </c>
      <c r="L21" s="10">
        <f t="shared" si="3"/>
        <v>1.5254920000000001</v>
      </c>
      <c r="M21" t="str">
        <f t="shared" si="4"/>
        <v>150-200%</v>
      </c>
      <c r="N21" s="9">
        <f>MIN(H21, G21)*INDEX('2018_commission_structure'!$A$1:$I$4,
MATCH($D21, '2018_commission_structure'!$A$1:$A$4,0),
MATCH(N$1, '2018_commission_structure'!$A$1:$I$1,0))</f>
        <v>50000</v>
      </c>
      <c r="O21" s="11">
        <f>IF(G21&gt;H21, MIN(G21-H21, I21-H21)*
INDEX('2018_commission_structure'!$A$1:$I$4,
MATCH($D21, '2018_commission_structure'!$A$1:$A$4, 0),
MATCH(O$1, '2018_commission_structure'!$A$1:$I$1, 0)), 0)</f>
        <v>18750</v>
      </c>
      <c r="P21" s="11">
        <f>IF(G21&gt;H21, MIN(G21-H21, J21-H21)*
INDEX('2018_commission_structure'!$A$1:$I$4,
MATCH($D21, '2018_commission_structure'!$A$1:$A$4, 0),
MATCH(O$1, '2018_commission_structure'!$A$1:$I$1, 0)), 0)</f>
        <v>37500</v>
      </c>
      <c r="Q21" s="11">
        <f>IF(G21&gt;H21, MIN(G21-H21, I21-H21)*
INDEX('2018_commission_structure'!$A$1:$I$4,
MATCH($D21, '2018_commission_structure'!$A$1:$A$4, 0),
MATCH(P$1, '2018_commission_structure'!$A$1:$I$1, 0)), 0)</f>
        <v>22500</v>
      </c>
      <c r="R21" s="11">
        <f>IF(G21&gt;K21, (G21-K21) *
INDEX('2018_commission_structure'!$A$1:$I$4,
MATCH($D21, '2018_commission_structure'!$A$1:$A$4,0),
MATCH(R$1, '2018_commission_structure'!$A$1:$I$1,0)), 0)</f>
        <v>0</v>
      </c>
      <c r="S21" s="11">
        <f t="shared" si="5"/>
        <v>78750</v>
      </c>
      <c r="T21" s="11" cm="1">
        <f t="array" ref="T21">SUM(E21+O21:Q21)</f>
        <v>256302</v>
      </c>
    </row>
    <row r="22" spans="1:20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 xml:space="preserve"> COUNTIF(deals_closed!D:D,A22)</f>
        <v>19</v>
      </c>
      <c r="G22" s="5">
        <f>SUMIF(deals_closed!D:D, calculations!A22, deals_closed!C:C)</f>
        <v>592375</v>
      </c>
      <c r="H22" s="5">
        <f>VLOOKUP(D22,'2018_commission_structure'!$A$2:$I$4,9,FALSE)</f>
        <v>750000</v>
      </c>
      <c r="I22" s="9">
        <f t="shared" si="0"/>
        <v>937500</v>
      </c>
      <c r="J22" s="8">
        <f t="shared" si="1"/>
        <v>1125000</v>
      </c>
      <c r="K22" s="9">
        <f t="shared" si="2"/>
        <v>1500000</v>
      </c>
      <c r="L22" s="10">
        <f t="shared" si="3"/>
        <v>0.78983333333333339</v>
      </c>
      <c r="M22" t="str">
        <f t="shared" si="4"/>
        <v>0-100%</v>
      </c>
      <c r="N22" s="9">
        <f>MIN(H22, G22)*INDEX('2018_commission_structure'!$A$1:$I$4,
MATCH($D22, '2018_commission_structure'!$A$1:$A$4,0),
MATCH(N$1, '2018_commission_structure'!$A$1:$I$1,0))</f>
        <v>88856.25</v>
      </c>
      <c r="O22" s="11">
        <f>IF(G22&gt;H22, MIN(G22-H22, I22-H22)*
INDEX('2018_commission_structure'!$A$1:$I$4,
MATCH($D22, '2018_commission_structure'!$A$1:$A$4, 0),
MATCH(O$1, '2018_commission_structure'!$A$1:$I$1, 0)), 0)</f>
        <v>0</v>
      </c>
      <c r="P22" s="11">
        <f>IF(G22&gt;H22, MIN(G22-H22, J22-H22)*
INDEX('2018_commission_structure'!$A$1:$I$4,
MATCH($D22, '2018_commission_structure'!$A$1:$A$4, 0),
MATCH(O$1, '2018_commission_structure'!$A$1:$I$1, 0)), 0)</f>
        <v>0</v>
      </c>
      <c r="Q22" s="11">
        <f>IF(G22&gt;H22, MIN(G22-H22, I22-H22)*
INDEX('2018_commission_structure'!$A$1:$I$4,
MATCH($D22, '2018_commission_structure'!$A$1:$A$4, 0),
MATCH(P$1, '2018_commission_structure'!$A$1:$I$1, 0)), 0)</f>
        <v>0</v>
      </c>
      <c r="R22" s="11">
        <f>IF(G22&gt;K22, (G22-K22) *
INDEX('2018_commission_structure'!$A$1:$I$4,
MATCH($D22, '2018_commission_structure'!$A$1:$A$4,0),
MATCH(R$1, '2018_commission_structure'!$A$1:$I$1,0)), 0)</f>
        <v>0</v>
      </c>
      <c r="S22" s="11">
        <f t="shared" si="5"/>
        <v>0</v>
      </c>
      <c r="T22" s="11" cm="1">
        <f t="array" ref="T22">SUM(E22+O22:Q22)</f>
        <v>252270</v>
      </c>
    </row>
    <row r="23" spans="1:20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 xml:space="preserve"> COUNTIF(deals_closed!D:D,A23)</f>
        <v>20</v>
      </c>
      <c r="G23" s="5">
        <f>SUMIF(deals_closed!D:D, calculations!A23, deals_closed!C:C)</f>
        <v>770020</v>
      </c>
      <c r="H23" s="5">
        <f>VLOOKUP(D23,'2018_commission_structure'!$A$2:$I$4,9,FALSE)</f>
        <v>750000</v>
      </c>
      <c r="I23" s="9">
        <f t="shared" si="0"/>
        <v>937500</v>
      </c>
      <c r="J23" s="8">
        <f t="shared" si="1"/>
        <v>1125000</v>
      </c>
      <c r="K23" s="9">
        <f t="shared" si="2"/>
        <v>1500000</v>
      </c>
      <c r="L23" s="10">
        <f t="shared" si="3"/>
        <v>1.0266933333333332</v>
      </c>
      <c r="M23" t="str">
        <f t="shared" si="4"/>
        <v>100-125%</v>
      </c>
      <c r="N23" s="9">
        <f>MIN(H23, G23)*INDEX('2018_commission_structure'!$A$1:$I$4,
MATCH($D23, '2018_commission_structure'!$A$1:$A$4,0),
MATCH(N$1, '2018_commission_structure'!$A$1:$I$1,0))</f>
        <v>112500</v>
      </c>
      <c r="O23" s="11">
        <f>IF(G23&gt;H23, MIN(G23-H23, I23-H23)*
INDEX('2018_commission_structure'!$A$1:$I$4,
MATCH($D23, '2018_commission_structure'!$A$1:$A$4, 0),
MATCH(O$1, '2018_commission_structure'!$A$1:$I$1, 0)), 0)</f>
        <v>3803.8</v>
      </c>
      <c r="P23" s="11">
        <f>IF(G23&gt;H23, MIN(G23-H23, J23-H23)*
INDEX('2018_commission_structure'!$A$1:$I$4,
MATCH($D23, '2018_commission_structure'!$A$1:$A$4, 0),
MATCH(O$1, '2018_commission_structure'!$A$1:$I$1, 0)), 0)</f>
        <v>3803.8</v>
      </c>
      <c r="Q23" s="11">
        <f>IF(G23&gt;H23, MIN(G23-H23, I23-H23)*
INDEX('2018_commission_structure'!$A$1:$I$4,
MATCH($D23, '2018_commission_structure'!$A$1:$A$4, 0),
MATCH(P$1, '2018_commission_structure'!$A$1:$I$1, 0)), 0)</f>
        <v>4604.6000000000004</v>
      </c>
      <c r="R23" s="11">
        <f>IF(G23&gt;K23, (G23-K23) *
INDEX('2018_commission_structure'!$A$1:$I$4,
MATCH($D23, '2018_commission_structure'!$A$1:$A$4,0),
MATCH(R$1, '2018_commission_structure'!$A$1:$I$1,0)), 0)</f>
        <v>0</v>
      </c>
      <c r="S23" s="11">
        <f t="shared" si="5"/>
        <v>12212.2</v>
      </c>
      <c r="T23" s="11" cm="1">
        <f t="array" ref="T23">SUM(E23+O23:Q23)</f>
        <v>370202.2</v>
      </c>
    </row>
    <row r="24" spans="1:20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 xml:space="preserve"> COUNTIF(deals_closed!D:D,A24)</f>
        <v>12</v>
      </c>
      <c r="G24" s="5">
        <f>SUMIF(deals_closed!D:D, calculations!A24, deals_closed!C:C)</f>
        <v>329383</v>
      </c>
      <c r="H24" s="5">
        <f>VLOOKUP(D24,'2018_commission_structure'!$A$2:$I$4,9,FALSE)</f>
        <v>600000</v>
      </c>
      <c r="I24" s="9">
        <f t="shared" si="0"/>
        <v>750000</v>
      </c>
      <c r="J24" s="8">
        <f t="shared" si="1"/>
        <v>900000</v>
      </c>
      <c r="K24" s="9">
        <f t="shared" si="2"/>
        <v>1200000</v>
      </c>
      <c r="L24" s="10">
        <f t="shared" si="3"/>
        <v>0.54897166666666664</v>
      </c>
      <c r="M24" t="str">
        <f t="shared" si="4"/>
        <v>0-100%</v>
      </c>
      <c r="N24" s="9">
        <f>MIN(H24, G24)*INDEX('2018_commission_structure'!$A$1:$I$4,
MATCH($D24, '2018_commission_structure'!$A$1:$A$4,0),
MATCH(N$1, '2018_commission_structure'!$A$1:$I$1,0))</f>
        <v>42819.79</v>
      </c>
      <c r="O24" s="11">
        <f>IF(G24&gt;H24, MIN(G24-H24, I24-H24)*
INDEX('2018_commission_structure'!$A$1:$I$4,
MATCH($D24, '2018_commission_structure'!$A$1:$A$4, 0),
MATCH(O$1, '2018_commission_structure'!$A$1:$I$1, 0)), 0)</f>
        <v>0</v>
      </c>
      <c r="P24" s="11">
        <f>IF(G24&gt;H24, MIN(G24-H24, J24-H24)*
INDEX('2018_commission_structure'!$A$1:$I$4,
MATCH($D24, '2018_commission_structure'!$A$1:$A$4, 0),
MATCH(O$1, '2018_commission_structure'!$A$1:$I$1, 0)), 0)</f>
        <v>0</v>
      </c>
      <c r="Q24" s="11">
        <f>IF(G24&gt;H24, MIN(G24-H24, I24-H24)*
INDEX('2018_commission_structure'!$A$1:$I$4,
MATCH($D24, '2018_commission_structure'!$A$1:$A$4, 0),
MATCH(P$1, '2018_commission_structure'!$A$1:$I$1, 0)), 0)</f>
        <v>0</v>
      </c>
      <c r="R24" s="11">
        <f>IF(G24&gt;K24, (G24-K24) *
INDEX('2018_commission_structure'!$A$1:$I$4,
MATCH($D24, '2018_commission_structure'!$A$1:$A$4,0),
MATCH(R$1, '2018_commission_structure'!$A$1:$I$1,0)), 0)</f>
        <v>0</v>
      </c>
      <c r="S24" s="11">
        <f t="shared" si="5"/>
        <v>0</v>
      </c>
      <c r="T24" s="11" cm="1">
        <f t="array" ref="T24">SUM(E24+O24:Q24)</f>
        <v>194517</v>
      </c>
    </row>
    <row r="25" spans="1:20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 xml:space="preserve"> COUNTIF(deals_closed!D:D,A25)</f>
        <v>24</v>
      </c>
      <c r="G25" s="5">
        <f>SUMIF(deals_closed!D:D, calculations!A25, deals_closed!C:C)</f>
        <v>841603</v>
      </c>
      <c r="H25" s="5">
        <f>VLOOKUP(D25,'2018_commission_structure'!$A$2:$I$4,9,FALSE)</f>
        <v>750000</v>
      </c>
      <c r="I25" s="9">
        <f t="shared" si="0"/>
        <v>937500</v>
      </c>
      <c r="J25" s="8">
        <f t="shared" si="1"/>
        <v>1125000</v>
      </c>
      <c r="K25" s="9">
        <f t="shared" si="2"/>
        <v>1500000</v>
      </c>
      <c r="L25" s="10">
        <f t="shared" si="3"/>
        <v>1.1221373333333333</v>
      </c>
      <c r="M25" t="str">
        <f t="shared" si="4"/>
        <v>100-125%</v>
      </c>
      <c r="N25" s="9">
        <f>MIN(H25, G25)*INDEX('2018_commission_structure'!$A$1:$I$4,
MATCH($D25, '2018_commission_structure'!$A$1:$A$4,0),
MATCH(N$1, '2018_commission_structure'!$A$1:$I$1,0))</f>
        <v>112500</v>
      </c>
      <c r="O25" s="11">
        <f>IF(G25&gt;H25, MIN(G25-H25, I25-H25)*
INDEX('2018_commission_structure'!$A$1:$I$4,
MATCH($D25, '2018_commission_structure'!$A$1:$A$4, 0),
MATCH(O$1, '2018_commission_structure'!$A$1:$I$1, 0)), 0)</f>
        <v>17404.57</v>
      </c>
      <c r="P25" s="11">
        <f>IF(G25&gt;H25, MIN(G25-H25, J25-H25)*
INDEX('2018_commission_structure'!$A$1:$I$4,
MATCH($D25, '2018_commission_structure'!$A$1:$A$4, 0),
MATCH(O$1, '2018_commission_structure'!$A$1:$I$1, 0)), 0)</f>
        <v>17404.57</v>
      </c>
      <c r="Q25" s="11">
        <f>IF(G25&gt;H25, MIN(G25-H25, I25-H25)*
INDEX('2018_commission_structure'!$A$1:$I$4,
MATCH($D25, '2018_commission_structure'!$A$1:$A$4, 0),
MATCH(P$1, '2018_commission_structure'!$A$1:$I$1, 0)), 0)</f>
        <v>21068.690000000002</v>
      </c>
      <c r="R25" s="11">
        <f>IF(G25&gt;K25, (G25-K25) *
INDEX('2018_commission_structure'!$A$1:$I$4,
MATCH($D25, '2018_commission_structure'!$A$1:$A$4,0),
MATCH(R$1, '2018_commission_structure'!$A$1:$I$1,0)), 0)</f>
        <v>0</v>
      </c>
      <c r="S25" s="11">
        <f t="shared" si="5"/>
        <v>55877.83</v>
      </c>
      <c r="T25" s="11" cm="1">
        <f t="array" ref="T25">SUM(E25+O25:Q25)</f>
        <v>306419.83</v>
      </c>
    </row>
    <row r="26" spans="1:20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 xml:space="preserve"> COUNTIF(deals_closed!D:D,A26)</f>
        <v>13</v>
      </c>
      <c r="G26" s="5">
        <f>SUMIF(deals_closed!D:D, calculations!A26, deals_closed!C:C)</f>
        <v>543853</v>
      </c>
      <c r="H26" s="5">
        <f>VLOOKUP(D26,'2018_commission_structure'!$A$2:$I$4,9,FALSE)</f>
        <v>500000</v>
      </c>
      <c r="I26" s="9">
        <f t="shared" si="0"/>
        <v>625000</v>
      </c>
      <c r="J26" s="8">
        <f t="shared" si="1"/>
        <v>750000</v>
      </c>
      <c r="K26" s="9">
        <f t="shared" si="2"/>
        <v>1000000</v>
      </c>
      <c r="L26" s="10">
        <f t="shared" si="3"/>
        <v>1.0877060000000001</v>
      </c>
      <c r="M26" t="str">
        <f t="shared" si="4"/>
        <v>100-125%</v>
      </c>
      <c r="N26" s="9">
        <f>MIN(H26, G26)*INDEX('2018_commission_structure'!$A$1:$I$4,
MATCH($D26, '2018_commission_structure'!$A$1:$A$4,0),
MATCH(N$1, '2018_commission_structure'!$A$1:$I$1,0))</f>
        <v>50000</v>
      </c>
      <c r="O26" s="11">
        <f>IF(G26&gt;H26, MIN(G26-H26, I26-H26)*
INDEX('2018_commission_structure'!$A$1:$I$4,
MATCH($D26, '2018_commission_structure'!$A$1:$A$4, 0),
MATCH(O$1, '2018_commission_structure'!$A$1:$I$1, 0)), 0)</f>
        <v>6577.95</v>
      </c>
      <c r="P26" s="11">
        <f>IF(G26&gt;H26, MIN(G26-H26, J26-H26)*
INDEX('2018_commission_structure'!$A$1:$I$4,
MATCH($D26, '2018_commission_structure'!$A$1:$A$4, 0),
MATCH(O$1, '2018_commission_structure'!$A$1:$I$1, 0)), 0)</f>
        <v>6577.95</v>
      </c>
      <c r="Q26" s="11">
        <f>IF(G26&gt;H26, MIN(G26-H26, I26-H26)*
INDEX('2018_commission_structure'!$A$1:$I$4,
MATCH($D26, '2018_commission_structure'!$A$1:$A$4, 0),
MATCH(P$1, '2018_commission_structure'!$A$1:$I$1, 0)), 0)</f>
        <v>7893.54</v>
      </c>
      <c r="R26" s="11">
        <f>IF(G26&gt;K26, (G26-K26) *
INDEX('2018_commission_structure'!$A$1:$I$4,
MATCH($D26, '2018_commission_structure'!$A$1:$A$4,0),
MATCH(R$1, '2018_commission_structure'!$A$1:$I$1,0)), 0)</f>
        <v>0</v>
      </c>
      <c r="S26" s="11">
        <f t="shared" si="5"/>
        <v>21049.439999999999</v>
      </c>
      <c r="T26" s="11" cm="1">
        <f t="array" ref="T26">SUM(E26+O26:Q26)</f>
        <v>143197.44</v>
      </c>
    </row>
    <row r="27" spans="1:20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 xml:space="preserve"> COUNTIF(deals_closed!D:D,A27)</f>
        <v>14</v>
      </c>
      <c r="G27" s="5">
        <f>SUMIF(deals_closed!D:D, calculations!A27, deals_closed!C:C)</f>
        <v>425190</v>
      </c>
      <c r="H27" s="5">
        <f>VLOOKUP(D27,'2018_commission_structure'!$A$2:$I$4,9,FALSE)</f>
        <v>750000</v>
      </c>
      <c r="I27" s="9">
        <f t="shared" si="0"/>
        <v>937500</v>
      </c>
      <c r="J27" s="8">
        <f t="shared" si="1"/>
        <v>1125000</v>
      </c>
      <c r="K27" s="9">
        <f t="shared" si="2"/>
        <v>1500000</v>
      </c>
      <c r="L27" s="10">
        <f t="shared" si="3"/>
        <v>0.56691999999999998</v>
      </c>
      <c r="M27" t="str">
        <f t="shared" si="4"/>
        <v>0-100%</v>
      </c>
      <c r="N27" s="9">
        <f>MIN(H27, G27)*INDEX('2018_commission_structure'!$A$1:$I$4,
MATCH($D27, '2018_commission_structure'!$A$1:$A$4,0),
MATCH(N$1, '2018_commission_structure'!$A$1:$I$1,0))</f>
        <v>63778.5</v>
      </c>
      <c r="O27" s="11">
        <f>IF(G27&gt;H27, MIN(G27-H27, I27-H27)*
INDEX('2018_commission_structure'!$A$1:$I$4,
MATCH($D27, '2018_commission_structure'!$A$1:$A$4, 0),
MATCH(O$1, '2018_commission_structure'!$A$1:$I$1, 0)), 0)</f>
        <v>0</v>
      </c>
      <c r="P27" s="11">
        <f>IF(G27&gt;H27, MIN(G27-H27, J27-H27)*
INDEX('2018_commission_structure'!$A$1:$I$4,
MATCH($D27, '2018_commission_structure'!$A$1:$A$4, 0),
MATCH(O$1, '2018_commission_structure'!$A$1:$I$1, 0)), 0)</f>
        <v>0</v>
      </c>
      <c r="Q27" s="11">
        <f>IF(G27&gt;H27, MIN(G27-H27, I27-H27)*
INDEX('2018_commission_structure'!$A$1:$I$4,
MATCH($D27, '2018_commission_structure'!$A$1:$A$4, 0),
MATCH(P$1, '2018_commission_structure'!$A$1:$I$1, 0)), 0)</f>
        <v>0</v>
      </c>
      <c r="R27" s="11">
        <f>IF(G27&gt;K27, (G27-K27) *
INDEX('2018_commission_structure'!$A$1:$I$4,
MATCH($D27, '2018_commission_structure'!$A$1:$A$4,0),
MATCH(R$1, '2018_commission_structure'!$A$1:$I$1,0)), 0)</f>
        <v>0</v>
      </c>
      <c r="S27" s="11">
        <f t="shared" si="5"/>
        <v>0</v>
      </c>
      <c r="T27" s="11" cm="1">
        <f t="array" ref="T27">SUM(E27+O27:Q27)</f>
        <v>283392</v>
      </c>
    </row>
    <row r="28" spans="1:20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 xml:space="preserve"> COUNTIF(deals_closed!D:D,A28)</f>
        <v>13</v>
      </c>
      <c r="G28" s="5">
        <f>SUMIF(deals_closed!D:D, calculations!A28, deals_closed!C:C)</f>
        <v>543827</v>
      </c>
      <c r="H28" s="5">
        <f>VLOOKUP(D28,'2018_commission_structure'!$A$2:$I$4,9,FALSE)</f>
        <v>600000</v>
      </c>
      <c r="I28" s="9">
        <f t="shared" si="0"/>
        <v>750000</v>
      </c>
      <c r="J28" s="8">
        <f t="shared" si="1"/>
        <v>900000</v>
      </c>
      <c r="K28" s="9">
        <f t="shared" si="2"/>
        <v>1200000</v>
      </c>
      <c r="L28" s="10">
        <f t="shared" si="3"/>
        <v>0.90637833333333329</v>
      </c>
      <c r="M28" t="str">
        <f t="shared" si="4"/>
        <v>0-100%</v>
      </c>
      <c r="N28" s="9">
        <f>MIN(H28, G28)*INDEX('2018_commission_structure'!$A$1:$I$4,
MATCH($D28, '2018_commission_structure'!$A$1:$A$4,0),
MATCH(N$1, '2018_commission_structure'!$A$1:$I$1,0))</f>
        <v>70697.510000000009</v>
      </c>
      <c r="O28" s="11">
        <f>IF(G28&gt;H28, MIN(G28-H28, I28-H28)*
INDEX('2018_commission_structure'!$A$1:$I$4,
MATCH($D28, '2018_commission_structure'!$A$1:$A$4, 0),
MATCH(O$1, '2018_commission_structure'!$A$1:$I$1, 0)), 0)</f>
        <v>0</v>
      </c>
      <c r="P28" s="11">
        <f>IF(G28&gt;H28, MIN(G28-H28, J28-H28)*
INDEX('2018_commission_structure'!$A$1:$I$4,
MATCH($D28, '2018_commission_structure'!$A$1:$A$4, 0),
MATCH(O$1, '2018_commission_structure'!$A$1:$I$1, 0)), 0)</f>
        <v>0</v>
      </c>
      <c r="Q28" s="11">
        <f>IF(G28&gt;H28, MIN(G28-H28, I28-H28)*
INDEX('2018_commission_structure'!$A$1:$I$4,
MATCH($D28, '2018_commission_structure'!$A$1:$A$4, 0),
MATCH(P$1, '2018_commission_structure'!$A$1:$I$1, 0)), 0)</f>
        <v>0</v>
      </c>
      <c r="R28" s="11">
        <f>IF(G28&gt;K28, (G28-K28) *
INDEX('2018_commission_structure'!$A$1:$I$4,
MATCH($D28, '2018_commission_structure'!$A$1:$A$4,0),
MATCH(R$1, '2018_commission_structure'!$A$1:$I$1,0)), 0)</f>
        <v>0</v>
      </c>
      <c r="S28" s="11">
        <f t="shared" si="5"/>
        <v>0</v>
      </c>
      <c r="T28" s="11" cm="1">
        <f t="array" ref="T28">SUM(E28+O28:Q28)</f>
        <v>159831</v>
      </c>
    </row>
    <row r="29" spans="1:20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 xml:space="preserve"> COUNTIF(deals_closed!D:D,A29)</f>
        <v>17</v>
      </c>
      <c r="G29" s="5">
        <f>SUMIF(deals_closed!D:D, calculations!A29, deals_closed!C:C)</f>
        <v>602144</v>
      </c>
      <c r="H29" s="5">
        <f>VLOOKUP(D29,'2018_commission_structure'!$A$2:$I$4,9,FALSE)</f>
        <v>600000</v>
      </c>
      <c r="I29" s="9">
        <f t="shared" si="0"/>
        <v>750000</v>
      </c>
      <c r="J29" s="8">
        <f t="shared" si="1"/>
        <v>900000</v>
      </c>
      <c r="K29" s="9">
        <f t="shared" si="2"/>
        <v>1200000</v>
      </c>
      <c r="L29" s="10">
        <f t="shared" si="3"/>
        <v>1.0035733333333334</v>
      </c>
      <c r="M29" t="str">
        <f t="shared" si="4"/>
        <v>100-125%</v>
      </c>
      <c r="N29" s="9">
        <f>MIN(H29, G29)*INDEX('2018_commission_structure'!$A$1:$I$4,
MATCH($D29, '2018_commission_structure'!$A$1:$A$4,0),
MATCH(N$1, '2018_commission_structure'!$A$1:$I$1,0))</f>
        <v>78000</v>
      </c>
      <c r="O29" s="11">
        <f>IF(G29&gt;H29, MIN(G29-H29, I29-H29)*
INDEX('2018_commission_structure'!$A$1:$I$4,
MATCH($D29, '2018_commission_structure'!$A$1:$A$4, 0),
MATCH(O$1, '2018_commission_structure'!$A$1:$I$1, 0)), 0)</f>
        <v>364.48</v>
      </c>
      <c r="P29" s="11">
        <f>IF(G29&gt;H29, MIN(G29-H29, J29-H29)*
INDEX('2018_commission_structure'!$A$1:$I$4,
MATCH($D29, '2018_commission_structure'!$A$1:$A$4, 0),
MATCH(O$1, '2018_commission_structure'!$A$1:$I$1, 0)), 0)</f>
        <v>364.48</v>
      </c>
      <c r="Q29" s="11">
        <f>IF(G29&gt;H29, MIN(G29-H29, I29-H29)*
INDEX('2018_commission_structure'!$A$1:$I$4,
MATCH($D29, '2018_commission_structure'!$A$1:$A$4, 0),
MATCH(P$1, '2018_commission_structure'!$A$1:$I$1, 0)), 0)</f>
        <v>450.24</v>
      </c>
      <c r="R29" s="11">
        <f>IF(G29&gt;K29, (G29-K29) *
INDEX('2018_commission_structure'!$A$1:$I$4,
MATCH($D29, '2018_commission_structure'!$A$1:$A$4,0),
MATCH(R$1, '2018_commission_structure'!$A$1:$I$1,0)), 0)</f>
        <v>0</v>
      </c>
      <c r="S29" s="11">
        <f t="shared" si="5"/>
        <v>1179.2</v>
      </c>
      <c r="T29" s="11" cm="1">
        <f t="array" ref="T29">SUM(E29+O29:Q29)</f>
        <v>204396.2</v>
      </c>
    </row>
    <row r="30" spans="1:20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 xml:space="preserve"> COUNTIF(deals_closed!D:D,A30)</f>
        <v>30</v>
      </c>
      <c r="G30" s="5">
        <f>SUMIF(deals_closed!D:D, calculations!A30, deals_closed!C:C)</f>
        <v>1143449</v>
      </c>
      <c r="H30" s="5">
        <f>VLOOKUP(D30,'2018_commission_structure'!$A$2:$I$4,9,FALSE)</f>
        <v>750000</v>
      </c>
      <c r="I30" s="9">
        <f t="shared" si="0"/>
        <v>937500</v>
      </c>
      <c r="J30" s="8">
        <f t="shared" si="1"/>
        <v>1125000</v>
      </c>
      <c r="K30" s="9">
        <f t="shared" si="2"/>
        <v>1500000</v>
      </c>
      <c r="L30" s="10">
        <f t="shared" si="3"/>
        <v>1.5245986666666667</v>
      </c>
      <c r="M30" t="str">
        <f t="shared" si="4"/>
        <v>150-200%</v>
      </c>
      <c r="N30" s="9">
        <f>MIN(H30, G30)*INDEX('2018_commission_structure'!$A$1:$I$4,
MATCH($D30, '2018_commission_structure'!$A$1:$A$4,0),
MATCH(N$1, '2018_commission_structure'!$A$1:$I$1,0))</f>
        <v>112500</v>
      </c>
      <c r="O30" s="11">
        <f>IF(G30&gt;H30, MIN(G30-H30, I30-H30)*
INDEX('2018_commission_structure'!$A$1:$I$4,
MATCH($D30, '2018_commission_structure'!$A$1:$A$4, 0),
MATCH(O$1, '2018_commission_structure'!$A$1:$I$1, 0)), 0)</f>
        <v>35625</v>
      </c>
      <c r="P30" s="11">
        <f>IF(G30&gt;H30, MIN(G30-H30, J30-H30)*
INDEX('2018_commission_structure'!$A$1:$I$4,
MATCH($D30, '2018_commission_structure'!$A$1:$A$4, 0),
MATCH(O$1, '2018_commission_structure'!$A$1:$I$1, 0)), 0)</f>
        <v>71250</v>
      </c>
      <c r="Q30" s="11">
        <f>IF(G30&gt;H30, MIN(G30-H30, I30-H30)*
INDEX('2018_commission_structure'!$A$1:$I$4,
MATCH($D30, '2018_commission_structure'!$A$1:$A$4, 0),
MATCH(P$1, '2018_commission_structure'!$A$1:$I$1, 0)), 0)</f>
        <v>43125</v>
      </c>
      <c r="R30" s="11">
        <f>IF(G30&gt;K30, (G30-K30) *
INDEX('2018_commission_structure'!$A$1:$I$4,
MATCH($D30, '2018_commission_structure'!$A$1:$A$4,0),
MATCH(R$1, '2018_commission_structure'!$A$1:$I$1,0)), 0)</f>
        <v>0</v>
      </c>
      <c r="S30" s="11">
        <f t="shared" si="5"/>
        <v>150000</v>
      </c>
      <c r="T30" s="11" cm="1">
        <f t="array" ref="T30">SUM(E30+O30:Q30)</f>
        <v>377037</v>
      </c>
    </row>
    <row r="31" spans="1:20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 xml:space="preserve"> COUNTIF(deals_closed!D:D,A31)</f>
        <v>22</v>
      </c>
      <c r="G31" s="5">
        <f>SUMIF(deals_closed!D:D, calculations!A31, deals_closed!C:C)</f>
        <v>794444</v>
      </c>
      <c r="H31" s="5">
        <f>VLOOKUP(D31,'2018_commission_structure'!$A$2:$I$4,9,FALSE)</f>
        <v>500000</v>
      </c>
      <c r="I31" s="9">
        <f t="shared" si="0"/>
        <v>625000</v>
      </c>
      <c r="J31" s="8">
        <f t="shared" si="1"/>
        <v>750000</v>
      </c>
      <c r="K31" s="9">
        <f t="shared" si="2"/>
        <v>1000000</v>
      </c>
      <c r="L31" s="10">
        <f t="shared" si="3"/>
        <v>1.5888880000000001</v>
      </c>
      <c r="M31" t="str">
        <f t="shared" si="4"/>
        <v>150-200%</v>
      </c>
      <c r="N31" s="9">
        <f>MIN(H31, G31)*INDEX('2018_commission_structure'!$A$1:$I$4,
MATCH($D31, '2018_commission_structure'!$A$1:$A$4,0),
MATCH(N$1, '2018_commission_structure'!$A$1:$I$1,0))</f>
        <v>50000</v>
      </c>
      <c r="O31" s="11">
        <f>IF(G31&gt;H31, MIN(G31-H31, I31-H31)*
INDEX('2018_commission_structure'!$A$1:$I$4,
MATCH($D31, '2018_commission_structure'!$A$1:$A$4, 0),
MATCH(O$1, '2018_commission_structure'!$A$1:$I$1, 0)), 0)</f>
        <v>18750</v>
      </c>
      <c r="P31" s="11">
        <f>IF(G31&gt;H31, MIN(G31-H31, J31-H31)*
INDEX('2018_commission_structure'!$A$1:$I$4,
MATCH($D31, '2018_commission_structure'!$A$1:$A$4, 0),
MATCH(O$1, '2018_commission_structure'!$A$1:$I$1, 0)), 0)</f>
        <v>37500</v>
      </c>
      <c r="Q31" s="11">
        <f>IF(G31&gt;H31, MIN(G31-H31, I31-H31)*
INDEX('2018_commission_structure'!$A$1:$I$4,
MATCH($D31, '2018_commission_structure'!$A$1:$A$4, 0),
MATCH(P$1, '2018_commission_structure'!$A$1:$I$1, 0)), 0)</f>
        <v>22500</v>
      </c>
      <c r="R31" s="11">
        <f>IF(G31&gt;K31, (G31-K31) *
INDEX('2018_commission_structure'!$A$1:$I$4,
MATCH($D31, '2018_commission_structure'!$A$1:$A$4,0),
MATCH(R$1, '2018_commission_structure'!$A$1:$I$1,0)), 0)</f>
        <v>0</v>
      </c>
      <c r="S31" s="11">
        <f t="shared" si="5"/>
        <v>78750</v>
      </c>
      <c r="T31" s="11" cm="1">
        <f t="array" ref="T31">SUM(E31+O31:Q31)</f>
        <v>195462</v>
      </c>
    </row>
    <row r="32" spans="1:20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 xml:space="preserve"> COUNTIF(deals_closed!D:D,A32)</f>
        <v>23</v>
      </c>
      <c r="G32" s="5">
        <f>SUMIF(deals_closed!D:D, calculations!A32, deals_closed!C:C)</f>
        <v>852910</v>
      </c>
      <c r="H32" s="5">
        <f>VLOOKUP(D32,'2018_commission_structure'!$A$2:$I$4,9,FALSE)</f>
        <v>500000</v>
      </c>
      <c r="I32" s="9">
        <f t="shared" si="0"/>
        <v>625000</v>
      </c>
      <c r="J32" s="8">
        <f t="shared" si="1"/>
        <v>750000</v>
      </c>
      <c r="K32" s="9">
        <f t="shared" si="2"/>
        <v>1000000</v>
      </c>
      <c r="L32" s="10">
        <f t="shared" si="3"/>
        <v>1.7058199999999999</v>
      </c>
      <c r="M32" t="str">
        <f t="shared" si="4"/>
        <v>150-200%</v>
      </c>
      <c r="N32" s="9">
        <f>MIN(H32, G32)*INDEX('2018_commission_structure'!$A$1:$I$4,
MATCH($D32, '2018_commission_structure'!$A$1:$A$4,0),
MATCH(N$1, '2018_commission_structure'!$A$1:$I$1,0))</f>
        <v>50000</v>
      </c>
      <c r="O32" s="11">
        <f>IF(G32&gt;H32, MIN(G32-H32, I32-H32)*
INDEX('2018_commission_structure'!$A$1:$I$4,
MATCH($D32, '2018_commission_structure'!$A$1:$A$4, 0),
MATCH(O$1, '2018_commission_structure'!$A$1:$I$1, 0)), 0)</f>
        <v>18750</v>
      </c>
      <c r="P32" s="11">
        <f>IF(G32&gt;H32, MIN(G32-H32, J32-H32)*
INDEX('2018_commission_structure'!$A$1:$I$4,
MATCH($D32, '2018_commission_structure'!$A$1:$A$4, 0),
MATCH(O$1, '2018_commission_structure'!$A$1:$I$1, 0)), 0)</f>
        <v>37500</v>
      </c>
      <c r="Q32" s="11">
        <f>IF(G32&gt;H32, MIN(G32-H32, I32-H32)*
INDEX('2018_commission_structure'!$A$1:$I$4,
MATCH($D32, '2018_commission_structure'!$A$1:$A$4, 0),
MATCH(P$1, '2018_commission_structure'!$A$1:$I$1, 0)), 0)</f>
        <v>22500</v>
      </c>
      <c r="R32" s="11">
        <f>IF(G32&gt;K32, (G32-K32) *
INDEX('2018_commission_structure'!$A$1:$I$4,
MATCH($D32, '2018_commission_structure'!$A$1:$A$4,0),
MATCH(R$1, '2018_commission_structure'!$A$1:$I$1,0)), 0)</f>
        <v>0</v>
      </c>
      <c r="S32" s="11">
        <f t="shared" si="5"/>
        <v>78750</v>
      </c>
      <c r="T32" s="11" cm="1">
        <f t="array" ref="T32">SUM(E32+O32:Q32)</f>
        <v>214809</v>
      </c>
    </row>
    <row r="33" spans="1:20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 xml:space="preserve"> COUNTIF(deals_closed!D:D,A33)</f>
        <v>18</v>
      </c>
      <c r="G33" s="5">
        <f>SUMIF(deals_closed!D:D, calculations!A33, deals_closed!C:C)</f>
        <v>624543</v>
      </c>
      <c r="H33" s="5">
        <f>VLOOKUP(D33,'2018_commission_structure'!$A$2:$I$4,9,FALSE)</f>
        <v>600000</v>
      </c>
      <c r="I33" s="9">
        <f t="shared" si="0"/>
        <v>750000</v>
      </c>
      <c r="J33" s="8">
        <f t="shared" si="1"/>
        <v>900000</v>
      </c>
      <c r="K33" s="9">
        <f t="shared" si="2"/>
        <v>1200000</v>
      </c>
      <c r="L33" s="10">
        <f t="shared" si="3"/>
        <v>1.040905</v>
      </c>
      <c r="M33" t="str">
        <f t="shared" si="4"/>
        <v>100-125%</v>
      </c>
      <c r="N33" s="9">
        <f>MIN(H33, G33)*INDEX('2018_commission_structure'!$A$1:$I$4,
MATCH($D33, '2018_commission_structure'!$A$1:$A$4,0),
MATCH(N$1, '2018_commission_structure'!$A$1:$I$1,0))</f>
        <v>78000</v>
      </c>
      <c r="O33" s="11">
        <f>IF(G33&gt;H33, MIN(G33-H33, I33-H33)*
INDEX('2018_commission_structure'!$A$1:$I$4,
MATCH($D33, '2018_commission_structure'!$A$1:$A$4, 0),
MATCH(O$1, '2018_commission_structure'!$A$1:$I$1, 0)), 0)</f>
        <v>4172.3100000000004</v>
      </c>
      <c r="P33" s="11">
        <f>IF(G33&gt;H33, MIN(G33-H33, J33-H33)*
INDEX('2018_commission_structure'!$A$1:$I$4,
MATCH($D33, '2018_commission_structure'!$A$1:$A$4, 0),
MATCH(O$1, '2018_commission_structure'!$A$1:$I$1, 0)), 0)</f>
        <v>4172.3100000000004</v>
      </c>
      <c r="Q33" s="11">
        <f>IF(G33&gt;H33, MIN(G33-H33, I33-H33)*
INDEX('2018_commission_structure'!$A$1:$I$4,
MATCH($D33, '2018_commission_structure'!$A$1:$A$4, 0),
MATCH(P$1, '2018_commission_structure'!$A$1:$I$1, 0)), 0)</f>
        <v>5154.03</v>
      </c>
      <c r="R33" s="11">
        <f>IF(G33&gt;K33, (G33-K33) *
INDEX('2018_commission_structure'!$A$1:$I$4,
MATCH($D33, '2018_commission_structure'!$A$1:$A$4,0),
MATCH(R$1, '2018_commission_structure'!$A$1:$I$1,0)), 0)</f>
        <v>0</v>
      </c>
      <c r="S33" s="11">
        <f t="shared" si="5"/>
        <v>13498.650000000001</v>
      </c>
      <c r="T33" s="11" cm="1">
        <f t="array" ref="T33">SUM(E33+O33:Q33)</f>
        <v>222628.65</v>
      </c>
    </row>
    <row r="34" spans="1:20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 xml:space="preserve"> COUNTIF(deals_closed!D:D,A34)</f>
        <v>13</v>
      </c>
      <c r="G34" s="5">
        <f>SUMIF(deals_closed!D:D, calculations!A34, deals_closed!C:C)</f>
        <v>523769</v>
      </c>
      <c r="H34" s="5">
        <f>VLOOKUP(D34,'2018_commission_structure'!$A$2:$I$4,9,FALSE)</f>
        <v>600000</v>
      </c>
      <c r="I34" s="9">
        <f t="shared" si="0"/>
        <v>750000</v>
      </c>
      <c r="J34" s="8">
        <f t="shared" si="1"/>
        <v>900000</v>
      </c>
      <c r="K34" s="9">
        <f t="shared" si="2"/>
        <v>1200000</v>
      </c>
      <c r="L34" s="10">
        <f t="shared" si="3"/>
        <v>0.87294833333333333</v>
      </c>
      <c r="M34" t="str">
        <f t="shared" si="4"/>
        <v>0-100%</v>
      </c>
      <c r="N34" s="9">
        <f>MIN(H34, G34)*INDEX('2018_commission_structure'!$A$1:$I$4,
MATCH($D34, '2018_commission_structure'!$A$1:$A$4,0),
MATCH(N$1, '2018_commission_structure'!$A$1:$I$1,0))</f>
        <v>68089.97</v>
      </c>
      <c r="O34" s="11">
        <f>IF(G34&gt;H34, MIN(G34-H34, I34-H34)*
INDEX('2018_commission_structure'!$A$1:$I$4,
MATCH($D34, '2018_commission_structure'!$A$1:$A$4, 0),
MATCH(O$1, '2018_commission_structure'!$A$1:$I$1, 0)), 0)</f>
        <v>0</v>
      </c>
      <c r="P34" s="11">
        <f>IF(G34&gt;H34, MIN(G34-H34, J34-H34)*
INDEX('2018_commission_structure'!$A$1:$I$4,
MATCH($D34, '2018_commission_structure'!$A$1:$A$4, 0),
MATCH(O$1, '2018_commission_structure'!$A$1:$I$1, 0)), 0)</f>
        <v>0</v>
      </c>
      <c r="Q34" s="11">
        <f>IF(G34&gt;H34, MIN(G34-H34, I34-H34)*
INDEX('2018_commission_structure'!$A$1:$I$4,
MATCH($D34, '2018_commission_structure'!$A$1:$A$4, 0),
MATCH(P$1, '2018_commission_structure'!$A$1:$I$1, 0)), 0)</f>
        <v>0</v>
      </c>
      <c r="R34" s="11">
        <f>IF(G34&gt;K34, (G34-K34) *
INDEX('2018_commission_structure'!$A$1:$I$4,
MATCH($D34, '2018_commission_structure'!$A$1:$A$4,0),
MATCH(R$1, '2018_commission_structure'!$A$1:$I$1,0)), 0)</f>
        <v>0</v>
      </c>
      <c r="S34" s="11">
        <f t="shared" si="5"/>
        <v>0</v>
      </c>
      <c r="T34" s="11" cm="1">
        <f t="array" ref="T34">SUM(E34+O34:Q34)</f>
        <v>228333</v>
      </c>
    </row>
    <row r="35" spans="1:20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 xml:space="preserve"> COUNTIF(deals_closed!D:D,A35)</f>
        <v>15</v>
      </c>
      <c r="G35" s="5">
        <f>SUMIF(deals_closed!D:D, calculations!A35, deals_closed!C:C)</f>
        <v>540083</v>
      </c>
      <c r="H35" s="5">
        <f>VLOOKUP(D35,'2018_commission_structure'!$A$2:$I$4,9,FALSE)</f>
        <v>750000</v>
      </c>
      <c r="I35" s="9">
        <f t="shared" si="0"/>
        <v>937500</v>
      </c>
      <c r="J35" s="8">
        <f t="shared" si="1"/>
        <v>1125000</v>
      </c>
      <c r="K35" s="9">
        <f t="shared" si="2"/>
        <v>1500000</v>
      </c>
      <c r="L35" s="10">
        <f t="shared" si="3"/>
        <v>0.72011066666666668</v>
      </c>
      <c r="M35" t="str">
        <f t="shared" si="4"/>
        <v>0-100%</v>
      </c>
      <c r="N35" s="9">
        <f>MIN(H35, G35)*INDEX('2018_commission_structure'!$A$1:$I$4,
MATCH($D35, '2018_commission_structure'!$A$1:$A$4,0),
MATCH(N$1, '2018_commission_structure'!$A$1:$I$1,0))</f>
        <v>81012.45</v>
      </c>
      <c r="O35" s="11">
        <f>IF(G35&gt;H35, MIN(G35-H35, I35-H35)*
INDEX('2018_commission_structure'!$A$1:$I$4,
MATCH($D35, '2018_commission_structure'!$A$1:$A$4, 0),
MATCH(O$1, '2018_commission_structure'!$A$1:$I$1, 0)), 0)</f>
        <v>0</v>
      </c>
      <c r="P35" s="11">
        <f>IF(G35&gt;H35, MIN(G35-H35, J35-H35)*
INDEX('2018_commission_structure'!$A$1:$I$4,
MATCH($D35, '2018_commission_structure'!$A$1:$A$4, 0),
MATCH(O$1, '2018_commission_structure'!$A$1:$I$1, 0)), 0)</f>
        <v>0</v>
      </c>
      <c r="Q35" s="11">
        <f>IF(G35&gt;H35, MIN(G35-H35, I35-H35)*
INDEX('2018_commission_structure'!$A$1:$I$4,
MATCH($D35, '2018_commission_structure'!$A$1:$A$4, 0),
MATCH(P$1, '2018_commission_structure'!$A$1:$I$1, 0)), 0)</f>
        <v>0</v>
      </c>
      <c r="R35" s="11">
        <f>IF(G35&gt;K35, (G35-K35) *
INDEX('2018_commission_structure'!$A$1:$I$4,
MATCH($D35, '2018_commission_structure'!$A$1:$A$4,0),
MATCH(R$1, '2018_commission_structure'!$A$1:$I$1,0)), 0)</f>
        <v>0</v>
      </c>
      <c r="S35" s="11">
        <f t="shared" si="5"/>
        <v>0</v>
      </c>
      <c r="T35" s="11" cm="1">
        <f t="array" ref="T35">SUM(E35+O35:Q35)</f>
        <v>294546</v>
      </c>
    </row>
    <row r="36" spans="1:20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 xml:space="preserve"> COUNTIF(deals_closed!D:D,A36)</f>
        <v>24</v>
      </c>
      <c r="G36" s="5">
        <f>SUMIF(deals_closed!D:D, calculations!A36, deals_closed!C:C)</f>
        <v>860270</v>
      </c>
      <c r="H36" s="5">
        <f>VLOOKUP(D36,'2018_commission_structure'!$A$2:$I$4,9,FALSE)</f>
        <v>750000</v>
      </c>
      <c r="I36" s="9">
        <f t="shared" si="0"/>
        <v>937500</v>
      </c>
      <c r="J36" s="8">
        <f t="shared" si="1"/>
        <v>1125000</v>
      </c>
      <c r="K36" s="9">
        <f t="shared" si="2"/>
        <v>1500000</v>
      </c>
      <c r="L36" s="10">
        <f t="shared" si="3"/>
        <v>1.1470266666666666</v>
      </c>
      <c r="M36" t="str">
        <f t="shared" si="4"/>
        <v>100-125%</v>
      </c>
      <c r="N36" s="9">
        <f>MIN(H36, G36)*INDEX('2018_commission_structure'!$A$1:$I$4,
MATCH($D36, '2018_commission_structure'!$A$1:$A$4,0),
MATCH(N$1, '2018_commission_structure'!$A$1:$I$1,0))</f>
        <v>112500</v>
      </c>
      <c r="O36" s="11">
        <f>IF(G36&gt;H36, MIN(G36-H36, I36-H36)*
INDEX('2018_commission_structure'!$A$1:$I$4,
MATCH($D36, '2018_commission_structure'!$A$1:$A$4, 0),
MATCH(O$1, '2018_commission_structure'!$A$1:$I$1, 0)), 0)</f>
        <v>20951.3</v>
      </c>
      <c r="P36" s="11">
        <f>IF(G36&gt;H36, MIN(G36-H36, J36-H36)*
INDEX('2018_commission_structure'!$A$1:$I$4,
MATCH($D36, '2018_commission_structure'!$A$1:$A$4, 0),
MATCH(O$1, '2018_commission_structure'!$A$1:$I$1, 0)), 0)</f>
        <v>20951.3</v>
      </c>
      <c r="Q36" s="11">
        <f>IF(G36&gt;H36, MIN(G36-H36, I36-H36)*
INDEX('2018_commission_structure'!$A$1:$I$4,
MATCH($D36, '2018_commission_structure'!$A$1:$A$4, 0),
MATCH(P$1, '2018_commission_structure'!$A$1:$I$1, 0)), 0)</f>
        <v>25362.100000000002</v>
      </c>
      <c r="R36" s="11">
        <f>IF(G36&gt;K36, (G36-K36) *
INDEX('2018_commission_structure'!$A$1:$I$4,
MATCH($D36, '2018_commission_structure'!$A$1:$A$4,0),
MATCH(R$1, '2018_commission_structure'!$A$1:$I$1,0)), 0)</f>
        <v>0</v>
      </c>
      <c r="S36" s="11">
        <f t="shared" si="5"/>
        <v>67264.7</v>
      </c>
      <c r="T36" s="11" cm="1">
        <f t="array" ref="T36">SUM(E36+O36:Q36)</f>
        <v>385303.7</v>
      </c>
    </row>
    <row r="37" spans="1:20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 xml:space="preserve"> COUNTIF(deals_closed!D:D,A37)</f>
        <v>16</v>
      </c>
      <c r="G37" s="5">
        <f>SUMIF(deals_closed!D:D, calculations!A37, deals_closed!C:C)</f>
        <v>470117</v>
      </c>
      <c r="H37" s="5">
        <f>VLOOKUP(D37,'2018_commission_structure'!$A$2:$I$4,9,FALSE)</f>
        <v>600000</v>
      </c>
      <c r="I37" s="9">
        <f t="shared" si="0"/>
        <v>750000</v>
      </c>
      <c r="J37" s="8">
        <f t="shared" si="1"/>
        <v>900000</v>
      </c>
      <c r="K37" s="9">
        <f t="shared" si="2"/>
        <v>1200000</v>
      </c>
      <c r="L37" s="10">
        <f t="shared" si="3"/>
        <v>0.78352833333333338</v>
      </c>
      <c r="M37" t="str">
        <f t="shared" si="4"/>
        <v>0-100%</v>
      </c>
      <c r="N37" s="9">
        <f>MIN(H37, G37)*INDEX('2018_commission_structure'!$A$1:$I$4,
MATCH($D37, '2018_commission_structure'!$A$1:$A$4,0),
MATCH(N$1, '2018_commission_structure'!$A$1:$I$1,0))</f>
        <v>61115.21</v>
      </c>
      <c r="O37" s="11">
        <f>IF(G37&gt;H37, MIN(G37-H37, I37-H37)*
INDEX('2018_commission_structure'!$A$1:$I$4,
MATCH($D37, '2018_commission_structure'!$A$1:$A$4, 0),
MATCH(O$1, '2018_commission_structure'!$A$1:$I$1, 0)), 0)</f>
        <v>0</v>
      </c>
      <c r="P37" s="11">
        <f>IF(G37&gt;H37, MIN(G37-H37, J37-H37)*
INDEX('2018_commission_structure'!$A$1:$I$4,
MATCH($D37, '2018_commission_structure'!$A$1:$A$4, 0),
MATCH(O$1, '2018_commission_structure'!$A$1:$I$1, 0)), 0)</f>
        <v>0</v>
      </c>
      <c r="Q37" s="11">
        <f>IF(G37&gt;H37, MIN(G37-H37, I37-H37)*
INDEX('2018_commission_structure'!$A$1:$I$4,
MATCH($D37, '2018_commission_structure'!$A$1:$A$4, 0),
MATCH(P$1, '2018_commission_structure'!$A$1:$I$1, 0)), 0)</f>
        <v>0</v>
      </c>
      <c r="R37" s="11">
        <f>IF(G37&gt;K37, (G37-K37) *
INDEX('2018_commission_structure'!$A$1:$I$4,
MATCH($D37, '2018_commission_structure'!$A$1:$A$4,0),
MATCH(R$1, '2018_commission_structure'!$A$1:$I$1,0)), 0)</f>
        <v>0</v>
      </c>
      <c r="S37" s="11">
        <f t="shared" si="5"/>
        <v>0</v>
      </c>
      <c r="T37" s="11" cm="1">
        <f t="array" ref="T37">SUM(E37+O37:Q37)</f>
        <v>224028</v>
      </c>
    </row>
    <row r="38" spans="1:20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 xml:space="preserve"> COUNTIF(deals_closed!D:D,A38)</f>
        <v>16</v>
      </c>
      <c r="G38" s="5">
        <f>SUMIF(deals_closed!D:D, calculations!A38, deals_closed!C:C)</f>
        <v>573666</v>
      </c>
      <c r="H38" s="5">
        <f>VLOOKUP(D38,'2018_commission_structure'!$A$2:$I$4,9,FALSE)</f>
        <v>600000</v>
      </c>
      <c r="I38" s="9">
        <f t="shared" si="0"/>
        <v>750000</v>
      </c>
      <c r="J38" s="8">
        <f t="shared" si="1"/>
        <v>900000</v>
      </c>
      <c r="K38" s="9">
        <f t="shared" si="2"/>
        <v>1200000</v>
      </c>
      <c r="L38" s="10">
        <f t="shared" si="3"/>
        <v>0.95611000000000002</v>
      </c>
      <c r="M38" t="str">
        <f t="shared" si="4"/>
        <v>0-100%</v>
      </c>
      <c r="N38" s="9">
        <f>MIN(H38, G38)*INDEX('2018_commission_structure'!$A$1:$I$4,
MATCH($D38, '2018_commission_structure'!$A$1:$A$4,0),
MATCH(N$1, '2018_commission_structure'!$A$1:$I$1,0))</f>
        <v>74576.58</v>
      </c>
      <c r="O38" s="11">
        <f>IF(G38&gt;H38, MIN(G38-H38, I38-H38)*
INDEX('2018_commission_structure'!$A$1:$I$4,
MATCH($D38, '2018_commission_structure'!$A$1:$A$4, 0),
MATCH(O$1, '2018_commission_structure'!$A$1:$I$1, 0)), 0)</f>
        <v>0</v>
      </c>
      <c r="P38" s="11">
        <f>IF(G38&gt;H38, MIN(G38-H38, J38-H38)*
INDEX('2018_commission_structure'!$A$1:$I$4,
MATCH($D38, '2018_commission_structure'!$A$1:$A$4, 0),
MATCH(O$1, '2018_commission_structure'!$A$1:$I$1, 0)), 0)</f>
        <v>0</v>
      </c>
      <c r="Q38" s="11">
        <f>IF(G38&gt;H38, MIN(G38-H38, I38-H38)*
INDEX('2018_commission_structure'!$A$1:$I$4,
MATCH($D38, '2018_commission_structure'!$A$1:$A$4, 0),
MATCH(P$1, '2018_commission_structure'!$A$1:$I$1, 0)), 0)</f>
        <v>0</v>
      </c>
      <c r="R38" s="11">
        <f>IF(G38&gt;K38, (G38-K38) *
INDEX('2018_commission_structure'!$A$1:$I$4,
MATCH($D38, '2018_commission_structure'!$A$1:$A$4,0),
MATCH(R$1, '2018_commission_structure'!$A$1:$I$1,0)), 0)</f>
        <v>0</v>
      </c>
      <c r="S38" s="11">
        <f t="shared" si="5"/>
        <v>0</v>
      </c>
      <c r="T38" s="11" cm="1">
        <f t="array" ref="T38">SUM(E38+O38:Q38)</f>
        <v>155412</v>
      </c>
    </row>
    <row r="39" spans="1:20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 xml:space="preserve"> COUNTIF(deals_closed!D:D,A39)</f>
        <v>23</v>
      </c>
      <c r="G39" s="5">
        <f>SUMIF(deals_closed!D:D, calculations!A39, deals_closed!C:C)</f>
        <v>793311</v>
      </c>
      <c r="H39" s="5">
        <f>VLOOKUP(D39,'2018_commission_structure'!$A$2:$I$4,9,FALSE)</f>
        <v>600000</v>
      </c>
      <c r="I39" s="9">
        <f t="shared" si="0"/>
        <v>750000</v>
      </c>
      <c r="J39" s="8">
        <f t="shared" si="1"/>
        <v>900000</v>
      </c>
      <c r="K39" s="9">
        <f t="shared" si="2"/>
        <v>1200000</v>
      </c>
      <c r="L39" s="10">
        <f t="shared" si="3"/>
        <v>1.3221849999999999</v>
      </c>
      <c r="M39" t="str">
        <f t="shared" si="4"/>
        <v>125-150%</v>
      </c>
      <c r="N39" s="9">
        <f>MIN(H39, G39)*INDEX('2018_commission_structure'!$A$1:$I$4,
MATCH($D39, '2018_commission_structure'!$A$1:$A$4,0),
MATCH(N$1, '2018_commission_structure'!$A$1:$I$1,0))</f>
        <v>78000</v>
      </c>
      <c r="O39" s="11">
        <f>IF(G39&gt;H39, MIN(G39-H39, I39-H39)*
INDEX('2018_commission_structure'!$A$1:$I$4,
MATCH($D39, '2018_commission_structure'!$A$1:$A$4, 0),
MATCH(O$1, '2018_commission_structure'!$A$1:$I$1, 0)), 0)</f>
        <v>25500.000000000004</v>
      </c>
      <c r="P39" s="11">
        <f>IF(G39&gt;H39, MIN(G39-H39, J39-H39)*
INDEX('2018_commission_structure'!$A$1:$I$4,
MATCH($D39, '2018_commission_structure'!$A$1:$A$4, 0),
MATCH(O$1, '2018_commission_structure'!$A$1:$I$1, 0)), 0)</f>
        <v>32862.870000000003</v>
      </c>
      <c r="Q39" s="11">
        <f>IF(G39&gt;H39, MIN(G39-H39, I39-H39)*
INDEX('2018_commission_structure'!$A$1:$I$4,
MATCH($D39, '2018_commission_structure'!$A$1:$A$4, 0),
MATCH(P$1, '2018_commission_structure'!$A$1:$I$1, 0)), 0)</f>
        <v>31500</v>
      </c>
      <c r="R39" s="11">
        <f>IF(G39&gt;K39, (G39-K39) *
INDEX('2018_commission_structure'!$A$1:$I$4,
MATCH($D39, '2018_commission_structure'!$A$1:$A$4,0),
MATCH(R$1, '2018_commission_structure'!$A$1:$I$1,0)), 0)</f>
        <v>0</v>
      </c>
      <c r="S39" s="11">
        <f t="shared" si="5"/>
        <v>89862.87000000001</v>
      </c>
      <c r="T39" s="11" cm="1">
        <f t="array" ref="T39">SUM(E39+O39:Q39)</f>
        <v>282795.87</v>
      </c>
    </row>
    <row r="40" spans="1:20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 xml:space="preserve"> COUNTIF(deals_closed!D:D,A40)</f>
        <v>21</v>
      </c>
      <c r="G40" s="5">
        <f>SUMIF(deals_closed!D:D, calculations!A40, deals_closed!C:C)</f>
        <v>734340</v>
      </c>
      <c r="H40" s="5">
        <f>VLOOKUP(D40,'2018_commission_structure'!$A$2:$I$4,9,FALSE)</f>
        <v>600000</v>
      </c>
      <c r="I40" s="9">
        <f t="shared" si="0"/>
        <v>750000</v>
      </c>
      <c r="J40" s="8">
        <f t="shared" si="1"/>
        <v>900000</v>
      </c>
      <c r="K40" s="9">
        <f t="shared" si="2"/>
        <v>1200000</v>
      </c>
      <c r="L40" s="10">
        <f t="shared" si="3"/>
        <v>1.2239</v>
      </c>
      <c r="M40" t="str">
        <f t="shared" si="4"/>
        <v>100-125%</v>
      </c>
      <c r="N40" s="9">
        <f>MIN(H40, G40)*INDEX('2018_commission_structure'!$A$1:$I$4,
MATCH($D40, '2018_commission_structure'!$A$1:$A$4,0),
MATCH(N$1, '2018_commission_structure'!$A$1:$I$1,0))</f>
        <v>78000</v>
      </c>
      <c r="O40" s="11">
        <f>IF(G40&gt;H40, MIN(G40-H40, I40-H40)*
INDEX('2018_commission_structure'!$A$1:$I$4,
MATCH($D40, '2018_commission_structure'!$A$1:$A$4, 0),
MATCH(O$1, '2018_commission_structure'!$A$1:$I$1, 0)), 0)</f>
        <v>22837.800000000003</v>
      </c>
      <c r="P40" s="11">
        <f>IF(G40&gt;H40, MIN(G40-H40, J40-H40)*
INDEX('2018_commission_structure'!$A$1:$I$4,
MATCH($D40, '2018_commission_structure'!$A$1:$A$4, 0),
MATCH(O$1, '2018_commission_structure'!$A$1:$I$1, 0)), 0)</f>
        <v>22837.800000000003</v>
      </c>
      <c r="Q40" s="11">
        <f>IF(G40&gt;H40, MIN(G40-H40, I40-H40)*
INDEX('2018_commission_structure'!$A$1:$I$4,
MATCH($D40, '2018_commission_structure'!$A$1:$A$4, 0),
MATCH(P$1, '2018_commission_structure'!$A$1:$I$1, 0)), 0)</f>
        <v>28211.399999999998</v>
      </c>
      <c r="R40" s="11">
        <f>IF(G40&gt;K40, (G40-K40) *
INDEX('2018_commission_structure'!$A$1:$I$4,
MATCH($D40, '2018_commission_structure'!$A$1:$A$4,0),
MATCH(R$1, '2018_commission_structure'!$A$1:$I$1,0)), 0)</f>
        <v>0</v>
      </c>
      <c r="S40" s="11">
        <f t="shared" si="5"/>
        <v>73887</v>
      </c>
      <c r="T40" s="11" cm="1">
        <f t="array" ref="T40">SUM(E40+O40:Q40)</f>
        <v>305634</v>
      </c>
    </row>
    <row r="41" spans="1:20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 xml:space="preserve"> COUNTIF(deals_closed!D:D,A41)</f>
        <v>22</v>
      </c>
      <c r="G41" s="5">
        <f>SUMIF(deals_closed!D:D, calculations!A41, deals_closed!C:C)</f>
        <v>774576</v>
      </c>
      <c r="H41" s="5">
        <f>VLOOKUP(D41,'2018_commission_structure'!$A$2:$I$4,9,FALSE)</f>
        <v>750000</v>
      </c>
      <c r="I41" s="9">
        <f t="shared" si="0"/>
        <v>937500</v>
      </c>
      <c r="J41" s="8">
        <f t="shared" si="1"/>
        <v>1125000</v>
      </c>
      <c r="K41" s="9">
        <f t="shared" si="2"/>
        <v>1500000</v>
      </c>
      <c r="L41" s="10">
        <f t="shared" si="3"/>
        <v>1.0327679999999999</v>
      </c>
      <c r="M41" t="str">
        <f t="shared" si="4"/>
        <v>100-125%</v>
      </c>
      <c r="N41" s="9">
        <f>MIN(H41, G41)*INDEX('2018_commission_structure'!$A$1:$I$4,
MATCH($D41, '2018_commission_structure'!$A$1:$A$4,0),
MATCH(N$1, '2018_commission_structure'!$A$1:$I$1,0))</f>
        <v>112500</v>
      </c>
      <c r="O41" s="11">
        <f>IF(G41&gt;H41, MIN(G41-H41, I41-H41)*
INDEX('2018_commission_structure'!$A$1:$I$4,
MATCH($D41, '2018_commission_structure'!$A$1:$A$4, 0),
MATCH(O$1, '2018_commission_structure'!$A$1:$I$1, 0)), 0)</f>
        <v>4669.4400000000005</v>
      </c>
      <c r="P41" s="11">
        <f>IF(G41&gt;H41, MIN(G41-H41, J41-H41)*
INDEX('2018_commission_structure'!$A$1:$I$4,
MATCH($D41, '2018_commission_structure'!$A$1:$A$4, 0),
MATCH(O$1, '2018_commission_structure'!$A$1:$I$1, 0)), 0)</f>
        <v>4669.4400000000005</v>
      </c>
      <c r="Q41" s="11">
        <f>IF(G41&gt;H41, MIN(G41-H41, I41-H41)*
INDEX('2018_commission_structure'!$A$1:$I$4,
MATCH($D41, '2018_commission_structure'!$A$1:$A$4, 0),
MATCH(P$1, '2018_commission_structure'!$A$1:$I$1, 0)), 0)</f>
        <v>5652.4800000000005</v>
      </c>
      <c r="R41" s="11">
        <f>IF(G41&gt;K41, (G41-K41) *
INDEX('2018_commission_structure'!$A$1:$I$4,
MATCH($D41, '2018_commission_structure'!$A$1:$A$4,0),
MATCH(R$1, '2018_commission_structure'!$A$1:$I$1,0)), 0)</f>
        <v>0</v>
      </c>
      <c r="S41" s="11">
        <f t="shared" si="5"/>
        <v>14991.36</v>
      </c>
      <c r="T41" s="11" cm="1">
        <f t="array" ref="T41">SUM(E41+O41:Q41)</f>
        <v>312060.36</v>
      </c>
    </row>
    <row r="42" spans="1:20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 xml:space="preserve"> COUNTIF(deals_closed!D:D,A42)</f>
        <v>15</v>
      </c>
      <c r="G42" s="5">
        <f>SUMIF(deals_closed!D:D, calculations!A42, deals_closed!C:C)</f>
        <v>573607</v>
      </c>
      <c r="H42" s="5">
        <f>VLOOKUP(D42,'2018_commission_structure'!$A$2:$I$4,9,FALSE)</f>
        <v>750000</v>
      </c>
      <c r="I42" s="9">
        <f t="shared" si="0"/>
        <v>937500</v>
      </c>
      <c r="J42" s="8">
        <f t="shared" si="1"/>
        <v>1125000</v>
      </c>
      <c r="K42" s="9">
        <f t="shared" si="2"/>
        <v>1500000</v>
      </c>
      <c r="L42" s="10">
        <f t="shared" si="3"/>
        <v>0.76480933333333334</v>
      </c>
      <c r="M42" t="str">
        <f t="shared" si="4"/>
        <v>0-100%</v>
      </c>
      <c r="N42" s="9">
        <f>MIN(H42, G42)*INDEX('2018_commission_structure'!$A$1:$I$4,
MATCH($D42, '2018_commission_structure'!$A$1:$A$4,0),
MATCH(N$1, '2018_commission_structure'!$A$1:$I$1,0))</f>
        <v>86041.05</v>
      </c>
      <c r="O42" s="11">
        <f>IF(G42&gt;H42, MIN(G42-H42, I42-H42)*
INDEX('2018_commission_structure'!$A$1:$I$4,
MATCH($D42, '2018_commission_structure'!$A$1:$A$4, 0),
MATCH(O$1, '2018_commission_structure'!$A$1:$I$1, 0)), 0)</f>
        <v>0</v>
      </c>
      <c r="P42" s="11">
        <f>IF(G42&gt;H42, MIN(G42-H42, J42-H42)*
INDEX('2018_commission_structure'!$A$1:$I$4,
MATCH($D42, '2018_commission_structure'!$A$1:$A$4, 0),
MATCH(O$1, '2018_commission_structure'!$A$1:$I$1, 0)), 0)</f>
        <v>0</v>
      </c>
      <c r="Q42" s="11">
        <f>IF(G42&gt;H42, MIN(G42-H42, I42-H42)*
INDEX('2018_commission_structure'!$A$1:$I$4,
MATCH($D42, '2018_commission_structure'!$A$1:$A$4, 0),
MATCH(P$1, '2018_commission_structure'!$A$1:$I$1, 0)), 0)</f>
        <v>0</v>
      </c>
      <c r="R42" s="11">
        <f>IF(G42&gt;K42, (G42-K42) *
INDEX('2018_commission_structure'!$A$1:$I$4,
MATCH($D42, '2018_commission_structure'!$A$1:$A$4,0),
MATCH(R$1, '2018_commission_structure'!$A$1:$I$1,0)), 0)</f>
        <v>0</v>
      </c>
      <c r="S42" s="11">
        <f t="shared" si="5"/>
        <v>0</v>
      </c>
      <c r="T42" s="11" cm="1">
        <f t="array" ref="T42">SUM(E42+O42:Q42)</f>
        <v>239265</v>
      </c>
    </row>
    <row r="43" spans="1:20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 xml:space="preserve"> COUNTIF(deals_closed!D:D,A43)</f>
        <v>15</v>
      </c>
      <c r="G43" s="5">
        <f>SUMIF(deals_closed!D:D, calculations!A43, deals_closed!C:C)</f>
        <v>610909</v>
      </c>
      <c r="H43" s="5">
        <f>VLOOKUP(D43,'2018_commission_structure'!$A$2:$I$4,9,FALSE)</f>
        <v>500000</v>
      </c>
      <c r="I43" s="9">
        <f t="shared" si="0"/>
        <v>625000</v>
      </c>
      <c r="J43" s="8">
        <f t="shared" si="1"/>
        <v>750000</v>
      </c>
      <c r="K43" s="9">
        <f t="shared" si="2"/>
        <v>1000000</v>
      </c>
      <c r="L43" s="10">
        <f t="shared" si="3"/>
        <v>1.2218180000000001</v>
      </c>
      <c r="M43" t="str">
        <f t="shared" si="4"/>
        <v>100-125%</v>
      </c>
      <c r="N43" s="9">
        <f>MIN(H43, G43)*INDEX('2018_commission_structure'!$A$1:$I$4,
MATCH($D43, '2018_commission_structure'!$A$1:$A$4,0),
MATCH(N$1, '2018_commission_structure'!$A$1:$I$1,0))</f>
        <v>50000</v>
      </c>
      <c r="O43" s="11">
        <f>IF(G43&gt;H43, MIN(G43-H43, I43-H43)*
INDEX('2018_commission_structure'!$A$1:$I$4,
MATCH($D43, '2018_commission_structure'!$A$1:$A$4, 0),
MATCH(O$1, '2018_commission_structure'!$A$1:$I$1, 0)), 0)</f>
        <v>16636.349999999999</v>
      </c>
      <c r="P43" s="11">
        <f>IF(G43&gt;H43, MIN(G43-H43, J43-H43)*
INDEX('2018_commission_structure'!$A$1:$I$4,
MATCH($D43, '2018_commission_structure'!$A$1:$A$4, 0),
MATCH(O$1, '2018_commission_structure'!$A$1:$I$1, 0)), 0)</f>
        <v>16636.349999999999</v>
      </c>
      <c r="Q43" s="11">
        <f>IF(G43&gt;H43, MIN(G43-H43, I43-H43)*
INDEX('2018_commission_structure'!$A$1:$I$4,
MATCH($D43, '2018_commission_structure'!$A$1:$A$4, 0),
MATCH(P$1, '2018_commission_structure'!$A$1:$I$1, 0)), 0)</f>
        <v>19963.62</v>
      </c>
      <c r="R43" s="11">
        <f>IF(G43&gt;K43, (G43-K43) *
INDEX('2018_commission_structure'!$A$1:$I$4,
MATCH($D43, '2018_commission_structure'!$A$1:$A$4,0),
MATCH(R$1, '2018_commission_structure'!$A$1:$I$1,0)), 0)</f>
        <v>0</v>
      </c>
      <c r="S43" s="11">
        <f t="shared" si="5"/>
        <v>53236.319999999992</v>
      </c>
      <c r="T43" s="11" cm="1">
        <f t="array" ref="T43">SUM(E43+O43:Q43)</f>
        <v>245668.32</v>
      </c>
    </row>
    <row r="44" spans="1:20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 xml:space="preserve"> COUNTIF(deals_closed!D:D,A44)</f>
        <v>17</v>
      </c>
      <c r="G44" s="5">
        <f>SUMIF(deals_closed!D:D, calculations!A44, deals_closed!C:C)</f>
        <v>580579</v>
      </c>
      <c r="H44" s="5">
        <f>VLOOKUP(D44,'2018_commission_structure'!$A$2:$I$4,9,FALSE)</f>
        <v>600000</v>
      </c>
      <c r="I44" s="9">
        <f t="shared" si="0"/>
        <v>750000</v>
      </c>
      <c r="J44" s="8">
        <f t="shared" si="1"/>
        <v>900000</v>
      </c>
      <c r="K44" s="9">
        <f t="shared" si="2"/>
        <v>1200000</v>
      </c>
      <c r="L44" s="10">
        <f t="shared" si="3"/>
        <v>0.96763166666666667</v>
      </c>
      <c r="M44" t="str">
        <f t="shared" si="4"/>
        <v>0-100%</v>
      </c>
      <c r="N44" s="9">
        <f>MIN(H44, G44)*INDEX('2018_commission_structure'!$A$1:$I$4,
MATCH($D44, '2018_commission_structure'!$A$1:$A$4,0),
MATCH(N$1, '2018_commission_structure'!$A$1:$I$1,0))</f>
        <v>75475.27</v>
      </c>
      <c r="O44" s="11">
        <f>IF(G44&gt;H44, MIN(G44-H44, I44-H44)*
INDEX('2018_commission_structure'!$A$1:$I$4,
MATCH($D44, '2018_commission_structure'!$A$1:$A$4, 0),
MATCH(O$1, '2018_commission_structure'!$A$1:$I$1, 0)), 0)</f>
        <v>0</v>
      </c>
      <c r="P44" s="11">
        <f>IF(G44&gt;H44, MIN(G44-H44, J44-H44)*
INDEX('2018_commission_structure'!$A$1:$I$4,
MATCH($D44, '2018_commission_structure'!$A$1:$A$4, 0),
MATCH(O$1, '2018_commission_structure'!$A$1:$I$1, 0)), 0)</f>
        <v>0</v>
      </c>
      <c r="Q44" s="11">
        <f>IF(G44&gt;H44, MIN(G44-H44, I44-H44)*
INDEX('2018_commission_structure'!$A$1:$I$4,
MATCH($D44, '2018_commission_structure'!$A$1:$A$4, 0),
MATCH(P$1, '2018_commission_structure'!$A$1:$I$1, 0)), 0)</f>
        <v>0</v>
      </c>
      <c r="R44" s="11">
        <f>IF(G44&gt;K44, (G44-K44) *
INDEX('2018_commission_structure'!$A$1:$I$4,
MATCH($D44, '2018_commission_structure'!$A$1:$A$4,0),
MATCH(R$1, '2018_commission_structure'!$A$1:$I$1,0)), 0)</f>
        <v>0</v>
      </c>
      <c r="S44" s="11">
        <f t="shared" si="5"/>
        <v>0</v>
      </c>
      <c r="T44" s="11" cm="1">
        <f t="array" ref="T44">SUM(E44+O44:Q44)</f>
        <v>222330</v>
      </c>
    </row>
    <row r="45" spans="1:20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 xml:space="preserve"> COUNTIF(deals_closed!D:D,A45)</f>
        <v>27</v>
      </c>
      <c r="G45" s="5">
        <f>SUMIF(deals_closed!D:D, calculations!A45, deals_closed!C:C)</f>
        <v>993865</v>
      </c>
      <c r="H45" s="5">
        <f>VLOOKUP(D45,'2018_commission_structure'!$A$2:$I$4,9,FALSE)</f>
        <v>600000</v>
      </c>
      <c r="I45" s="9">
        <f t="shared" si="0"/>
        <v>750000</v>
      </c>
      <c r="J45" s="8">
        <f t="shared" si="1"/>
        <v>900000</v>
      </c>
      <c r="K45" s="9">
        <f t="shared" si="2"/>
        <v>1200000</v>
      </c>
      <c r="L45" s="10">
        <f t="shared" si="3"/>
        <v>1.6564416666666666</v>
      </c>
      <c r="M45" t="str">
        <f t="shared" si="4"/>
        <v>150-200%</v>
      </c>
      <c r="N45" s="9">
        <f>MIN(H45, G45)*INDEX('2018_commission_structure'!$A$1:$I$4,
MATCH($D45, '2018_commission_structure'!$A$1:$A$4,0),
MATCH(N$1, '2018_commission_structure'!$A$1:$I$1,0))</f>
        <v>78000</v>
      </c>
      <c r="O45" s="11">
        <f>IF(G45&gt;H45, MIN(G45-H45, I45-H45)*
INDEX('2018_commission_structure'!$A$1:$I$4,
MATCH($D45, '2018_commission_structure'!$A$1:$A$4, 0),
MATCH(O$1, '2018_commission_structure'!$A$1:$I$1, 0)), 0)</f>
        <v>25500.000000000004</v>
      </c>
      <c r="P45" s="11">
        <f>IF(G45&gt;H45, MIN(G45-H45, J45-H45)*
INDEX('2018_commission_structure'!$A$1:$I$4,
MATCH($D45, '2018_commission_structure'!$A$1:$A$4, 0),
MATCH(O$1, '2018_commission_structure'!$A$1:$I$1, 0)), 0)</f>
        <v>51000.000000000007</v>
      </c>
      <c r="Q45" s="11">
        <f>IF(G45&gt;H45, MIN(G45-H45, I45-H45)*
INDEX('2018_commission_structure'!$A$1:$I$4,
MATCH($D45, '2018_commission_structure'!$A$1:$A$4, 0),
MATCH(P$1, '2018_commission_structure'!$A$1:$I$1, 0)), 0)</f>
        <v>31500</v>
      </c>
      <c r="R45" s="11">
        <f>IF(G45&gt;K45, (G45-K45) *
INDEX('2018_commission_structure'!$A$1:$I$4,
MATCH($D45, '2018_commission_structure'!$A$1:$A$4,0),
MATCH(R$1, '2018_commission_structure'!$A$1:$I$1,0)), 0)</f>
        <v>0</v>
      </c>
      <c r="S45" s="11">
        <f t="shared" si="5"/>
        <v>108000.00000000001</v>
      </c>
      <c r="T45" s="11" cm="1">
        <f t="array" ref="T45">SUM(E45+O45:Q45)</f>
        <v>342759</v>
      </c>
    </row>
    <row r="46" spans="1:20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 xml:space="preserve"> COUNTIF(deals_closed!D:D,A46)</f>
        <v>23</v>
      </c>
      <c r="G46" s="5">
        <f>SUMIF(deals_closed!D:D, calculations!A46, deals_closed!C:C)</f>
        <v>909806</v>
      </c>
      <c r="H46" s="5">
        <f>VLOOKUP(D46,'2018_commission_structure'!$A$2:$I$4,9,FALSE)</f>
        <v>500000</v>
      </c>
      <c r="I46" s="9">
        <f t="shared" si="0"/>
        <v>625000</v>
      </c>
      <c r="J46" s="8">
        <f t="shared" si="1"/>
        <v>750000</v>
      </c>
      <c r="K46" s="9">
        <f t="shared" si="2"/>
        <v>1000000</v>
      </c>
      <c r="L46" s="10">
        <f t="shared" si="3"/>
        <v>1.819612</v>
      </c>
      <c r="M46" t="str">
        <f t="shared" si="4"/>
        <v>150-200%</v>
      </c>
      <c r="N46" s="9">
        <f>MIN(H46, G46)*INDEX('2018_commission_structure'!$A$1:$I$4,
MATCH($D46, '2018_commission_structure'!$A$1:$A$4,0),
MATCH(N$1, '2018_commission_structure'!$A$1:$I$1,0))</f>
        <v>50000</v>
      </c>
      <c r="O46" s="11">
        <f>IF(G46&gt;H46, MIN(G46-H46, I46-H46)*
INDEX('2018_commission_structure'!$A$1:$I$4,
MATCH($D46, '2018_commission_structure'!$A$1:$A$4, 0),
MATCH(O$1, '2018_commission_structure'!$A$1:$I$1, 0)), 0)</f>
        <v>18750</v>
      </c>
      <c r="P46" s="11">
        <f>IF(G46&gt;H46, MIN(G46-H46, J46-H46)*
INDEX('2018_commission_structure'!$A$1:$I$4,
MATCH($D46, '2018_commission_structure'!$A$1:$A$4, 0),
MATCH(O$1, '2018_commission_structure'!$A$1:$I$1, 0)), 0)</f>
        <v>37500</v>
      </c>
      <c r="Q46" s="11">
        <f>IF(G46&gt;H46, MIN(G46-H46, I46-H46)*
INDEX('2018_commission_structure'!$A$1:$I$4,
MATCH($D46, '2018_commission_structure'!$A$1:$A$4, 0),
MATCH(P$1, '2018_commission_structure'!$A$1:$I$1, 0)), 0)</f>
        <v>22500</v>
      </c>
      <c r="R46" s="11">
        <f>IF(G46&gt;K46, (G46-K46) *
INDEX('2018_commission_structure'!$A$1:$I$4,
MATCH($D46, '2018_commission_structure'!$A$1:$A$4,0),
MATCH(R$1, '2018_commission_structure'!$A$1:$I$1,0)), 0)</f>
        <v>0</v>
      </c>
      <c r="S46" s="11">
        <f t="shared" si="5"/>
        <v>78750</v>
      </c>
      <c r="T46" s="11" cm="1">
        <f t="array" ref="T46">SUM(E46+O46:Q46)</f>
        <v>220059</v>
      </c>
    </row>
    <row r="47" spans="1:20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 xml:space="preserve"> COUNTIF(deals_closed!D:D,A47)</f>
        <v>28</v>
      </c>
      <c r="G47" s="5">
        <f>SUMIF(deals_closed!D:D, calculations!A47, deals_closed!C:C)</f>
        <v>1002125</v>
      </c>
      <c r="H47" s="5">
        <f>VLOOKUP(D47,'2018_commission_structure'!$A$2:$I$4,9,FALSE)</f>
        <v>600000</v>
      </c>
      <c r="I47" s="9">
        <f t="shared" si="0"/>
        <v>750000</v>
      </c>
      <c r="J47" s="8">
        <f t="shared" si="1"/>
        <v>900000</v>
      </c>
      <c r="K47" s="9">
        <f t="shared" si="2"/>
        <v>1200000</v>
      </c>
      <c r="L47" s="10">
        <f t="shared" si="3"/>
        <v>1.6702083333333333</v>
      </c>
      <c r="M47" t="str">
        <f t="shared" si="4"/>
        <v>150-200%</v>
      </c>
      <c r="N47" s="9">
        <f>MIN(H47, G47)*INDEX('2018_commission_structure'!$A$1:$I$4,
MATCH($D47, '2018_commission_structure'!$A$1:$A$4,0),
MATCH(N$1, '2018_commission_structure'!$A$1:$I$1,0))</f>
        <v>78000</v>
      </c>
      <c r="O47" s="11">
        <f>IF(G47&gt;H47, MIN(G47-H47, I47-H47)*
INDEX('2018_commission_structure'!$A$1:$I$4,
MATCH($D47, '2018_commission_structure'!$A$1:$A$4, 0),
MATCH(O$1, '2018_commission_structure'!$A$1:$I$1, 0)), 0)</f>
        <v>25500.000000000004</v>
      </c>
      <c r="P47" s="11">
        <f>IF(G47&gt;H47, MIN(G47-H47, J47-H47)*
INDEX('2018_commission_structure'!$A$1:$I$4,
MATCH($D47, '2018_commission_structure'!$A$1:$A$4, 0),
MATCH(O$1, '2018_commission_structure'!$A$1:$I$1, 0)), 0)</f>
        <v>51000.000000000007</v>
      </c>
      <c r="Q47" s="11">
        <f>IF(G47&gt;H47, MIN(G47-H47, I47-H47)*
INDEX('2018_commission_structure'!$A$1:$I$4,
MATCH($D47, '2018_commission_structure'!$A$1:$A$4, 0),
MATCH(P$1, '2018_commission_structure'!$A$1:$I$1, 0)), 0)</f>
        <v>31500</v>
      </c>
      <c r="R47" s="11">
        <f>IF(G47&gt;K47, (G47-K47) *
INDEX('2018_commission_structure'!$A$1:$I$4,
MATCH($D47, '2018_commission_structure'!$A$1:$A$4,0),
MATCH(R$1, '2018_commission_structure'!$A$1:$I$1,0)), 0)</f>
        <v>0</v>
      </c>
      <c r="S47" s="11">
        <f t="shared" si="5"/>
        <v>108000.00000000001</v>
      </c>
      <c r="T47" s="11" cm="1">
        <f t="array" ref="T47">SUM(E47+O47:Q47)</f>
        <v>300141</v>
      </c>
    </row>
    <row r="48" spans="1:20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 xml:space="preserve"> COUNTIF(deals_closed!D:D,A48)</f>
        <v>25</v>
      </c>
      <c r="G48" s="5">
        <f>SUMIF(deals_closed!D:D, calculations!A48, deals_closed!C:C)</f>
        <v>935138</v>
      </c>
      <c r="H48" s="5">
        <f>VLOOKUP(D48,'2018_commission_structure'!$A$2:$I$4,9,FALSE)</f>
        <v>500000</v>
      </c>
      <c r="I48" s="9">
        <f t="shared" si="0"/>
        <v>625000</v>
      </c>
      <c r="J48" s="8">
        <f t="shared" si="1"/>
        <v>750000</v>
      </c>
      <c r="K48" s="9">
        <f t="shared" si="2"/>
        <v>1000000</v>
      </c>
      <c r="L48" s="10">
        <f t="shared" si="3"/>
        <v>1.870276</v>
      </c>
      <c r="M48" t="str">
        <f t="shared" si="4"/>
        <v>150-200%</v>
      </c>
      <c r="N48" s="9">
        <f>MIN(H48, G48)*INDEX('2018_commission_structure'!$A$1:$I$4,
MATCH($D48, '2018_commission_structure'!$A$1:$A$4,0),
MATCH(N$1, '2018_commission_structure'!$A$1:$I$1,0))</f>
        <v>50000</v>
      </c>
      <c r="O48" s="11">
        <f>IF(G48&gt;H48, MIN(G48-H48, I48-H48)*
INDEX('2018_commission_structure'!$A$1:$I$4,
MATCH($D48, '2018_commission_structure'!$A$1:$A$4, 0),
MATCH(O$1, '2018_commission_structure'!$A$1:$I$1, 0)), 0)</f>
        <v>18750</v>
      </c>
      <c r="P48" s="11">
        <f>IF(G48&gt;H48, MIN(G48-H48, J48-H48)*
INDEX('2018_commission_structure'!$A$1:$I$4,
MATCH($D48, '2018_commission_structure'!$A$1:$A$4, 0),
MATCH(O$1, '2018_commission_structure'!$A$1:$I$1, 0)), 0)</f>
        <v>37500</v>
      </c>
      <c r="Q48" s="11">
        <f>IF(G48&gt;H48, MIN(G48-H48, I48-H48)*
INDEX('2018_commission_structure'!$A$1:$I$4,
MATCH($D48, '2018_commission_structure'!$A$1:$A$4, 0),
MATCH(P$1, '2018_commission_structure'!$A$1:$I$1, 0)), 0)</f>
        <v>22500</v>
      </c>
      <c r="R48" s="11">
        <f>IF(G48&gt;K48, (G48-K48) *
INDEX('2018_commission_structure'!$A$1:$I$4,
MATCH($D48, '2018_commission_structure'!$A$1:$A$4,0),
MATCH(R$1, '2018_commission_structure'!$A$1:$I$1,0)), 0)</f>
        <v>0</v>
      </c>
      <c r="S48" s="11">
        <f t="shared" si="5"/>
        <v>78750</v>
      </c>
      <c r="T48" s="11" cm="1">
        <f t="array" ref="T48">SUM(E48+O48:Q48)</f>
        <v>217806</v>
      </c>
    </row>
    <row r="49" spans="1:20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 xml:space="preserve"> COUNTIF(deals_closed!D:D,A49)</f>
        <v>19</v>
      </c>
      <c r="G49" s="5">
        <f>SUMIF(deals_closed!D:D, calculations!A49, deals_closed!C:C)</f>
        <v>637085</v>
      </c>
      <c r="H49" s="5">
        <f>VLOOKUP(D49,'2018_commission_structure'!$A$2:$I$4,9,FALSE)</f>
        <v>500000</v>
      </c>
      <c r="I49" s="9">
        <f t="shared" si="0"/>
        <v>625000</v>
      </c>
      <c r="J49" s="8">
        <f t="shared" si="1"/>
        <v>750000</v>
      </c>
      <c r="K49" s="9">
        <f t="shared" si="2"/>
        <v>1000000</v>
      </c>
      <c r="L49" s="10">
        <f t="shared" si="3"/>
        <v>1.27417</v>
      </c>
      <c r="M49" t="str">
        <f t="shared" si="4"/>
        <v>125-150%</v>
      </c>
      <c r="N49" s="9">
        <f>MIN(H49, G49)*INDEX('2018_commission_structure'!$A$1:$I$4,
MATCH($D49, '2018_commission_structure'!$A$1:$A$4,0),
MATCH(N$1, '2018_commission_structure'!$A$1:$I$1,0))</f>
        <v>50000</v>
      </c>
      <c r="O49" s="11">
        <f>IF(G49&gt;H49, MIN(G49-H49, I49-H49)*
INDEX('2018_commission_structure'!$A$1:$I$4,
MATCH($D49, '2018_commission_structure'!$A$1:$A$4, 0),
MATCH(O$1, '2018_commission_structure'!$A$1:$I$1, 0)), 0)</f>
        <v>18750</v>
      </c>
      <c r="P49" s="11">
        <f>IF(G49&gt;H49, MIN(G49-H49, J49-H49)*
INDEX('2018_commission_structure'!$A$1:$I$4,
MATCH($D49, '2018_commission_structure'!$A$1:$A$4, 0),
MATCH(O$1, '2018_commission_structure'!$A$1:$I$1, 0)), 0)</f>
        <v>20562.75</v>
      </c>
      <c r="Q49" s="11">
        <f>IF(G49&gt;H49, MIN(G49-H49, I49-H49)*
INDEX('2018_commission_structure'!$A$1:$I$4,
MATCH($D49, '2018_commission_structure'!$A$1:$A$4, 0),
MATCH(P$1, '2018_commission_structure'!$A$1:$I$1, 0)), 0)</f>
        <v>22500</v>
      </c>
      <c r="R49" s="11">
        <f>IF(G49&gt;K49, (G49-K49) *
INDEX('2018_commission_structure'!$A$1:$I$4,
MATCH($D49, '2018_commission_structure'!$A$1:$A$4,0),
MATCH(R$1, '2018_commission_structure'!$A$1:$I$1,0)), 0)</f>
        <v>0</v>
      </c>
      <c r="S49" s="11">
        <f t="shared" si="5"/>
        <v>61812.75</v>
      </c>
      <c r="T49" s="11" cm="1">
        <f t="array" ref="T49">SUM(E49+O49:Q49)</f>
        <v>197304.75</v>
      </c>
    </row>
    <row r="50" spans="1:20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 xml:space="preserve"> COUNTIF(deals_closed!D:D,A50)</f>
        <v>16</v>
      </c>
      <c r="G50" s="5">
        <f>SUMIF(deals_closed!D:D, calculations!A50, deals_closed!C:C)</f>
        <v>625171</v>
      </c>
      <c r="H50" s="5">
        <f>VLOOKUP(D50,'2018_commission_structure'!$A$2:$I$4,9,FALSE)</f>
        <v>500000</v>
      </c>
      <c r="I50" s="9">
        <f t="shared" si="0"/>
        <v>625000</v>
      </c>
      <c r="J50" s="8">
        <f t="shared" si="1"/>
        <v>750000</v>
      </c>
      <c r="K50" s="9">
        <f t="shared" si="2"/>
        <v>1000000</v>
      </c>
      <c r="L50" s="10">
        <f t="shared" si="3"/>
        <v>1.2503420000000001</v>
      </c>
      <c r="M50" t="str">
        <f t="shared" si="4"/>
        <v>125-150%</v>
      </c>
      <c r="N50" s="9">
        <f>MIN(H50, G50)*INDEX('2018_commission_structure'!$A$1:$I$4,
MATCH($D50, '2018_commission_structure'!$A$1:$A$4,0),
MATCH(N$1, '2018_commission_structure'!$A$1:$I$1,0))</f>
        <v>50000</v>
      </c>
      <c r="O50" s="11">
        <f>IF(G50&gt;H50, MIN(G50-H50, I50-H50)*
INDEX('2018_commission_structure'!$A$1:$I$4,
MATCH($D50, '2018_commission_structure'!$A$1:$A$4, 0),
MATCH(O$1, '2018_commission_structure'!$A$1:$I$1, 0)), 0)</f>
        <v>18750</v>
      </c>
      <c r="P50" s="11">
        <f>IF(G50&gt;H50, MIN(G50-H50, J50-H50)*
INDEX('2018_commission_structure'!$A$1:$I$4,
MATCH($D50, '2018_commission_structure'!$A$1:$A$4, 0),
MATCH(O$1, '2018_commission_structure'!$A$1:$I$1, 0)), 0)</f>
        <v>18775.649999999998</v>
      </c>
      <c r="Q50" s="11">
        <f>IF(G50&gt;H50, MIN(G50-H50, I50-H50)*
INDEX('2018_commission_structure'!$A$1:$I$4,
MATCH($D50, '2018_commission_structure'!$A$1:$A$4, 0),
MATCH(P$1, '2018_commission_structure'!$A$1:$I$1, 0)), 0)</f>
        <v>22500</v>
      </c>
      <c r="R50" s="11">
        <f>IF(G50&gt;K50, (G50-K50) *
INDEX('2018_commission_structure'!$A$1:$I$4,
MATCH($D50, '2018_commission_structure'!$A$1:$A$4,0),
MATCH(R$1, '2018_commission_structure'!$A$1:$I$1,0)), 0)</f>
        <v>0</v>
      </c>
      <c r="S50" s="11">
        <f t="shared" si="5"/>
        <v>60025.649999999994</v>
      </c>
      <c r="T50" s="11" cm="1">
        <f t="array" ref="T50">SUM(E50+O50:Q50)</f>
        <v>246994.65</v>
      </c>
    </row>
    <row r="51" spans="1:20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 xml:space="preserve"> COUNTIF(deals_closed!D:D,A51)</f>
        <v>21</v>
      </c>
      <c r="G51" s="5">
        <f>SUMIF(deals_closed!D:D, calculations!A51, deals_closed!C:C)</f>
        <v>723173</v>
      </c>
      <c r="H51" s="5">
        <f>VLOOKUP(D51,'2018_commission_structure'!$A$2:$I$4,9,FALSE)</f>
        <v>600000</v>
      </c>
      <c r="I51" s="9">
        <f t="shared" si="0"/>
        <v>750000</v>
      </c>
      <c r="J51" s="8">
        <f t="shared" si="1"/>
        <v>900000</v>
      </c>
      <c r="K51" s="9">
        <f t="shared" si="2"/>
        <v>1200000</v>
      </c>
      <c r="L51" s="10">
        <f t="shared" si="3"/>
        <v>1.2052883333333333</v>
      </c>
      <c r="M51" t="str">
        <f t="shared" si="4"/>
        <v>100-125%</v>
      </c>
      <c r="N51" s="9">
        <f>MIN(H51, G51)*INDEX('2018_commission_structure'!$A$1:$I$4,
MATCH($D51, '2018_commission_structure'!$A$1:$A$4,0),
MATCH(N$1, '2018_commission_structure'!$A$1:$I$1,0))</f>
        <v>78000</v>
      </c>
      <c r="O51" s="11">
        <f>IF(G51&gt;H51, MIN(G51-H51, I51-H51)*
INDEX('2018_commission_structure'!$A$1:$I$4,
MATCH($D51, '2018_commission_structure'!$A$1:$A$4, 0),
MATCH(O$1, '2018_commission_structure'!$A$1:$I$1, 0)), 0)</f>
        <v>20939.41</v>
      </c>
      <c r="P51" s="11">
        <f>IF(G51&gt;H51, MIN(G51-H51, J51-H51)*
INDEX('2018_commission_structure'!$A$1:$I$4,
MATCH($D51, '2018_commission_structure'!$A$1:$A$4, 0),
MATCH(O$1, '2018_commission_structure'!$A$1:$I$1, 0)), 0)</f>
        <v>20939.41</v>
      </c>
      <c r="Q51" s="11">
        <f>IF(G51&gt;H51, MIN(G51-H51, I51-H51)*
INDEX('2018_commission_structure'!$A$1:$I$4,
MATCH($D51, '2018_commission_structure'!$A$1:$A$4, 0),
MATCH(P$1, '2018_commission_structure'!$A$1:$I$1, 0)), 0)</f>
        <v>25866.329999999998</v>
      </c>
      <c r="R51" s="11">
        <f>IF(G51&gt;K51, (G51-K51) *
INDEX('2018_commission_structure'!$A$1:$I$4,
MATCH($D51, '2018_commission_structure'!$A$1:$A$4,0),
MATCH(R$1, '2018_commission_structure'!$A$1:$I$1,0)), 0)</f>
        <v>0</v>
      </c>
      <c r="S51" s="11">
        <f t="shared" si="5"/>
        <v>67745.149999999994</v>
      </c>
      <c r="T51" s="11" cm="1">
        <f t="array" ref="T51">SUM(E51+O51:Q51)</f>
        <v>267935.15000000002</v>
      </c>
    </row>
    <row r="52" spans="1:20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 xml:space="preserve"> COUNTIF(deals_closed!D:D,A52)</f>
        <v>26</v>
      </c>
      <c r="G52" s="5">
        <f>SUMIF(deals_closed!D:D, calculations!A52, deals_closed!C:C)</f>
        <v>968216</v>
      </c>
      <c r="H52" s="5">
        <f>VLOOKUP(D52,'2018_commission_structure'!$A$2:$I$4,9,FALSE)</f>
        <v>500000</v>
      </c>
      <c r="I52" s="9">
        <f t="shared" si="0"/>
        <v>625000</v>
      </c>
      <c r="J52" s="8">
        <f t="shared" si="1"/>
        <v>750000</v>
      </c>
      <c r="K52" s="9">
        <f t="shared" si="2"/>
        <v>1000000</v>
      </c>
      <c r="L52" s="10">
        <f t="shared" si="3"/>
        <v>1.9364319999999999</v>
      </c>
      <c r="M52" t="str">
        <f t="shared" si="4"/>
        <v>150-200%</v>
      </c>
      <c r="N52" s="9">
        <f>MIN(H52, G52)*INDEX('2018_commission_structure'!$A$1:$I$4,
MATCH($D52, '2018_commission_structure'!$A$1:$A$4,0),
MATCH(N$1, '2018_commission_structure'!$A$1:$I$1,0))</f>
        <v>50000</v>
      </c>
      <c r="O52" s="11">
        <f>IF(G52&gt;H52, MIN(G52-H52, I52-H52)*
INDEX('2018_commission_structure'!$A$1:$I$4,
MATCH($D52, '2018_commission_structure'!$A$1:$A$4, 0),
MATCH(O$1, '2018_commission_structure'!$A$1:$I$1, 0)), 0)</f>
        <v>18750</v>
      </c>
      <c r="P52" s="11">
        <f>IF(G52&gt;H52, MIN(G52-H52, J52-H52)*
INDEX('2018_commission_structure'!$A$1:$I$4,
MATCH($D52, '2018_commission_structure'!$A$1:$A$4, 0),
MATCH(O$1, '2018_commission_structure'!$A$1:$I$1, 0)), 0)</f>
        <v>37500</v>
      </c>
      <c r="Q52" s="11">
        <f>IF(G52&gt;H52, MIN(G52-H52, I52-H52)*
INDEX('2018_commission_structure'!$A$1:$I$4,
MATCH($D52, '2018_commission_structure'!$A$1:$A$4, 0),
MATCH(P$1, '2018_commission_structure'!$A$1:$I$1, 0)), 0)</f>
        <v>22500</v>
      </c>
      <c r="R52" s="11">
        <f>IF(G52&gt;K52, (G52-K52) *
INDEX('2018_commission_structure'!$A$1:$I$4,
MATCH($D52, '2018_commission_structure'!$A$1:$A$4,0),
MATCH(R$1, '2018_commission_structure'!$A$1:$I$1,0)), 0)</f>
        <v>0</v>
      </c>
      <c r="S52" s="11">
        <f t="shared" si="5"/>
        <v>78750</v>
      </c>
      <c r="T52" s="11" cm="1">
        <f t="array" ref="T52">SUM(E52+O52:Q52)</f>
        <v>220170</v>
      </c>
    </row>
    <row r="53" spans="1:20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 xml:space="preserve"> COUNTIF(deals_closed!D:D,A53)</f>
        <v>25</v>
      </c>
      <c r="G53" s="5">
        <f>SUMIF(deals_closed!D:D, calculations!A53, deals_closed!C:C)</f>
        <v>1019541</v>
      </c>
      <c r="H53" s="5">
        <f>VLOOKUP(D53,'2018_commission_structure'!$A$2:$I$4,9,FALSE)</f>
        <v>600000</v>
      </c>
      <c r="I53" s="9">
        <f t="shared" si="0"/>
        <v>750000</v>
      </c>
      <c r="J53" s="8">
        <f t="shared" si="1"/>
        <v>900000</v>
      </c>
      <c r="K53" s="9">
        <f t="shared" si="2"/>
        <v>1200000</v>
      </c>
      <c r="L53" s="10">
        <f t="shared" si="3"/>
        <v>1.6992350000000001</v>
      </c>
      <c r="M53" t="str">
        <f t="shared" si="4"/>
        <v>150-200%</v>
      </c>
      <c r="N53" s="9">
        <f>MIN(H53, G53)*INDEX('2018_commission_structure'!$A$1:$I$4,
MATCH($D53, '2018_commission_structure'!$A$1:$A$4,0),
MATCH(N$1, '2018_commission_structure'!$A$1:$I$1,0))</f>
        <v>78000</v>
      </c>
      <c r="O53" s="11">
        <f>IF(G53&gt;H53, MIN(G53-H53, I53-H53)*
INDEX('2018_commission_structure'!$A$1:$I$4,
MATCH($D53, '2018_commission_structure'!$A$1:$A$4, 0),
MATCH(O$1, '2018_commission_structure'!$A$1:$I$1, 0)), 0)</f>
        <v>25500.000000000004</v>
      </c>
      <c r="P53" s="11">
        <f>IF(G53&gt;H53, MIN(G53-H53, J53-H53)*
INDEX('2018_commission_structure'!$A$1:$I$4,
MATCH($D53, '2018_commission_structure'!$A$1:$A$4, 0),
MATCH(O$1, '2018_commission_structure'!$A$1:$I$1, 0)), 0)</f>
        <v>51000.000000000007</v>
      </c>
      <c r="Q53" s="11">
        <f>IF(G53&gt;H53, MIN(G53-H53, I53-H53)*
INDEX('2018_commission_structure'!$A$1:$I$4,
MATCH($D53, '2018_commission_structure'!$A$1:$A$4, 0),
MATCH(P$1, '2018_commission_structure'!$A$1:$I$1, 0)), 0)</f>
        <v>31500</v>
      </c>
      <c r="R53" s="11">
        <f>IF(G53&gt;K53, (G53-K53) *
INDEX('2018_commission_structure'!$A$1:$I$4,
MATCH($D53, '2018_commission_structure'!$A$1:$A$4,0),
MATCH(R$1, '2018_commission_structure'!$A$1:$I$1,0)), 0)</f>
        <v>0</v>
      </c>
      <c r="S53" s="11">
        <f t="shared" si="5"/>
        <v>108000.00000000001</v>
      </c>
      <c r="T53" s="11" cm="1">
        <f t="array" ref="T53">SUM(E53+O53:Q53)</f>
        <v>258423</v>
      </c>
    </row>
    <row r="54" spans="1:20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 xml:space="preserve"> COUNTIF(deals_closed!D:D,A54)</f>
        <v>18</v>
      </c>
      <c r="G54" s="5">
        <f>SUMIF(deals_closed!D:D, calculations!A54, deals_closed!C:C)</f>
        <v>561559</v>
      </c>
      <c r="H54" s="5">
        <f>VLOOKUP(D54,'2018_commission_structure'!$A$2:$I$4,9,FALSE)</f>
        <v>500000</v>
      </c>
      <c r="I54" s="9">
        <f t="shared" si="0"/>
        <v>625000</v>
      </c>
      <c r="J54" s="8">
        <f t="shared" si="1"/>
        <v>750000</v>
      </c>
      <c r="K54" s="9">
        <f t="shared" si="2"/>
        <v>1000000</v>
      </c>
      <c r="L54" s="10">
        <f t="shared" si="3"/>
        <v>1.1231180000000001</v>
      </c>
      <c r="M54" t="str">
        <f t="shared" si="4"/>
        <v>100-125%</v>
      </c>
      <c r="N54" s="9">
        <f>MIN(H54, G54)*INDEX('2018_commission_structure'!$A$1:$I$4,
MATCH($D54, '2018_commission_structure'!$A$1:$A$4,0),
MATCH(N$1, '2018_commission_structure'!$A$1:$I$1,0))</f>
        <v>50000</v>
      </c>
      <c r="O54" s="11">
        <f>IF(G54&gt;H54, MIN(G54-H54, I54-H54)*
INDEX('2018_commission_structure'!$A$1:$I$4,
MATCH($D54, '2018_commission_structure'!$A$1:$A$4, 0),
MATCH(O$1, '2018_commission_structure'!$A$1:$I$1, 0)), 0)</f>
        <v>9233.85</v>
      </c>
      <c r="P54" s="11">
        <f>IF(G54&gt;H54, MIN(G54-H54, J54-H54)*
INDEX('2018_commission_structure'!$A$1:$I$4,
MATCH($D54, '2018_commission_structure'!$A$1:$A$4, 0),
MATCH(O$1, '2018_commission_structure'!$A$1:$I$1, 0)), 0)</f>
        <v>9233.85</v>
      </c>
      <c r="Q54" s="11">
        <f>IF(G54&gt;H54, MIN(G54-H54, I54-H54)*
INDEX('2018_commission_structure'!$A$1:$I$4,
MATCH($D54, '2018_commission_structure'!$A$1:$A$4, 0),
MATCH(P$1, '2018_commission_structure'!$A$1:$I$1, 0)), 0)</f>
        <v>11080.619999999999</v>
      </c>
      <c r="R54" s="11">
        <f>IF(G54&gt;K54, (G54-K54) *
INDEX('2018_commission_structure'!$A$1:$I$4,
MATCH($D54, '2018_commission_structure'!$A$1:$A$4,0),
MATCH(R$1, '2018_commission_structure'!$A$1:$I$1,0)), 0)</f>
        <v>0</v>
      </c>
      <c r="S54" s="11">
        <f t="shared" si="5"/>
        <v>29548.32</v>
      </c>
      <c r="T54" s="11" cm="1">
        <f t="array" ref="T54">SUM(E54+O54:Q54)</f>
        <v>187543.32</v>
      </c>
    </row>
    <row r="55" spans="1:20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 xml:space="preserve"> COUNTIF(deals_closed!D:D,A55)</f>
        <v>27</v>
      </c>
      <c r="G55" s="5">
        <f>SUMIF(deals_closed!D:D, calculations!A55, deals_closed!C:C)</f>
        <v>915219</v>
      </c>
      <c r="H55" s="5">
        <f>VLOOKUP(D55,'2018_commission_structure'!$A$2:$I$4,9,FALSE)</f>
        <v>500000</v>
      </c>
      <c r="I55" s="9">
        <f t="shared" si="0"/>
        <v>625000</v>
      </c>
      <c r="J55" s="8">
        <f t="shared" si="1"/>
        <v>750000</v>
      </c>
      <c r="K55" s="9">
        <f t="shared" si="2"/>
        <v>1000000</v>
      </c>
      <c r="L55" s="10">
        <f t="shared" si="3"/>
        <v>1.830438</v>
      </c>
      <c r="M55" t="str">
        <f t="shared" si="4"/>
        <v>150-200%</v>
      </c>
      <c r="N55" s="9">
        <f>MIN(H55, G55)*INDEX('2018_commission_structure'!$A$1:$I$4,
MATCH($D55, '2018_commission_structure'!$A$1:$A$4,0),
MATCH(N$1, '2018_commission_structure'!$A$1:$I$1,0))</f>
        <v>50000</v>
      </c>
      <c r="O55" s="11">
        <f>IF(G55&gt;H55, MIN(G55-H55, I55-H55)*
INDEX('2018_commission_structure'!$A$1:$I$4,
MATCH($D55, '2018_commission_structure'!$A$1:$A$4, 0),
MATCH(O$1, '2018_commission_structure'!$A$1:$I$1, 0)), 0)</f>
        <v>18750</v>
      </c>
      <c r="P55" s="11">
        <f>IF(G55&gt;H55, MIN(G55-H55, J55-H55)*
INDEX('2018_commission_structure'!$A$1:$I$4,
MATCH($D55, '2018_commission_structure'!$A$1:$A$4, 0),
MATCH(O$1, '2018_commission_structure'!$A$1:$I$1, 0)), 0)</f>
        <v>37500</v>
      </c>
      <c r="Q55" s="11">
        <f>IF(G55&gt;H55, MIN(G55-H55, I55-H55)*
INDEX('2018_commission_structure'!$A$1:$I$4,
MATCH($D55, '2018_commission_structure'!$A$1:$A$4, 0),
MATCH(P$1, '2018_commission_structure'!$A$1:$I$1, 0)), 0)</f>
        <v>22500</v>
      </c>
      <c r="R55" s="11">
        <f>IF(G55&gt;K55, (G55-K55) *
INDEX('2018_commission_structure'!$A$1:$I$4,
MATCH($D55, '2018_commission_structure'!$A$1:$A$4,0),
MATCH(R$1, '2018_commission_structure'!$A$1:$I$1,0)), 0)</f>
        <v>0</v>
      </c>
      <c r="S55" s="11">
        <f t="shared" si="5"/>
        <v>78750</v>
      </c>
      <c r="T55" s="11" cm="1">
        <f t="array" ref="T55">SUM(E55+O55:Q55)</f>
        <v>182064</v>
      </c>
    </row>
    <row r="56" spans="1:20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 xml:space="preserve"> COUNTIF(deals_closed!D:D,A56)</f>
        <v>17</v>
      </c>
      <c r="G56" s="5">
        <f>SUMIF(deals_closed!D:D, calculations!A56, deals_closed!C:C)</f>
        <v>574785</v>
      </c>
      <c r="H56" s="5">
        <f>VLOOKUP(D56,'2018_commission_structure'!$A$2:$I$4,9,FALSE)</f>
        <v>500000</v>
      </c>
      <c r="I56" s="9">
        <f t="shared" si="0"/>
        <v>625000</v>
      </c>
      <c r="J56" s="8">
        <f t="shared" si="1"/>
        <v>750000</v>
      </c>
      <c r="K56" s="9">
        <f t="shared" si="2"/>
        <v>1000000</v>
      </c>
      <c r="L56" s="10">
        <f t="shared" si="3"/>
        <v>1.14957</v>
      </c>
      <c r="M56" t="str">
        <f t="shared" si="4"/>
        <v>100-125%</v>
      </c>
      <c r="N56" s="9">
        <f>MIN(H56, G56)*INDEX('2018_commission_structure'!$A$1:$I$4,
MATCH($D56, '2018_commission_structure'!$A$1:$A$4,0),
MATCH(N$1, '2018_commission_structure'!$A$1:$I$1,0))</f>
        <v>50000</v>
      </c>
      <c r="O56" s="11">
        <f>IF(G56&gt;H56, MIN(G56-H56, I56-H56)*
INDEX('2018_commission_structure'!$A$1:$I$4,
MATCH($D56, '2018_commission_structure'!$A$1:$A$4, 0),
MATCH(O$1, '2018_commission_structure'!$A$1:$I$1, 0)), 0)</f>
        <v>11217.75</v>
      </c>
      <c r="P56" s="11">
        <f>IF(G56&gt;H56, MIN(G56-H56, J56-H56)*
INDEX('2018_commission_structure'!$A$1:$I$4,
MATCH($D56, '2018_commission_structure'!$A$1:$A$4, 0),
MATCH(O$1, '2018_commission_structure'!$A$1:$I$1, 0)), 0)</f>
        <v>11217.75</v>
      </c>
      <c r="Q56" s="11">
        <f>IF(G56&gt;H56, MIN(G56-H56, I56-H56)*
INDEX('2018_commission_structure'!$A$1:$I$4,
MATCH($D56, '2018_commission_structure'!$A$1:$A$4, 0),
MATCH(P$1, '2018_commission_structure'!$A$1:$I$1, 0)), 0)</f>
        <v>13461.3</v>
      </c>
      <c r="R56" s="11">
        <f>IF(G56&gt;K56, (G56-K56) *
INDEX('2018_commission_structure'!$A$1:$I$4,
MATCH($D56, '2018_commission_structure'!$A$1:$A$4,0),
MATCH(R$1, '2018_commission_structure'!$A$1:$I$1,0)), 0)</f>
        <v>0</v>
      </c>
      <c r="S56" s="11">
        <f t="shared" si="5"/>
        <v>35896.800000000003</v>
      </c>
      <c r="T56" s="11" cm="1">
        <f t="array" ref="T56">SUM(E56+O56:Q56)</f>
        <v>171907.8</v>
      </c>
    </row>
    <row r="57" spans="1:20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 xml:space="preserve"> COUNTIF(deals_closed!D:D,A57)</f>
        <v>23</v>
      </c>
      <c r="G57" s="5">
        <f>SUMIF(deals_closed!D:D, calculations!A57, deals_closed!C:C)</f>
        <v>804790</v>
      </c>
      <c r="H57" s="5">
        <f>VLOOKUP(D57,'2018_commission_structure'!$A$2:$I$4,9,FALSE)</f>
        <v>600000</v>
      </c>
      <c r="I57" s="9">
        <f t="shared" si="0"/>
        <v>750000</v>
      </c>
      <c r="J57" s="8">
        <f t="shared" si="1"/>
        <v>900000</v>
      </c>
      <c r="K57" s="9">
        <f t="shared" si="2"/>
        <v>1200000</v>
      </c>
      <c r="L57" s="10">
        <f t="shared" si="3"/>
        <v>1.3413166666666667</v>
      </c>
      <c r="M57" t="str">
        <f t="shared" si="4"/>
        <v>125-150%</v>
      </c>
      <c r="N57" s="9">
        <f>MIN(H57, G57)*INDEX('2018_commission_structure'!$A$1:$I$4,
MATCH($D57, '2018_commission_structure'!$A$1:$A$4,0),
MATCH(N$1, '2018_commission_structure'!$A$1:$I$1,0))</f>
        <v>78000</v>
      </c>
      <c r="O57" s="11">
        <f>IF(G57&gt;H57, MIN(G57-H57, I57-H57)*
INDEX('2018_commission_structure'!$A$1:$I$4,
MATCH($D57, '2018_commission_structure'!$A$1:$A$4, 0),
MATCH(O$1, '2018_commission_structure'!$A$1:$I$1, 0)), 0)</f>
        <v>25500.000000000004</v>
      </c>
      <c r="P57" s="11">
        <f>IF(G57&gt;H57, MIN(G57-H57, J57-H57)*
INDEX('2018_commission_structure'!$A$1:$I$4,
MATCH($D57, '2018_commission_structure'!$A$1:$A$4, 0),
MATCH(O$1, '2018_commission_structure'!$A$1:$I$1, 0)), 0)</f>
        <v>34814.300000000003</v>
      </c>
      <c r="Q57" s="11">
        <f>IF(G57&gt;H57, MIN(G57-H57, I57-H57)*
INDEX('2018_commission_structure'!$A$1:$I$4,
MATCH($D57, '2018_commission_structure'!$A$1:$A$4, 0),
MATCH(P$1, '2018_commission_structure'!$A$1:$I$1, 0)), 0)</f>
        <v>31500</v>
      </c>
      <c r="R57" s="11">
        <f>IF(G57&gt;K57, (G57-K57) *
INDEX('2018_commission_structure'!$A$1:$I$4,
MATCH($D57, '2018_commission_structure'!$A$1:$A$4,0),
MATCH(R$1, '2018_commission_structure'!$A$1:$I$1,0)), 0)</f>
        <v>0</v>
      </c>
      <c r="S57" s="11">
        <f t="shared" si="5"/>
        <v>91814.3</v>
      </c>
      <c r="T57" s="11" cm="1">
        <f t="array" ref="T57">SUM(E57+O57:Q57)</f>
        <v>308741.3</v>
      </c>
    </row>
    <row r="58" spans="1:20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 xml:space="preserve"> COUNTIF(deals_closed!D:D,A58)</f>
        <v>20</v>
      </c>
      <c r="G58" s="5">
        <f>SUMIF(deals_closed!D:D, calculations!A58, deals_closed!C:C)</f>
        <v>610321</v>
      </c>
      <c r="H58" s="5">
        <f>VLOOKUP(D58,'2018_commission_structure'!$A$2:$I$4,9,FALSE)</f>
        <v>750000</v>
      </c>
      <c r="I58" s="9">
        <f t="shared" si="0"/>
        <v>937500</v>
      </c>
      <c r="J58" s="8">
        <f t="shared" si="1"/>
        <v>1125000</v>
      </c>
      <c r="K58" s="9">
        <f t="shared" si="2"/>
        <v>1500000</v>
      </c>
      <c r="L58" s="10">
        <f t="shared" si="3"/>
        <v>0.81376133333333334</v>
      </c>
      <c r="M58" t="str">
        <f t="shared" si="4"/>
        <v>0-100%</v>
      </c>
      <c r="N58" s="9">
        <f>MIN(H58, G58)*INDEX('2018_commission_structure'!$A$1:$I$4,
MATCH($D58, '2018_commission_structure'!$A$1:$A$4,0),
MATCH(N$1, '2018_commission_structure'!$A$1:$I$1,0))</f>
        <v>91548.15</v>
      </c>
      <c r="O58" s="11">
        <f>IF(G58&gt;H58, MIN(G58-H58, I58-H58)*
INDEX('2018_commission_structure'!$A$1:$I$4,
MATCH($D58, '2018_commission_structure'!$A$1:$A$4, 0),
MATCH(O$1, '2018_commission_structure'!$A$1:$I$1, 0)), 0)</f>
        <v>0</v>
      </c>
      <c r="P58" s="11">
        <f>IF(G58&gt;H58, MIN(G58-H58, J58-H58)*
INDEX('2018_commission_structure'!$A$1:$I$4,
MATCH($D58, '2018_commission_structure'!$A$1:$A$4, 0),
MATCH(O$1, '2018_commission_structure'!$A$1:$I$1, 0)), 0)</f>
        <v>0</v>
      </c>
      <c r="Q58" s="11">
        <f>IF(G58&gt;H58, MIN(G58-H58, I58-H58)*
INDEX('2018_commission_structure'!$A$1:$I$4,
MATCH($D58, '2018_commission_structure'!$A$1:$A$4, 0),
MATCH(P$1, '2018_commission_structure'!$A$1:$I$1, 0)), 0)</f>
        <v>0</v>
      </c>
      <c r="R58" s="11">
        <f>IF(G58&gt;K58, (G58-K58) *
INDEX('2018_commission_structure'!$A$1:$I$4,
MATCH($D58, '2018_commission_structure'!$A$1:$A$4,0),
MATCH(R$1, '2018_commission_structure'!$A$1:$I$1,0)), 0)</f>
        <v>0</v>
      </c>
      <c r="S58" s="11">
        <f t="shared" si="5"/>
        <v>0</v>
      </c>
      <c r="T58" s="11" cm="1">
        <f t="array" ref="T58">SUM(E58+O58:Q58)</f>
        <v>313641</v>
      </c>
    </row>
    <row r="59" spans="1:20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 xml:space="preserve"> COUNTIF(deals_closed!D:D,A59)</f>
        <v>19</v>
      </c>
      <c r="G59" s="5">
        <f>SUMIF(deals_closed!D:D, calculations!A59, deals_closed!C:C)</f>
        <v>743904</v>
      </c>
      <c r="H59" s="5">
        <f>VLOOKUP(D59,'2018_commission_structure'!$A$2:$I$4,9,FALSE)</f>
        <v>600000</v>
      </c>
      <c r="I59" s="9">
        <f t="shared" si="0"/>
        <v>750000</v>
      </c>
      <c r="J59" s="8">
        <f t="shared" si="1"/>
        <v>900000</v>
      </c>
      <c r="K59" s="9">
        <f t="shared" si="2"/>
        <v>1200000</v>
      </c>
      <c r="L59" s="10">
        <f t="shared" si="3"/>
        <v>1.2398400000000001</v>
      </c>
      <c r="M59" t="str">
        <f t="shared" si="4"/>
        <v>100-125%</v>
      </c>
      <c r="N59" s="9">
        <f>MIN(H59, G59)*INDEX('2018_commission_structure'!$A$1:$I$4,
MATCH($D59, '2018_commission_structure'!$A$1:$A$4,0),
MATCH(N$1, '2018_commission_structure'!$A$1:$I$1,0))</f>
        <v>78000</v>
      </c>
      <c r="O59" s="11">
        <f>IF(G59&gt;H59, MIN(G59-H59, I59-H59)*
INDEX('2018_commission_structure'!$A$1:$I$4,
MATCH($D59, '2018_commission_structure'!$A$1:$A$4, 0),
MATCH(O$1, '2018_commission_structure'!$A$1:$I$1, 0)), 0)</f>
        <v>24463.68</v>
      </c>
      <c r="P59" s="11">
        <f>IF(G59&gt;H59, MIN(G59-H59, J59-H59)*
INDEX('2018_commission_structure'!$A$1:$I$4,
MATCH($D59, '2018_commission_structure'!$A$1:$A$4, 0),
MATCH(O$1, '2018_commission_structure'!$A$1:$I$1, 0)), 0)</f>
        <v>24463.68</v>
      </c>
      <c r="Q59" s="11">
        <f>IF(G59&gt;H59, MIN(G59-H59, I59-H59)*
INDEX('2018_commission_structure'!$A$1:$I$4,
MATCH($D59, '2018_commission_structure'!$A$1:$A$4, 0),
MATCH(P$1, '2018_commission_structure'!$A$1:$I$1, 0)), 0)</f>
        <v>30219.84</v>
      </c>
      <c r="R59" s="11">
        <f>IF(G59&gt;K59, (G59-K59) *
INDEX('2018_commission_structure'!$A$1:$I$4,
MATCH($D59, '2018_commission_structure'!$A$1:$A$4,0),
MATCH(R$1, '2018_commission_structure'!$A$1:$I$1,0)), 0)</f>
        <v>0</v>
      </c>
      <c r="S59" s="11">
        <f t="shared" si="5"/>
        <v>79147.199999999997</v>
      </c>
      <c r="T59" s="11" cm="1">
        <f t="array" ref="T59">SUM(E59+O59:Q59)</f>
        <v>270697.19999999995</v>
      </c>
    </row>
    <row r="60" spans="1:20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 xml:space="preserve"> COUNTIF(deals_closed!D:D,A60)</f>
        <v>23</v>
      </c>
      <c r="G60" s="5">
        <f>SUMIF(deals_closed!D:D, calculations!A60, deals_closed!C:C)</f>
        <v>644872</v>
      </c>
      <c r="H60" s="5">
        <f>VLOOKUP(D60,'2018_commission_structure'!$A$2:$I$4,9,FALSE)</f>
        <v>500000</v>
      </c>
      <c r="I60" s="9">
        <f t="shared" si="0"/>
        <v>625000</v>
      </c>
      <c r="J60" s="8">
        <f t="shared" si="1"/>
        <v>750000</v>
      </c>
      <c r="K60" s="9">
        <f t="shared" si="2"/>
        <v>1000000</v>
      </c>
      <c r="L60" s="10">
        <f t="shared" si="3"/>
        <v>1.289744</v>
      </c>
      <c r="M60" t="str">
        <f t="shared" si="4"/>
        <v>125-150%</v>
      </c>
      <c r="N60" s="9">
        <f>MIN(H60, G60)*INDEX('2018_commission_structure'!$A$1:$I$4,
MATCH($D60, '2018_commission_structure'!$A$1:$A$4,0),
MATCH(N$1, '2018_commission_structure'!$A$1:$I$1,0))</f>
        <v>50000</v>
      </c>
      <c r="O60" s="11">
        <f>IF(G60&gt;H60, MIN(G60-H60, I60-H60)*
INDEX('2018_commission_structure'!$A$1:$I$4,
MATCH($D60, '2018_commission_structure'!$A$1:$A$4, 0),
MATCH(O$1, '2018_commission_structure'!$A$1:$I$1, 0)), 0)</f>
        <v>18750</v>
      </c>
      <c r="P60" s="11">
        <f>IF(G60&gt;H60, MIN(G60-H60, J60-H60)*
INDEX('2018_commission_structure'!$A$1:$I$4,
MATCH($D60, '2018_commission_structure'!$A$1:$A$4, 0),
MATCH(O$1, '2018_commission_structure'!$A$1:$I$1, 0)), 0)</f>
        <v>21730.799999999999</v>
      </c>
      <c r="Q60" s="11">
        <f>IF(G60&gt;H60, MIN(G60-H60, I60-H60)*
INDEX('2018_commission_structure'!$A$1:$I$4,
MATCH($D60, '2018_commission_structure'!$A$1:$A$4, 0),
MATCH(P$1, '2018_commission_structure'!$A$1:$I$1, 0)), 0)</f>
        <v>22500</v>
      </c>
      <c r="R60" s="11">
        <f>IF(G60&gt;K60, (G60-K60) *
INDEX('2018_commission_structure'!$A$1:$I$4,
MATCH($D60, '2018_commission_structure'!$A$1:$A$4,0),
MATCH(R$1, '2018_commission_structure'!$A$1:$I$1,0)), 0)</f>
        <v>0</v>
      </c>
      <c r="S60" s="11">
        <f t="shared" si="5"/>
        <v>62980.800000000003</v>
      </c>
      <c r="T60" s="11" cm="1">
        <f t="array" ref="T60">SUM(E60+O60:Q60)</f>
        <v>175213.8</v>
      </c>
    </row>
    <row r="61" spans="1:20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 xml:space="preserve"> COUNTIF(deals_closed!D:D,A61)</f>
        <v>20</v>
      </c>
      <c r="G61" s="5">
        <f>SUMIF(deals_closed!D:D, calculations!A61, deals_closed!C:C)</f>
        <v>827180</v>
      </c>
      <c r="H61" s="5">
        <f>VLOOKUP(D61,'2018_commission_structure'!$A$2:$I$4,9,FALSE)</f>
        <v>750000</v>
      </c>
      <c r="I61" s="9">
        <f t="shared" si="0"/>
        <v>937500</v>
      </c>
      <c r="J61" s="8">
        <f t="shared" si="1"/>
        <v>1125000</v>
      </c>
      <c r="K61" s="9">
        <f t="shared" si="2"/>
        <v>1500000</v>
      </c>
      <c r="L61" s="10">
        <f t="shared" si="3"/>
        <v>1.1029066666666667</v>
      </c>
      <c r="M61" t="str">
        <f t="shared" si="4"/>
        <v>100-125%</v>
      </c>
      <c r="N61" s="9">
        <f>MIN(H61, G61)*INDEX('2018_commission_structure'!$A$1:$I$4,
MATCH($D61, '2018_commission_structure'!$A$1:$A$4,0),
MATCH(N$1, '2018_commission_structure'!$A$1:$I$1,0))</f>
        <v>112500</v>
      </c>
      <c r="O61" s="11">
        <f>IF(G61&gt;H61, MIN(G61-H61, I61-H61)*
INDEX('2018_commission_structure'!$A$1:$I$4,
MATCH($D61, '2018_commission_structure'!$A$1:$A$4, 0),
MATCH(O$1, '2018_commission_structure'!$A$1:$I$1, 0)), 0)</f>
        <v>14664.2</v>
      </c>
      <c r="P61" s="11">
        <f>IF(G61&gt;H61, MIN(G61-H61, J61-H61)*
INDEX('2018_commission_structure'!$A$1:$I$4,
MATCH($D61, '2018_commission_structure'!$A$1:$A$4, 0),
MATCH(O$1, '2018_commission_structure'!$A$1:$I$1, 0)), 0)</f>
        <v>14664.2</v>
      </c>
      <c r="Q61" s="11">
        <f>IF(G61&gt;H61, MIN(G61-H61, I61-H61)*
INDEX('2018_commission_structure'!$A$1:$I$4,
MATCH($D61, '2018_commission_structure'!$A$1:$A$4, 0),
MATCH(P$1, '2018_commission_structure'!$A$1:$I$1, 0)), 0)</f>
        <v>17751.400000000001</v>
      </c>
      <c r="R61" s="11">
        <f>IF(G61&gt;K61, (G61-K61) *
INDEX('2018_commission_structure'!$A$1:$I$4,
MATCH($D61, '2018_commission_structure'!$A$1:$A$4,0),
MATCH(R$1, '2018_commission_structure'!$A$1:$I$1,0)), 0)</f>
        <v>0</v>
      </c>
      <c r="S61" s="11">
        <f t="shared" si="5"/>
        <v>47079.8</v>
      </c>
      <c r="T61" s="11" cm="1">
        <f t="array" ref="T61">SUM(E61+O61:Q61)</f>
        <v>335076.8</v>
      </c>
    </row>
    <row r="62" spans="1:20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 xml:space="preserve"> COUNTIF(deals_closed!D:D,A62)</f>
        <v>22</v>
      </c>
      <c r="G62" s="5">
        <f>SUMIF(deals_closed!D:D, calculations!A62, deals_closed!C:C)</f>
        <v>699928</v>
      </c>
      <c r="H62" s="5">
        <f>VLOOKUP(D62,'2018_commission_structure'!$A$2:$I$4,9,FALSE)</f>
        <v>500000</v>
      </c>
      <c r="I62" s="9">
        <f t="shared" si="0"/>
        <v>625000</v>
      </c>
      <c r="J62" s="8">
        <f t="shared" si="1"/>
        <v>750000</v>
      </c>
      <c r="K62" s="9">
        <f t="shared" si="2"/>
        <v>1000000</v>
      </c>
      <c r="L62" s="10">
        <f t="shared" si="3"/>
        <v>1.399856</v>
      </c>
      <c r="M62" t="str">
        <f t="shared" si="4"/>
        <v>125-150%</v>
      </c>
      <c r="N62" s="9">
        <f>MIN(H62, G62)*INDEX('2018_commission_structure'!$A$1:$I$4,
MATCH($D62, '2018_commission_structure'!$A$1:$A$4,0),
MATCH(N$1, '2018_commission_structure'!$A$1:$I$1,0))</f>
        <v>50000</v>
      </c>
      <c r="O62" s="11">
        <f>IF(G62&gt;H62, MIN(G62-H62, I62-H62)*
INDEX('2018_commission_structure'!$A$1:$I$4,
MATCH($D62, '2018_commission_structure'!$A$1:$A$4, 0),
MATCH(O$1, '2018_commission_structure'!$A$1:$I$1, 0)), 0)</f>
        <v>18750</v>
      </c>
      <c r="P62" s="11">
        <f>IF(G62&gt;H62, MIN(G62-H62, J62-H62)*
INDEX('2018_commission_structure'!$A$1:$I$4,
MATCH($D62, '2018_commission_structure'!$A$1:$A$4, 0),
MATCH(O$1, '2018_commission_structure'!$A$1:$I$1, 0)), 0)</f>
        <v>29989.199999999997</v>
      </c>
      <c r="Q62" s="11">
        <f>IF(G62&gt;H62, MIN(G62-H62, I62-H62)*
INDEX('2018_commission_structure'!$A$1:$I$4,
MATCH($D62, '2018_commission_structure'!$A$1:$A$4, 0),
MATCH(P$1, '2018_commission_structure'!$A$1:$I$1, 0)), 0)</f>
        <v>22500</v>
      </c>
      <c r="R62" s="11">
        <f>IF(G62&gt;K62, (G62-K62) *
INDEX('2018_commission_structure'!$A$1:$I$4,
MATCH($D62, '2018_commission_structure'!$A$1:$A$4,0),
MATCH(R$1, '2018_commission_structure'!$A$1:$I$1,0)), 0)</f>
        <v>0</v>
      </c>
      <c r="S62" s="11">
        <f t="shared" si="5"/>
        <v>71239.199999999997</v>
      </c>
      <c r="T62" s="11" cm="1">
        <f t="array" ref="T62">SUM(E62+O62:Q62)</f>
        <v>194503.2</v>
      </c>
    </row>
    <row r="63" spans="1:20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 xml:space="preserve"> COUNTIF(deals_closed!D:D,A63)</f>
        <v>24</v>
      </c>
      <c r="G63" s="5">
        <f>SUMIF(deals_closed!D:D, calculations!A63, deals_closed!C:C)</f>
        <v>758395</v>
      </c>
      <c r="H63" s="5">
        <f>VLOOKUP(D63,'2018_commission_structure'!$A$2:$I$4,9,FALSE)</f>
        <v>500000</v>
      </c>
      <c r="I63" s="9">
        <f t="shared" si="0"/>
        <v>625000</v>
      </c>
      <c r="J63" s="8">
        <f t="shared" si="1"/>
        <v>750000</v>
      </c>
      <c r="K63" s="9">
        <f t="shared" si="2"/>
        <v>1000000</v>
      </c>
      <c r="L63" s="10">
        <f t="shared" si="3"/>
        <v>1.5167900000000001</v>
      </c>
      <c r="M63" t="str">
        <f t="shared" si="4"/>
        <v>150-200%</v>
      </c>
      <c r="N63" s="9">
        <f>MIN(H63, G63)*INDEX('2018_commission_structure'!$A$1:$I$4,
MATCH($D63, '2018_commission_structure'!$A$1:$A$4,0),
MATCH(N$1, '2018_commission_structure'!$A$1:$I$1,0))</f>
        <v>50000</v>
      </c>
      <c r="O63" s="11">
        <f>IF(G63&gt;H63, MIN(G63-H63, I63-H63)*
INDEX('2018_commission_structure'!$A$1:$I$4,
MATCH($D63, '2018_commission_structure'!$A$1:$A$4, 0),
MATCH(O$1, '2018_commission_structure'!$A$1:$I$1, 0)), 0)</f>
        <v>18750</v>
      </c>
      <c r="P63" s="11">
        <f>IF(G63&gt;H63, MIN(G63-H63, J63-H63)*
INDEX('2018_commission_structure'!$A$1:$I$4,
MATCH($D63, '2018_commission_structure'!$A$1:$A$4, 0),
MATCH(O$1, '2018_commission_structure'!$A$1:$I$1, 0)), 0)</f>
        <v>37500</v>
      </c>
      <c r="Q63" s="11">
        <f>IF(G63&gt;H63, MIN(G63-H63, I63-H63)*
INDEX('2018_commission_structure'!$A$1:$I$4,
MATCH($D63, '2018_commission_structure'!$A$1:$A$4, 0),
MATCH(P$1, '2018_commission_structure'!$A$1:$I$1, 0)), 0)</f>
        <v>22500</v>
      </c>
      <c r="R63" s="11">
        <f>IF(G63&gt;K63, (G63-K63) *
INDEX('2018_commission_structure'!$A$1:$I$4,
MATCH($D63, '2018_commission_structure'!$A$1:$A$4,0),
MATCH(R$1, '2018_commission_structure'!$A$1:$I$1,0)), 0)</f>
        <v>0</v>
      </c>
      <c r="S63" s="11">
        <f t="shared" si="5"/>
        <v>78750</v>
      </c>
      <c r="T63" s="11" cm="1">
        <f t="array" ref="T63">SUM(E63+O63:Q63)</f>
        <v>219879</v>
      </c>
    </row>
    <row r="64" spans="1:20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 xml:space="preserve"> COUNTIF(deals_closed!D:D,A64)</f>
        <v>24</v>
      </c>
      <c r="G64" s="5">
        <f>SUMIF(deals_closed!D:D, calculations!A64, deals_closed!C:C)</f>
        <v>911285</v>
      </c>
      <c r="H64" s="5">
        <f>VLOOKUP(D64,'2018_commission_structure'!$A$2:$I$4,9,FALSE)</f>
        <v>600000</v>
      </c>
      <c r="I64" s="9">
        <f t="shared" si="0"/>
        <v>750000</v>
      </c>
      <c r="J64" s="8">
        <f t="shared" si="1"/>
        <v>900000</v>
      </c>
      <c r="K64" s="9">
        <f t="shared" si="2"/>
        <v>1200000</v>
      </c>
      <c r="L64" s="10">
        <f t="shared" si="3"/>
        <v>1.5188083333333333</v>
      </c>
      <c r="M64" t="str">
        <f t="shared" si="4"/>
        <v>150-200%</v>
      </c>
      <c r="N64" s="9">
        <f>MIN(H64, G64)*INDEX('2018_commission_structure'!$A$1:$I$4,
MATCH($D64, '2018_commission_structure'!$A$1:$A$4,0),
MATCH(N$1, '2018_commission_structure'!$A$1:$I$1,0))</f>
        <v>78000</v>
      </c>
      <c r="O64" s="11">
        <f>IF(G64&gt;H64, MIN(G64-H64, I64-H64)*
INDEX('2018_commission_structure'!$A$1:$I$4,
MATCH($D64, '2018_commission_structure'!$A$1:$A$4, 0),
MATCH(O$1, '2018_commission_structure'!$A$1:$I$1, 0)), 0)</f>
        <v>25500.000000000004</v>
      </c>
      <c r="P64" s="11">
        <f>IF(G64&gt;H64, MIN(G64-H64, J64-H64)*
INDEX('2018_commission_structure'!$A$1:$I$4,
MATCH($D64, '2018_commission_structure'!$A$1:$A$4, 0),
MATCH(O$1, '2018_commission_structure'!$A$1:$I$1, 0)), 0)</f>
        <v>51000.000000000007</v>
      </c>
      <c r="Q64" s="11">
        <f>IF(G64&gt;H64, MIN(G64-H64, I64-H64)*
INDEX('2018_commission_structure'!$A$1:$I$4,
MATCH($D64, '2018_commission_structure'!$A$1:$A$4, 0),
MATCH(P$1, '2018_commission_structure'!$A$1:$I$1, 0)), 0)</f>
        <v>31500</v>
      </c>
      <c r="R64" s="11">
        <f>IF(G64&gt;K64, (G64-K64) *
INDEX('2018_commission_structure'!$A$1:$I$4,
MATCH($D64, '2018_commission_structure'!$A$1:$A$4,0),
MATCH(R$1, '2018_commission_structure'!$A$1:$I$1,0)), 0)</f>
        <v>0</v>
      </c>
      <c r="S64" s="11">
        <f t="shared" si="5"/>
        <v>108000.00000000001</v>
      </c>
      <c r="T64" s="11" cm="1">
        <f t="array" ref="T64">SUM(E64+O64:Q64)</f>
        <v>327576</v>
      </c>
    </row>
    <row r="65" spans="1:20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 xml:space="preserve"> COUNTIF(deals_closed!D:D,A65)</f>
        <v>24</v>
      </c>
      <c r="G65" s="5">
        <f>SUMIF(deals_closed!D:D, calculations!A65, deals_closed!C:C)</f>
        <v>866306</v>
      </c>
      <c r="H65" s="5">
        <f>VLOOKUP(D65,'2018_commission_structure'!$A$2:$I$4,9,FALSE)</f>
        <v>600000</v>
      </c>
      <c r="I65" s="9">
        <f t="shared" si="0"/>
        <v>750000</v>
      </c>
      <c r="J65" s="8">
        <f t="shared" si="1"/>
        <v>900000</v>
      </c>
      <c r="K65" s="9">
        <f t="shared" si="2"/>
        <v>1200000</v>
      </c>
      <c r="L65" s="10">
        <f t="shared" si="3"/>
        <v>1.4438433333333334</v>
      </c>
      <c r="M65" t="str">
        <f t="shared" si="4"/>
        <v>125-150%</v>
      </c>
      <c r="N65" s="9">
        <f>MIN(H65, G65)*INDEX('2018_commission_structure'!$A$1:$I$4,
MATCH($D65, '2018_commission_structure'!$A$1:$A$4,0),
MATCH(N$1, '2018_commission_structure'!$A$1:$I$1,0))</f>
        <v>78000</v>
      </c>
      <c r="O65" s="11">
        <f>IF(G65&gt;H65, MIN(G65-H65, I65-H65)*
INDEX('2018_commission_structure'!$A$1:$I$4,
MATCH($D65, '2018_commission_structure'!$A$1:$A$4, 0),
MATCH(O$1, '2018_commission_structure'!$A$1:$I$1, 0)), 0)</f>
        <v>25500.000000000004</v>
      </c>
      <c r="P65" s="11">
        <f>IF(G65&gt;H65, MIN(G65-H65, J65-H65)*
INDEX('2018_commission_structure'!$A$1:$I$4,
MATCH($D65, '2018_commission_structure'!$A$1:$A$4, 0),
MATCH(O$1, '2018_commission_structure'!$A$1:$I$1, 0)), 0)</f>
        <v>45272.020000000004</v>
      </c>
      <c r="Q65" s="11">
        <f>IF(G65&gt;H65, MIN(G65-H65, I65-H65)*
INDEX('2018_commission_structure'!$A$1:$I$4,
MATCH($D65, '2018_commission_structure'!$A$1:$A$4, 0),
MATCH(P$1, '2018_commission_structure'!$A$1:$I$1, 0)), 0)</f>
        <v>31500</v>
      </c>
      <c r="R65" s="11">
        <f>IF(G65&gt;K65, (G65-K65) *
INDEX('2018_commission_structure'!$A$1:$I$4,
MATCH($D65, '2018_commission_structure'!$A$1:$A$4,0),
MATCH(R$1, '2018_commission_structure'!$A$1:$I$1,0)), 0)</f>
        <v>0</v>
      </c>
      <c r="S65" s="11">
        <f t="shared" si="5"/>
        <v>102272.02</v>
      </c>
      <c r="T65" s="11" cm="1">
        <f t="array" ref="T65">SUM(E65+O65:Q65)</f>
        <v>305996.02</v>
      </c>
    </row>
    <row r="66" spans="1:20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 xml:space="preserve"> COUNTIF(deals_closed!D:D,A66)</f>
        <v>14</v>
      </c>
      <c r="G66" s="5">
        <f>SUMIF(deals_closed!D:D, calculations!A66, deals_closed!C:C)</f>
        <v>492390</v>
      </c>
      <c r="H66" s="5">
        <f>VLOOKUP(D66,'2018_commission_structure'!$A$2:$I$4,9,FALSE)</f>
        <v>600000</v>
      </c>
      <c r="I66" s="9">
        <f t="shared" si="0"/>
        <v>750000</v>
      </c>
      <c r="J66" s="8">
        <f t="shared" si="1"/>
        <v>900000</v>
      </c>
      <c r="K66" s="9">
        <f t="shared" si="2"/>
        <v>1200000</v>
      </c>
      <c r="L66" s="10">
        <f t="shared" si="3"/>
        <v>0.82064999999999999</v>
      </c>
      <c r="M66" t="str">
        <f t="shared" si="4"/>
        <v>0-100%</v>
      </c>
      <c r="N66" s="9">
        <f>MIN(H66, G66)*INDEX('2018_commission_structure'!$A$1:$I$4,
MATCH($D66, '2018_commission_structure'!$A$1:$A$4,0),
MATCH(N$1, '2018_commission_structure'!$A$1:$I$1,0))</f>
        <v>64010.700000000004</v>
      </c>
      <c r="O66" s="11">
        <f>IF(G66&gt;H66, MIN(G66-H66, I66-H66)*
INDEX('2018_commission_structure'!$A$1:$I$4,
MATCH($D66, '2018_commission_structure'!$A$1:$A$4, 0),
MATCH(O$1, '2018_commission_structure'!$A$1:$I$1, 0)), 0)</f>
        <v>0</v>
      </c>
      <c r="P66" s="11">
        <f>IF(G66&gt;H66, MIN(G66-H66, J66-H66)*
INDEX('2018_commission_structure'!$A$1:$I$4,
MATCH($D66, '2018_commission_structure'!$A$1:$A$4, 0),
MATCH(O$1, '2018_commission_structure'!$A$1:$I$1, 0)), 0)</f>
        <v>0</v>
      </c>
      <c r="Q66" s="11">
        <f>IF(G66&gt;H66, MIN(G66-H66, I66-H66)*
INDEX('2018_commission_structure'!$A$1:$I$4,
MATCH($D66, '2018_commission_structure'!$A$1:$A$4, 0),
MATCH(P$1, '2018_commission_structure'!$A$1:$I$1, 0)), 0)</f>
        <v>0</v>
      </c>
      <c r="R66" s="11">
        <f>IF(G66&gt;K66, (G66-K66) *
INDEX('2018_commission_structure'!$A$1:$I$4,
MATCH($D66, '2018_commission_structure'!$A$1:$A$4,0),
MATCH(R$1, '2018_commission_structure'!$A$1:$I$1,0)), 0)</f>
        <v>0</v>
      </c>
      <c r="S66" s="11">
        <f t="shared" si="5"/>
        <v>0</v>
      </c>
      <c r="T66" s="11" cm="1">
        <f t="array" ref="T66">SUM(E66+O66:Q66)</f>
        <v>214248</v>
      </c>
    </row>
    <row r="67" spans="1:20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 xml:space="preserve"> COUNTIF(deals_closed!D:D,A67)</f>
        <v>9</v>
      </c>
      <c r="G67" s="5">
        <f>SUMIF(deals_closed!D:D, calculations!A67, deals_closed!C:C)</f>
        <v>277209</v>
      </c>
      <c r="H67" s="5">
        <f>VLOOKUP(D67,'2018_commission_structure'!$A$2:$I$4,9,FALSE)</f>
        <v>600000</v>
      </c>
      <c r="I67" s="9">
        <f t="shared" ref="I67:I130" si="6">H67*1.25</f>
        <v>750000</v>
      </c>
      <c r="J67" s="8">
        <f t="shared" ref="J67:J130" si="7">H67*1.5</f>
        <v>900000</v>
      </c>
      <c r="K67" s="9">
        <f t="shared" ref="K67:K130" si="8">H67*2</f>
        <v>1200000</v>
      </c>
      <c r="L67" s="10">
        <f t="shared" ref="L67:L130" si="9">G67/H67</f>
        <v>0.46201500000000001</v>
      </c>
      <c r="M67" t="str">
        <f t="shared" ref="M67:M130" si="10">IF(L67&lt;=1, "0-100%",
IF(L67&lt;=1.25, "100-125%",
IF(L67&lt;=1.5, "125-150%",
IF(L67&lt;2, "150-200%", "&gt;200%"))))</f>
        <v>0-100%</v>
      </c>
      <c r="N67" s="9">
        <f>MIN(H67, G67)*INDEX('2018_commission_structure'!$A$1:$I$4,
MATCH($D67, '2018_commission_structure'!$A$1:$A$4,0),
MATCH(N$1, '2018_commission_structure'!$A$1:$I$1,0))</f>
        <v>36037.17</v>
      </c>
      <c r="O67" s="11">
        <f>IF(G67&gt;H67, MIN(G67-H67, I67-H67)*
INDEX('2018_commission_structure'!$A$1:$I$4,
MATCH($D67, '2018_commission_structure'!$A$1:$A$4, 0),
MATCH(O$1, '2018_commission_structure'!$A$1:$I$1, 0)), 0)</f>
        <v>0</v>
      </c>
      <c r="P67" s="11">
        <f>IF(G67&gt;H67, MIN(G67-H67, J67-H67)*
INDEX('2018_commission_structure'!$A$1:$I$4,
MATCH($D67, '2018_commission_structure'!$A$1:$A$4, 0),
MATCH(O$1, '2018_commission_structure'!$A$1:$I$1, 0)), 0)</f>
        <v>0</v>
      </c>
      <c r="Q67" s="11">
        <f>IF(G67&gt;H67, MIN(G67-H67, I67-H67)*
INDEX('2018_commission_structure'!$A$1:$I$4,
MATCH($D67, '2018_commission_structure'!$A$1:$A$4, 0),
MATCH(P$1, '2018_commission_structure'!$A$1:$I$1, 0)), 0)</f>
        <v>0</v>
      </c>
      <c r="R67" s="11">
        <f>IF(G67&gt;K67, (G67-K67) *
INDEX('2018_commission_structure'!$A$1:$I$4,
MATCH($D67, '2018_commission_structure'!$A$1:$A$4,0),
MATCH(R$1, '2018_commission_structure'!$A$1:$I$1,0)), 0)</f>
        <v>0</v>
      </c>
      <c r="S67" s="11">
        <f t="shared" ref="S67:S130" si="11">SUM(O67:Q67)</f>
        <v>0</v>
      </c>
      <c r="T67" s="11" cm="1">
        <f t="array" ref="T67">SUM(E67+O67:Q67)</f>
        <v>173403</v>
      </c>
    </row>
    <row r="68" spans="1:20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 xml:space="preserve"> COUNTIF(deals_closed!D:D,A68)</f>
        <v>25</v>
      </c>
      <c r="G68" s="5">
        <f>SUMIF(deals_closed!D:D, calculations!A68, deals_closed!C:C)</f>
        <v>825812</v>
      </c>
      <c r="H68" s="5">
        <f>VLOOKUP(D68,'2018_commission_structure'!$A$2:$I$4,9,FALSE)</f>
        <v>750000</v>
      </c>
      <c r="I68" s="9">
        <f t="shared" si="6"/>
        <v>937500</v>
      </c>
      <c r="J68" s="8">
        <f t="shared" si="7"/>
        <v>1125000</v>
      </c>
      <c r="K68" s="9">
        <f t="shared" si="8"/>
        <v>1500000</v>
      </c>
      <c r="L68" s="10">
        <f t="shared" si="9"/>
        <v>1.1010826666666667</v>
      </c>
      <c r="M68" t="str">
        <f t="shared" si="10"/>
        <v>100-125%</v>
      </c>
      <c r="N68" s="9">
        <f>MIN(H68, G68)*INDEX('2018_commission_structure'!$A$1:$I$4,
MATCH($D68, '2018_commission_structure'!$A$1:$A$4,0),
MATCH(N$1, '2018_commission_structure'!$A$1:$I$1,0))</f>
        <v>112500</v>
      </c>
      <c r="O68" s="11">
        <f>IF(G68&gt;H68, MIN(G68-H68, I68-H68)*
INDEX('2018_commission_structure'!$A$1:$I$4,
MATCH($D68, '2018_commission_structure'!$A$1:$A$4, 0),
MATCH(O$1, '2018_commission_structure'!$A$1:$I$1, 0)), 0)</f>
        <v>14404.28</v>
      </c>
      <c r="P68" s="11">
        <f>IF(G68&gt;H68, MIN(G68-H68, J68-H68)*
INDEX('2018_commission_structure'!$A$1:$I$4,
MATCH($D68, '2018_commission_structure'!$A$1:$A$4, 0),
MATCH(O$1, '2018_commission_structure'!$A$1:$I$1, 0)), 0)</f>
        <v>14404.28</v>
      </c>
      <c r="Q68" s="11">
        <f>IF(G68&gt;H68, MIN(G68-H68, I68-H68)*
INDEX('2018_commission_structure'!$A$1:$I$4,
MATCH($D68, '2018_commission_structure'!$A$1:$A$4, 0),
MATCH(P$1, '2018_commission_structure'!$A$1:$I$1, 0)), 0)</f>
        <v>17436.760000000002</v>
      </c>
      <c r="R68" s="11">
        <f>IF(G68&gt;K68, (G68-K68) *
INDEX('2018_commission_structure'!$A$1:$I$4,
MATCH($D68, '2018_commission_structure'!$A$1:$A$4,0),
MATCH(R$1, '2018_commission_structure'!$A$1:$I$1,0)), 0)</f>
        <v>0</v>
      </c>
      <c r="S68" s="11">
        <f t="shared" si="11"/>
        <v>46245.320000000007</v>
      </c>
      <c r="T68" s="11" cm="1">
        <f t="array" ref="T68">SUM(E68+O68:Q68)</f>
        <v>396888.32000000001</v>
      </c>
    </row>
    <row r="69" spans="1:20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 xml:space="preserve"> COUNTIF(deals_closed!D:D,A69)</f>
        <v>17</v>
      </c>
      <c r="G69" s="5">
        <f>SUMIF(deals_closed!D:D, calculations!A69, deals_closed!C:C)</f>
        <v>623497</v>
      </c>
      <c r="H69" s="5">
        <f>VLOOKUP(D69,'2018_commission_structure'!$A$2:$I$4,9,FALSE)</f>
        <v>600000</v>
      </c>
      <c r="I69" s="9">
        <f t="shared" si="6"/>
        <v>750000</v>
      </c>
      <c r="J69" s="8">
        <f t="shared" si="7"/>
        <v>900000</v>
      </c>
      <c r="K69" s="9">
        <f t="shared" si="8"/>
        <v>1200000</v>
      </c>
      <c r="L69" s="10">
        <f t="shared" si="9"/>
        <v>1.0391616666666668</v>
      </c>
      <c r="M69" t="str">
        <f t="shared" si="10"/>
        <v>100-125%</v>
      </c>
      <c r="N69" s="9">
        <f>MIN(H69, G69)*INDEX('2018_commission_structure'!$A$1:$I$4,
MATCH($D69, '2018_commission_structure'!$A$1:$A$4,0),
MATCH(N$1, '2018_commission_structure'!$A$1:$I$1,0))</f>
        <v>78000</v>
      </c>
      <c r="O69" s="11">
        <f>IF(G69&gt;H69, MIN(G69-H69, I69-H69)*
INDEX('2018_commission_structure'!$A$1:$I$4,
MATCH($D69, '2018_commission_structure'!$A$1:$A$4, 0),
MATCH(O$1, '2018_commission_structure'!$A$1:$I$1, 0)), 0)</f>
        <v>3994.4900000000002</v>
      </c>
      <c r="P69" s="11">
        <f>IF(G69&gt;H69, MIN(G69-H69, J69-H69)*
INDEX('2018_commission_structure'!$A$1:$I$4,
MATCH($D69, '2018_commission_structure'!$A$1:$A$4, 0),
MATCH(O$1, '2018_commission_structure'!$A$1:$I$1, 0)), 0)</f>
        <v>3994.4900000000002</v>
      </c>
      <c r="Q69" s="11">
        <f>IF(G69&gt;H69, MIN(G69-H69, I69-H69)*
INDEX('2018_commission_structure'!$A$1:$I$4,
MATCH($D69, '2018_commission_structure'!$A$1:$A$4, 0),
MATCH(P$1, '2018_commission_structure'!$A$1:$I$1, 0)), 0)</f>
        <v>4934.37</v>
      </c>
      <c r="R69" s="11">
        <f>IF(G69&gt;K69, (G69-K69) *
INDEX('2018_commission_structure'!$A$1:$I$4,
MATCH($D69, '2018_commission_structure'!$A$1:$A$4,0),
MATCH(R$1, '2018_commission_structure'!$A$1:$I$1,0)), 0)</f>
        <v>0</v>
      </c>
      <c r="S69" s="11">
        <f t="shared" si="11"/>
        <v>12923.35</v>
      </c>
      <c r="T69" s="11" cm="1">
        <f t="array" ref="T69">SUM(E69+O69:Q69)</f>
        <v>192500.35</v>
      </c>
    </row>
    <row r="70" spans="1:20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 xml:space="preserve"> COUNTIF(deals_closed!D:D,A70)</f>
        <v>28</v>
      </c>
      <c r="G70" s="5">
        <f>SUMIF(deals_closed!D:D, calculations!A70, deals_closed!C:C)</f>
        <v>1006770</v>
      </c>
      <c r="H70" s="5">
        <f>VLOOKUP(D70,'2018_commission_structure'!$A$2:$I$4,9,FALSE)</f>
        <v>600000</v>
      </c>
      <c r="I70" s="9">
        <f t="shared" si="6"/>
        <v>750000</v>
      </c>
      <c r="J70" s="8">
        <f t="shared" si="7"/>
        <v>900000</v>
      </c>
      <c r="K70" s="9">
        <f t="shared" si="8"/>
        <v>1200000</v>
      </c>
      <c r="L70" s="10">
        <f t="shared" si="9"/>
        <v>1.6779500000000001</v>
      </c>
      <c r="M70" t="str">
        <f t="shared" si="10"/>
        <v>150-200%</v>
      </c>
      <c r="N70" s="9">
        <f>MIN(H70, G70)*INDEX('2018_commission_structure'!$A$1:$I$4,
MATCH($D70, '2018_commission_structure'!$A$1:$A$4,0),
MATCH(N$1, '2018_commission_structure'!$A$1:$I$1,0))</f>
        <v>78000</v>
      </c>
      <c r="O70" s="11">
        <f>IF(G70&gt;H70, MIN(G70-H70, I70-H70)*
INDEX('2018_commission_structure'!$A$1:$I$4,
MATCH($D70, '2018_commission_structure'!$A$1:$A$4, 0),
MATCH(O$1, '2018_commission_structure'!$A$1:$I$1, 0)), 0)</f>
        <v>25500.000000000004</v>
      </c>
      <c r="P70" s="11">
        <f>IF(G70&gt;H70, MIN(G70-H70, J70-H70)*
INDEX('2018_commission_structure'!$A$1:$I$4,
MATCH($D70, '2018_commission_structure'!$A$1:$A$4, 0),
MATCH(O$1, '2018_commission_structure'!$A$1:$I$1, 0)), 0)</f>
        <v>51000.000000000007</v>
      </c>
      <c r="Q70" s="11">
        <f>IF(G70&gt;H70, MIN(G70-H70, I70-H70)*
INDEX('2018_commission_structure'!$A$1:$I$4,
MATCH($D70, '2018_commission_structure'!$A$1:$A$4, 0),
MATCH(P$1, '2018_commission_structure'!$A$1:$I$1, 0)), 0)</f>
        <v>31500</v>
      </c>
      <c r="R70" s="11">
        <f>IF(G70&gt;K70, (G70-K70) *
INDEX('2018_commission_structure'!$A$1:$I$4,
MATCH($D70, '2018_commission_structure'!$A$1:$A$4,0),
MATCH(R$1, '2018_commission_structure'!$A$1:$I$1,0)), 0)</f>
        <v>0</v>
      </c>
      <c r="S70" s="11">
        <f t="shared" si="11"/>
        <v>108000.00000000001</v>
      </c>
      <c r="T70" s="11" cm="1">
        <f t="array" ref="T70">SUM(E70+O70:Q70)</f>
        <v>275421</v>
      </c>
    </row>
    <row r="71" spans="1:20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 xml:space="preserve"> COUNTIF(deals_closed!D:D,A71)</f>
        <v>18</v>
      </c>
      <c r="G71" s="5">
        <f>SUMIF(deals_closed!D:D, calculations!A71, deals_closed!C:C)</f>
        <v>557797</v>
      </c>
      <c r="H71" s="5">
        <f>VLOOKUP(D71,'2018_commission_structure'!$A$2:$I$4,9,FALSE)</f>
        <v>750000</v>
      </c>
      <c r="I71" s="9">
        <f t="shared" si="6"/>
        <v>937500</v>
      </c>
      <c r="J71" s="8">
        <f t="shared" si="7"/>
        <v>1125000</v>
      </c>
      <c r="K71" s="9">
        <f t="shared" si="8"/>
        <v>1500000</v>
      </c>
      <c r="L71" s="10">
        <f t="shared" si="9"/>
        <v>0.74372933333333335</v>
      </c>
      <c r="M71" t="str">
        <f t="shared" si="10"/>
        <v>0-100%</v>
      </c>
      <c r="N71" s="9">
        <f>MIN(H71, G71)*INDEX('2018_commission_structure'!$A$1:$I$4,
MATCH($D71, '2018_commission_structure'!$A$1:$A$4,0),
MATCH(N$1, '2018_commission_structure'!$A$1:$I$1,0))</f>
        <v>83669.55</v>
      </c>
      <c r="O71" s="11">
        <f>IF(G71&gt;H71, MIN(G71-H71, I71-H71)*
INDEX('2018_commission_structure'!$A$1:$I$4,
MATCH($D71, '2018_commission_structure'!$A$1:$A$4, 0),
MATCH(O$1, '2018_commission_structure'!$A$1:$I$1, 0)), 0)</f>
        <v>0</v>
      </c>
      <c r="P71" s="11">
        <f>IF(G71&gt;H71, MIN(G71-H71, J71-H71)*
INDEX('2018_commission_structure'!$A$1:$I$4,
MATCH($D71, '2018_commission_structure'!$A$1:$A$4, 0),
MATCH(O$1, '2018_commission_structure'!$A$1:$I$1, 0)), 0)</f>
        <v>0</v>
      </c>
      <c r="Q71" s="11">
        <f>IF(G71&gt;H71, MIN(G71-H71, I71-H71)*
INDEX('2018_commission_structure'!$A$1:$I$4,
MATCH($D71, '2018_commission_structure'!$A$1:$A$4, 0),
MATCH(P$1, '2018_commission_structure'!$A$1:$I$1, 0)), 0)</f>
        <v>0</v>
      </c>
      <c r="R71" s="11">
        <f>IF(G71&gt;K71, (G71-K71) *
INDEX('2018_commission_structure'!$A$1:$I$4,
MATCH($D71, '2018_commission_structure'!$A$1:$A$4,0),
MATCH(R$1, '2018_commission_structure'!$A$1:$I$1,0)), 0)</f>
        <v>0</v>
      </c>
      <c r="S71" s="11">
        <f t="shared" si="11"/>
        <v>0</v>
      </c>
      <c r="T71" s="11" cm="1">
        <f t="array" ref="T71">SUM(E71+O71:Q71)</f>
        <v>364737</v>
      </c>
    </row>
    <row r="72" spans="1:20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 xml:space="preserve"> COUNTIF(deals_closed!D:D,A72)</f>
        <v>17</v>
      </c>
      <c r="G72" s="5">
        <f>SUMIF(deals_closed!D:D, calculations!A72, deals_closed!C:C)</f>
        <v>625859</v>
      </c>
      <c r="H72" s="5">
        <f>VLOOKUP(D72,'2018_commission_structure'!$A$2:$I$4,9,FALSE)</f>
        <v>750000</v>
      </c>
      <c r="I72" s="9">
        <f t="shared" si="6"/>
        <v>937500</v>
      </c>
      <c r="J72" s="8">
        <f t="shared" si="7"/>
        <v>1125000</v>
      </c>
      <c r="K72" s="9">
        <f t="shared" si="8"/>
        <v>1500000</v>
      </c>
      <c r="L72" s="10">
        <f t="shared" si="9"/>
        <v>0.8344786666666667</v>
      </c>
      <c r="M72" t="str">
        <f t="shared" si="10"/>
        <v>0-100%</v>
      </c>
      <c r="N72" s="9">
        <f>MIN(H72, G72)*INDEX('2018_commission_structure'!$A$1:$I$4,
MATCH($D72, '2018_commission_structure'!$A$1:$A$4,0),
MATCH(N$1, '2018_commission_structure'!$A$1:$I$1,0))</f>
        <v>93878.849999999991</v>
      </c>
      <c r="O72" s="11">
        <f>IF(G72&gt;H72, MIN(G72-H72, I72-H72)*
INDEX('2018_commission_structure'!$A$1:$I$4,
MATCH($D72, '2018_commission_structure'!$A$1:$A$4, 0),
MATCH(O$1, '2018_commission_structure'!$A$1:$I$1, 0)), 0)</f>
        <v>0</v>
      </c>
      <c r="P72" s="11">
        <f>IF(G72&gt;H72, MIN(G72-H72, J72-H72)*
INDEX('2018_commission_structure'!$A$1:$I$4,
MATCH($D72, '2018_commission_structure'!$A$1:$A$4, 0),
MATCH(O$1, '2018_commission_structure'!$A$1:$I$1, 0)), 0)</f>
        <v>0</v>
      </c>
      <c r="Q72" s="11">
        <f>IF(G72&gt;H72, MIN(G72-H72, I72-H72)*
INDEX('2018_commission_structure'!$A$1:$I$4,
MATCH($D72, '2018_commission_structure'!$A$1:$A$4, 0),
MATCH(P$1, '2018_commission_structure'!$A$1:$I$1, 0)), 0)</f>
        <v>0</v>
      </c>
      <c r="R72" s="11">
        <f>IF(G72&gt;K72, (G72-K72) *
INDEX('2018_commission_structure'!$A$1:$I$4,
MATCH($D72, '2018_commission_structure'!$A$1:$A$4,0),
MATCH(R$1, '2018_commission_structure'!$A$1:$I$1,0)), 0)</f>
        <v>0</v>
      </c>
      <c r="S72" s="11">
        <f t="shared" si="11"/>
        <v>0</v>
      </c>
      <c r="T72" s="11" cm="1">
        <f t="array" ref="T72">SUM(E72+O72:Q72)</f>
        <v>268482</v>
      </c>
    </row>
    <row r="73" spans="1:20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 xml:space="preserve"> COUNTIF(deals_closed!D:D,A73)</f>
        <v>19</v>
      </c>
      <c r="G73" s="5">
        <f>SUMIF(deals_closed!D:D, calculations!A73, deals_closed!C:C)</f>
        <v>765283</v>
      </c>
      <c r="H73" s="5">
        <f>VLOOKUP(D73,'2018_commission_structure'!$A$2:$I$4,9,FALSE)</f>
        <v>500000</v>
      </c>
      <c r="I73" s="9">
        <f t="shared" si="6"/>
        <v>625000</v>
      </c>
      <c r="J73" s="8">
        <f t="shared" si="7"/>
        <v>750000</v>
      </c>
      <c r="K73" s="9">
        <f t="shared" si="8"/>
        <v>1000000</v>
      </c>
      <c r="L73" s="10">
        <f t="shared" si="9"/>
        <v>1.5305660000000001</v>
      </c>
      <c r="M73" t="str">
        <f t="shared" si="10"/>
        <v>150-200%</v>
      </c>
      <c r="N73" s="9">
        <f>MIN(H73, G73)*INDEX('2018_commission_structure'!$A$1:$I$4,
MATCH($D73, '2018_commission_structure'!$A$1:$A$4,0),
MATCH(N$1, '2018_commission_structure'!$A$1:$I$1,0))</f>
        <v>50000</v>
      </c>
      <c r="O73" s="11">
        <f>IF(G73&gt;H73, MIN(G73-H73, I73-H73)*
INDEX('2018_commission_structure'!$A$1:$I$4,
MATCH($D73, '2018_commission_structure'!$A$1:$A$4, 0),
MATCH(O$1, '2018_commission_structure'!$A$1:$I$1, 0)), 0)</f>
        <v>18750</v>
      </c>
      <c r="P73" s="11">
        <f>IF(G73&gt;H73, MIN(G73-H73, J73-H73)*
INDEX('2018_commission_structure'!$A$1:$I$4,
MATCH($D73, '2018_commission_structure'!$A$1:$A$4, 0),
MATCH(O$1, '2018_commission_structure'!$A$1:$I$1, 0)), 0)</f>
        <v>37500</v>
      </c>
      <c r="Q73" s="11">
        <f>IF(G73&gt;H73, MIN(G73-H73, I73-H73)*
INDEX('2018_commission_structure'!$A$1:$I$4,
MATCH($D73, '2018_commission_structure'!$A$1:$A$4, 0),
MATCH(P$1, '2018_commission_structure'!$A$1:$I$1, 0)), 0)</f>
        <v>22500</v>
      </c>
      <c r="R73" s="11">
        <f>IF(G73&gt;K73, (G73-K73) *
INDEX('2018_commission_structure'!$A$1:$I$4,
MATCH($D73, '2018_commission_structure'!$A$1:$A$4,0),
MATCH(R$1, '2018_commission_structure'!$A$1:$I$1,0)), 0)</f>
        <v>0</v>
      </c>
      <c r="S73" s="11">
        <f t="shared" si="11"/>
        <v>78750</v>
      </c>
      <c r="T73" s="11" cm="1">
        <f t="array" ref="T73">SUM(E73+O73:Q73)</f>
        <v>206976</v>
      </c>
    </row>
    <row r="74" spans="1:20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 xml:space="preserve"> COUNTIF(deals_closed!D:D,A74)</f>
        <v>11</v>
      </c>
      <c r="G74" s="5">
        <f>SUMIF(deals_closed!D:D, calculations!A74, deals_closed!C:C)</f>
        <v>281806</v>
      </c>
      <c r="H74" s="5">
        <f>VLOOKUP(D74,'2018_commission_structure'!$A$2:$I$4,9,FALSE)</f>
        <v>500000</v>
      </c>
      <c r="I74" s="9">
        <f t="shared" si="6"/>
        <v>625000</v>
      </c>
      <c r="J74" s="8">
        <f t="shared" si="7"/>
        <v>750000</v>
      </c>
      <c r="K74" s="9">
        <f t="shared" si="8"/>
        <v>1000000</v>
      </c>
      <c r="L74" s="10">
        <f t="shared" si="9"/>
        <v>0.563612</v>
      </c>
      <c r="M74" t="str">
        <f t="shared" si="10"/>
        <v>0-100%</v>
      </c>
      <c r="N74" s="9">
        <f>MIN(H74, G74)*INDEX('2018_commission_structure'!$A$1:$I$4,
MATCH($D74, '2018_commission_structure'!$A$1:$A$4,0),
MATCH(N$1, '2018_commission_structure'!$A$1:$I$1,0))</f>
        <v>28180.600000000002</v>
      </c>
      <c r="O74" s="11">
        <f>IF(G74&gt;H74, MIN(G74-H74, I74-H74)*
INDEX('2018_commission_structure'!$A$1:$I$4,
MATCH($D74, '2018_commission_structure'!$A$1:$A$4, 0),
MATCH(O$1, '2018_commission_structure'!$A$1:$I$1, 0)), 0)</f>
        <v>0</v>
      </c>
      <c r="P74" s="11">
        <f>IF(G74&gt;H74, MIN(G74-H74, J74-H74)*
INDEX('2018_commission_structure'!$A$1:$I$4,
MATCH($D74, '2018_commission_structure'!$A$1:$A$4, 0),
MATCH(O$1, '2018_commission_structure'!$A$1:$I$1, 0)), 0)</f>
        <v>0</v>
      </c>
      <c r="Q74" s="11">
        <f>IF(G74&gt;H74, MIN(G74-H74, I74-H74)*
INDEX('2018_commission_structure'!$A$1:$I$4,
MATCH($D74, '2018_commission_structure'!$A$1:$A$4, 0),
MATCH(P$1, '2018_commission_structure'!$A$1:$I$1, 0)), 0)</f>
        <v>0</v>
      </c>
      <c r="R74" s="11">
        <f>IF(G74&gt;K74, (G74-K74) *
INDEX('2018_commission_structure'!$A$1:$I$4,
MATCH($D74, '2018_commission_structure'!$A$1:$A$4,0),
MATCH(R$1, '2018_commission_structure'!$A$1:$I$1,0)), 0)</f>
        <v>0</v>
      </c>
      <c r="S74" s="11">
        <f t="shared" si="11"/>
        <v>0</v>
      </c>
      <c r="T74" s="11" cm="1">
        <f t="array" ref="T74">SUM(E74+O74:Q74)</f>
        <v>121128</v>
      </c>
    </row>
    <row r="75" spans="1:20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 xml:space="preserve"> COUNTIF(deals_closed!D:D,A75)</f>
        <v>15</v>
      </c>
      <c r="G75" s="5">
        <f>SUMIF(deals_closed!D:D, calculations!A75, deals_closed!C:C)</f>
        <v>531790</v>
      </c>
      <c r="H75" s="5">
        <f>VLOOKUP(D75,'2018_commission_structure'!$A$2:$I$4,9,FALSE)</f>
        <v>500000</v>
      </c>
      <c r="I75" s="9">
        <f t="shared" si="6"/>
        <v>625000</v>
      </c>
      <c r="J75" s="8">
        <f t="shared" si="7"/>
        <v>750000</v>
      </c>
      <c r="K75" s="9">
        <f t="shared" si="8"/>
        <v>1000000</v>
      </c>
      <c r="L75" s="10">
        <f t="shared" si="9"/>
        <v>1.06358</v>
      </c>
      <c r="M75" t="str">
        <f t="shared" si="10"/>
        <v>100-125%</v>
      </c>
      <c r="N75" s="9">
        <f>MIN(H75, G75)*INDEX('2018_commission_structure'!$A$1:$I$4,
MATCH($D75, '2018_commission_structure'!$A$1:$A$4,0),
MATCH(N$1, '2018_commission_structure'!$A$1:$I$1,0))</f>
        <v>50000</v>
      </c>
      <c r="O75" s="11">
        <f>IF(G75&gt;H75, MIN(G75-H75, I75-H75)*
INDEX('2018_commission_structure'!$A$1:$I$4,
MATCH($D75, '2018_commission_structure'!$A$1:$A$4, 0),
MATCH(O$1, '2018_commission_structure'!$A$1:$I$1, 0)), 0)</f>
        <v>4768.5</v>
      </c>
      <c r="P75" s="11">
        <f>IF(G75&gt;H75, MIN(G75-H75, J75-H75)*
INDEX('2018_commission_structure'!$A$1:$I$4,
MATCH($D75, '2018_commission_structure'!$A$1:$A$4, 0),
MATCH(O$1, '2018_commission_structure'!$A$1:$I$1, 0)), 0)</f>
        <v>4768.5</v>
      </c>
      <c r="Q75" s="11">
        <f>IF(G75&gt;H75, MIN(G75-H75, I75-H75)*
INDEX('2018_commission_structure'!$A$1:$I$4,
MATCH($D75, '2018_commission_structure'!$A$1:$A$4, 0),
MATCH(P$1, '2018_commission_structure'!$A$1:$I$1, 0)), 0)</f>
        <v>5722.2</v>
      </c>
      <c r="R75" s="11">
        <f>IF(G75&gt;K75, (G75-K75) *
INDEX('2018_commission_structure'!$A$1:$I$4,
MATCH($D75, '2018_commission_structure'!$A$1:$A$4,0),
MATCH(R$1, '2018_commission_structure'!$A$1:$I$1,0)), 0)</f>
        <v>0</v>
      </c>
      <c r="S75" s="11">
        <f t="shared" si="11"/>
        <v>15259.2</v>
      </c>
      <c r="T75" s="11" cm="1">
        <f t="array" ref="T75">SUM(E75+O75:Q75)</f>
        <v>187903.2</v>
      </c>
    </row>
    <row r="76" spans="1:20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 xml:space="preserve"> COUNTIF(deals_closed!D:D,A76)</f>
        <v>19</v>
      </c>
      <c r="G76" s="5">
        <f>SUMIF(deals_closed!D:D, calculations!A76, deals_closed!C:C)</f>
        <v>660630</v>
      </c>
      <c r="H76" s="5">
        <f>VLOOKUP(D76,'2018_commission_structure'!$A$2:$I$4,9,FALSE)</f>
        <v>500000</v>
      </c>
      <c r="I76" s="9">
        <f t="shared" si="6"/>
        <v>625000</v>
      </c>
      <c r="J76" s="8">
        <f t="shared" si="7"/>
        <v>750000</v>
      </c>
      <c r="K76" s="9">
        <f t="shared" si="8"/>
        <v>1000000</v>
      </c>
      <c r="L76" s="10">
        <f t="shared" si="9"/>
        <v>1.3212600000000001</v>
      </c>
      <c r="M76" t="str">
        <f t="shared" si="10"/>
        <v>125-150%</v>
      </c>
      <c r="N76" s="9">
        <f>MIN(H76, G76)*INDEX('2018_commission_structure'!$A$1:$I$4,
MATCH($D76, '2018_commission_structure'!$A$1:$A$4,0),
MATCH(N$1, '2018_commission_structure'!$A$1:$I$1,0))</f>
        <v>50000</v>
      </c>
      <c r="O76" s="11">
        <f>IF(G76&gt;H76, MIN(G76-H76, I76-H76)*
INDEX('2018_commission_structure'!$A$1:$I$4,
MATCH($D76, '2018_commission_structure'!$A$1:$A$4, 0),
MATCH(O$1, '2018_commission_structure'!$A$1:$I$1, 0)), 0)</f>
        <v>18750</v>
      </c>
      <c r="P76" s="11">
        <f>IF(G76&gt;H76, MIN(G76-H76, J76-H76)*
INDEX('2018_commission_structure'!$A$1:$I$4,
MATCH($D76, '2018_commission_structure'!$A$1:$A$4, 0),
MATCH(O$1, '2018_commission_structure'!$A$1:$I$1, 0)), 0)</f>
        <v>24094.5</v>
      </c>
      <c r="Q76" s="11">
        <f>IF(G76&gt;H76, MIN(G76-H76, I76-H76)*
INDEX('2018_commission_structure'!$A$1:$I$4,
MATCH($D76, '2018_commission_structure'!$A$1:$A$4, 0),
MATCH(P$1, '2018_commission_structure'!$A$1:$I$1, 0)), 0)</f>
        <v>22500</v>
      </c>
      <c r="R76" s="11">
        <f>IF(G76&gt;K76, (G76-K76) *
INDEX('2018_commission_structure'!$A$1:$I$4,
MATCH($D76, '2018_commission_structure'!$A$1:$A$4,0),
MATCH(R$1, '2018_commission_structure'!$A$1:$I$1,0)), 0)</f>
        <v>0</v>
      </c>
      <c r="S76" s="11">
        <f t="shared" si="11"/>
        <v>65344.5</v>
      </c>
      <c r="T76" s="11" cm="1">
        <f t="array" ref="T76">SUM(E76+O76:Q76)</f>
        <v>202942.5</v>
      </c>
    </row>
    <row r="77" spans="1:20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 xml:space="preserve"> COUNTIF(deals_closed!D:D,A77)</f>
        <v>29</v>
      </c>
      <c r="G77" s="5">
        <f>SUMIF(deals_closed!D:D, calculations!A77, deals_closed!C:C)</f>
        <v>997332</v>
      </c>
      <c r="H77" s="5">
        <f>VLOOKUP(D77,'2018_commission_structure'!$A$2:$I$4,9,FALSE)</f>
        <v>750000</v>
      </c>
      <c r="I77" s="9">
        <f t="shared" si="6"/>
        <v>937500</v>
      </c>
      <c r="J77" s="8">
        <f t="shared" si="7"/>
        <v>1125000</v>
      </c>
      <c r="K77" s="9">
        <f t="shared" si="8"/>
        <v>1500000</v>
      </c>
      <c r="L77" s="10">
        <f t="shared" si="9"/>
        <v>1.3297760000000001</v>
      </c>
      <c r="M77" t="str">
        <f t="shared" si="10"/>
        <v>125-150%</v>
      </c>
      <c r="N77" s="9">
        <f>MIN(H77, G77)*INDEX('2018_commission_structure'!$A$1:$I$4,
MATCH($D77, '2018_commission_structure'!$A$1:$A$4,0),
MATCH(N$1, '2018_commission_structure'!$A$1:$I$1,0))</f>
        <v>112500</v>
      </c>
      <c r="O77" s="11">
        <f>IF(G77&gt;H77, MIN(G77-H77, I77-H77)*
INDEX('2018_commission_structure'!$A$1:$I$4,
MATCH($D77, '2018_commission_structure'!$A$1:$A$4, 0),
MATCH(O$1, '2018_commission_structure'!$A$1:$I$1, 0)), 0)</f>
        <v>35625</v>
      </c>
      <c r="P77" s="11">
        <f>IF(G77&gt;H77, MIN(G77-H77, J77-H77)*
INDEX('2018_commission_structure'!$A$1:$I$4,
MATCH($D77, '2018_commission_structure'!$A$1:$A$4, 0),
MATCH(O$1, '2018_commission_structure'!$A$1:$I$1, 0)), 0)</f>
        <v>46993.08</v>
      </c>
      <c r="Q77" s="11">
        <f>IF(G77&gt;H77, MIN(G77-H77, I77-H77)*
INDEX('2018_commission_structure'!$A$1:$I$4,
MATCH($D77, '2018_commission_structure'!$A$1:$A$4, 0),
MATCH(P$1, '2018_commission_structure'!$A$1:$I$1, 0)), 0)</f>
        <v>43125</v>
      </c>
      <c r="R77" s="11">
        <f>IF(G77&gt;K77, (G77-K77) *
INDEX('2018_commission_structure'!$A$1:$I$4,
MATCH($D77, '2018_commission_structure'!$A$1:$A$4,0),
MATCH(R$1, '2018_commission_structure'!$A$1:$I$1,0)), 0)</f>
        <v>0</v>
      </c>
      <c r="S77" s="11">
        <f t="shared" si="11"/>
        <v>125743.08</v>
      </c>
      <c r="T77" s="11" cm="1">
        <f t="array" ref="T77">SUM(E77+O77:Q77)</f>
        <v>408694.08</v>
      </c>
    </row>
    <row r="78" spans="1:20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 xml:space="preserve"> COUNTIF(deals_closed!D:D,A78)</f>
        <v>19</v>
      </c>
      <c r="G78" s="5">
        <f>SUMIF(deals_closed!D:D, calculations!A78, deals_closed!C:C)</f>
        <v>762516</v>
      </c>
      <c r="H78" s="5">
        <f>VLOOKUP(D78,'2018_commission_structure'!$A$2:$I$4,9,FALSE)</f>
        <v>500000</v>
      </c>
      <c r="I78" s="9">
        <f t="shared" si="6"/>
        <v>625000</v>
      </c>
      <c r="J78" s="8">
        <f t="shared" si="7"/>
        <v>750000</v>
      </c>
      <c r="K78" s="9">
        <f t="shared" si="8"/>
        <v>1000000</v>
      </c>
      <c r="L78" s="10">
        <f t="shared" si="9"/>
        <v>1.5250319999999999</v>
      </c>
      <c r="M78" t="str">
        <f t="shared" si="10"/>
        <v>150-200%</v>
      </c>
      <c r="N78" s="9">
        <f>MIN(H78, G78)*INDEX('2018_commission_structure'!$A$1:$I$4,
MATCH($D78, '2018_commission_structure'!$A$1:$A$4,0),
MATCH(N$1, '2018_commission_structure'!$A$1:$I$1,0))</f>
        <v>50000</v>
      </c>
      <c r="O78" s="11">
        <f>IF(G78&gt;H78, MIN(G78-H78, I78-H78)*
INDEX('2018_commission_structure'!$A$1:$I$4,
MATCH($D78, '2018_commission_structure'!$A$1:$A$4, 0),
MATCH(O$1, '2018_commission_structure'!$A$1:$I$1, 0)), 0)</f>
        <v>18750</v>
      </c>
      <c r="P78" s="11">
        <f>IF(G78&gt;H78, MIN(G78-H78, J78-H78)*
INDEX('2018_commission_structure'!$A$1:$I$4,
MATCH($D78, '2018_commission_structure'!$A$1:$A$4, 0),
MATCH(O$1, '2018_commission_structure'!$A$1:$I$1, 0)), 0)</f>
        <v>37500</v>
      </c>
      <c r="Q78" s="11">
        <f>IF(G78&gt;H78, MIN(G78-H78, I78-H78)*
INDEX('2018_commission_structure'!$A$1:$I$4,
MATCH($D78, '2018_commission_structure'!$A$1:$A$4, 0),
MATCH(P$1, '2018_commission_structure'!$A$1:$I$1, 0)), 0)</f>
        <v>22500</v>
      </c>
      <c r="R78" s="11">
        <f>IF(G78&gt;K78, (G78-K78) *
INDEX('2018_commission_structure'!$A$1:$I$4,
MATCH($D78, '2018_commission_structure'!$A$1:$A$4,0),
MATCH(R$1, '2018_commission_structure'!$A$1:$I$1,0)), 0)</f>
        <v>0</v>
      </c>
      <c r="S78" s="11">
        <f t="shared" si="11"/>
        <v>78750</v>
      </c>
      <c r="T78" s="11" cm="1">
        <f t="array" ref="T78">SUM(E78+O78:Q78)</f>
        <v>206799</v>
      </c>
    </row>
    <row r="79" spans="1:20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 xml:space="preserve"> COUNTIF(deals_closed!D:D,A79)</f>
        <v>14</v>
      </c>
      <c r="G79" s="5">
        <f>SUMIF(deals_closed!D:D, calculations!A79, deals_closed!C:C)</f>
        <v>380502</v>
      </c>
      <c r="H79" s="5">
        <f>VLOOKUP(D79,'2018_commission_structure'!$A$2:$I$4,9,FALSE)</f>
        <v>500000</v>
      </c>
      <c r="I79" s="9">
        <f t="shared" si="6"/>
        <v>625000</v>
      </c>
      <c r="J79" s="8">
        <f t="shared" si="7"/>
        <v>750000</v>
      </c>
      <c r="K79" s="9">
        <f t="shared" si="8"/>
        <v>1000000</v>
      </c>
      <c r="L79" s="10">
        <f t="shared" si="9"/>
        <v>0.76100400000000001</v>
      </c>
      <c r="M79" t="str">
        <f t="shared" si="10"/>
        <v>0-100%</v>
      </c>
      <c r="N79" s="9">
        <f>MIN(H79, G79)*INDEX('2018_commission_structure'!$A$1:$I$4,
MATCH($D79, '2018_commission_structure'!$A$1:$A$4,0),
MATCH(N$1, '2018_commission_structure'!$A$1:$I$1,0))</f>
        <v>38050.200000000004</v>
      </c>
      <c r="O79" s="11">
        <f>IF(G79&gt;H79, MIN(G79-H79, I79-H79)*
INDEX('2018_commission_structure'!$A$1:$I$4,
MATCH($D79, '2018_commission_structure'!$A$1:$A$4, 0),
MATCH(O$1, '2018_commission_structure'!$A$1:$I$1, 0)), 0)</f>
        <v>0</v>
      </c>
      <c r="P79" s="11">
        <f>IF(G79&gt;H79, MIN(G79-H79, J79-H79)*
INDEX('2018_commission_structure'!$A$1:$I$4,
MATCH($D79, '2018_commission_structure'!$A$1:$A$4, 0),
MATCH(O$1, '2018_commission_structure'!$A$1:$I$1, 0)), 0)</f>
        <v>0</v>
      </c>
      <c r="Q79" s="11">
        <f>IF(G79&gt;H79, MIN(G79-H79, I79-H79)*
INDEX('2018_commission_structure'!$A$1:$I$4,
MATCH($D79, '2018_commission_structure'!$A$1:$A$4, 0),
MATCH(P$1, '2018_commission_structure'!$A$1:$I$1, 0)), 0)</f>
        <v>0</v>
      </c>
      <c r="R79" s="11">
        <f>IF(G79&gt;K79, (G79-K79) *
INDEX('2018_commission_structure'!$A$1:$I$4,
MATCH($D79, '2018_commission_structure'!$A$1:$A$4,0),
MATCH(R$1, '2018_commission_structure'!$A$1:$I$1,0)), 0)</f>
        <v>0</v>
      </c>
      <c r="S79" s="11">
        <f t="shared" si="11"/>
        <v>0</v>
      </c>
      <c r="T79" s="11" cm="1">
        <f t="array" ref="T79">SUM(E79+O79:Q79)</f>
        <v>194574</v>
      </c>
    </row>
    <row r="80" spans="1:20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 xml:space="preserve"> COUNTIF(deals_closed!D:D,A80)</f>
        <v>20</v>
      </c>
      <c r="G80" s="5">
        <f>SUMIF(deals_closed!D:D, calculations!A80, deals_closed!C:C)</f>
        <v>844242</v>
      </c>
      <c r="H80" s="5">
        <f>VLOOKUP(D80,'2018_commission_structure'!$A$2:$I$4,9,FALSE)</f>
        <v>600000</v>
      </c>
      <c r="I80" s="9">
        <f t="shared" si="6"/>
        <v>750000</v>
      </c>
      <c r="J80" s="8">
        <f t="shared" si="7"/>
        <v>900000</v>
      </c>
      <c r="K80" s="9">
        <f t="shared" si="8"/>
        <v>1200000</v>
      </c>
      <c r="L80" s="10">
        <f t="shared" si="9"/>
        <v>1.40707</v>
      </c>
      <c r="M80" t="str">
        <f t="shared" si="10"/>
        <v>125-150%</v>
      </c>
      <c r="N80" s="9">
        <f>MIN(H80, G80)*INDEX('2018_commission_structure'!$A$1:$I$4,
MATCH($D80, '2018_commission_structure'!$A$1:$A$4,0),
MATCH(N$1, '2018_commission_structure'!$A$1:$I$1,0))</f>
        <v>78000</v>
      </c>
      <c r="O80" s="11">
        <f>IF(G80&gt;H80, MIN(G80-H80, I80-H80)*
INDEX('2018_commission_structure'!$A$1:$I$4,
MATCH($D80, '2018_commission_structure'!$A$1:$A$4, 0),
MATCH(O$1, '2018_commission_structure'!$A$1:$I$1, 0)), 0)</f>
        <v>25500.000000000004</v>
      </c>
      <c r="P80" s="11">
        <f>IF(G80&gt;H80, MIN(G80-H80, J80-H80)*
INDEX('2018_commission_structure'!$A$1:$I$4,
MATCH($D80, '2018_commission_structure'!$A$1:$A$4, 0),
MATCH(O$1, '2018_commission_structure'!$A$1:$I$1, 0)), 0)</f>
        <v>41521.14</v>
      </c>
      <c r="Q80" s="11">
        <f>IF(G80&gt;H80, MIN(G80-H80, I80-H80)*
INDEX('2018_commission_structure'!$A$1:$I$4,
MATCH($D80, '2018_commission_structure'!$A$1:$A$4, 0),
MATCH(P$1, '2018_commission_structure'!$A$1:$I$1, 0)), 0)</f>
        <v>31500</v>
      </c>
      <c r="R80" s="11">
        <f>IF(G80&gt;K80, (G80-K80) *
INDEX('2018_commission_structure'!$A$1:$I$4,
MATCH($D80, '2018_commission_structure'!$A$1:$A$4,0),
MATCH(R$1, '2018_commission_structure'!$A$1:$I$1,0)), 0)</f>
        <v>0</v>
      </c>
      <c r="S80" s="11">
        <f t="shared" si="11"/>
        <v>98521.14</v>
      </c>
      <c r="T80" s="11" cm="1">
        <f t="array" ref="T80">SUM(E80+O80:Q80)</f>
        <v>285646.14</v>
      </c>
    </row>
    <row r="81" spans="1:20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 xml:space="preserve"> COUNTIF(deals_closed!D:D,A81)</f>
        <v>15</v>
      </c>
      <c r="G81" s="5">
        <f>SUMIF(deals_closed!D:D, calculations!A81, deals_closed!C:C)</f>
        <v>588818</v>
      </c>
      <c r="H81" s="5">
        <f>VLOOKUP(D81,'2018_commission_structure'!$A$2:$I$4,9,FALSE)</f>
        <v>750000</v>
      </c>
      <c r="I81" s="9">
        <f t="shared" si="6"/>
        <v>937500</v>
      </c>
      <c r="J81" s="8">
        <f t="shared" si="7"/>
        <v>1125000</v>
      </c>
      <c r="K81" s="9">
        <f t="shared" si="8"/>
        <v>1500000</v>
      </c>
      <c r="L81" s="10">
        <f t="shared" si="9"/>
        <v>0.78509066666666671</v>
      </c>
      <c r="M81" t="str">
        <f t="shared" si="10"/>
        <v>0-100%</v>
      </c>
      <c r="N81" s="9">
        <f>MIN(H81, G81)*INDEX('2018_commission_structure'!$A$1:$I$4,
MATCH($D81, '2018_commission_structure'!$A$1:$A$4,0),
MATCH(N$1, '2018_commission_structure'!$A$1:$I$1,0))</f>
        <v>88322.7</v>
      </c>
      <c r="O81" s="11">
        <f>IF(G81&gt;H81, MIN(G81-H81, I81-H81)*
INDEX('2018_commission_structure'!$A$1:$I$4,
MATCH($D81, '2018_commission_structure'!$A$1:$A$4, 0),
MATCH(O$1, '2018_commission_structure'!$A$1:$I$1, 0)), 0)</f>
        <v>0</v>
      </c>
      <c r="P81" s="11">
        <f>IF(G81&gt;H81, MIN(G81-H81, J81-H81)*
INDEX('2018_commission_structure'!$A$1:$I$4,
MATCH($D81, '2018_commission_structure'!$A$1:$A$4, 0),
MATCH(O$1, '2018_commission_structure'!$A$1:$I$1, 0)), 0)</f>
        <v>0</v>
      </c>
      <c r="Q81" s="11">
        <f>IF(G81&gt;H81, MIN(G81-H81, I81-H81)*
INDEX('2018_commission_structure'!$A$1:$I$4,
MATCH($D81, '2018_commission_structure'!$A$1:$A$4, 0),
MATCH(P$1, '2018_commission_structure'!$A$1:$I$1, 0)), 0)</f>
        <v>0</v>
      </c>
      <c r="R81" s="11">
        <f>IF(G81&gt;K81, (G81-K81) *
INDEX('2018_commission_structure'!$A$1:$I$4,
MATCH($D81, '2018_commission_structure'!$A$1:$A$4,0),
MATCH(R$1, '2018_commission_structure'!$A$1:$I$1,0)), 0)</f>
        <v>0</v>
      </c>
      <c r="S81" s="11">
        <f t="shared" si="11"/>
        <v>0</v>
      </c>
      <c r="T81" s="11" cm="1">
        <f t="array" ref="T81">SUM(E81+O81:Q81)</f>
        <v>374100</v>
      </c>
    </row>
    <row r="82" spans="1:20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 xml:space="preserve"> COUNTIF(deals_closed!D:D,A82)</f>
        <v>21</v>
      </c>
      <c r="G82" s="5">
        <f>SUMIF(deals_closed!D:D, calculations!A82, deals_closed!C:C)</f>
        <v>709663</v>
      </c>
      <c r="H82" s="5">
        <f>VLOOKUP(D82,'2018_commission_structure'!$A$2:$I$4,9,FALSE)</f>
        <v>750000</v>
      </c>
      <c r="I82" s="9">
        <f t="shared" si="6"/>
        <v>937500</v>
      </c>
      <c r="J82" s="8">
        <f t="shared" si="7"/>
        <v>1125000</v>
      </c>
      <c r="K82" s="9">
        <f t="shared" si="8"/>
        <v>1500000</v>
      </c>
      <c r="L82" s="10">
        <f t="shared" si="9"/>
        <v>0.94621733333333335</v>
      </c>
      <c r="M82" t="str">
        <f t="shared" si="10"/>
        <v>0-100%</v>
      </c>
      <c r="N82" s="9">
        <f>MIN(H82, G82)*INDEX('2018_commission_structure'!$A$1:$I$4,
MATCH($D82, '2018_commission_structure'!$A$1:$A$4,0),
MATCH(N$1, '2018_commission_structure'!$A$1:$I$1,0))</f>
        <v>106449.45</v>
      </c>
      <c r="O82" s="11">
        <f>IF(G82&gt;H82, MIN(G82-H82, I82-H82)*
INDEX('2018_commission_structure'!$A$1:$I$4,
MATCH($D82, '2018_commission_structure'!$A$1:$A$4, 0),
MATCH(O$1, '2018_commission_structure'!$A$1:$I$1, 0)), 0)</f>
        <v>0</v>
      </c>
      <c r="P82" s="11">
        <f>IF(G82&gt;H82, MIN(G82-H82, J82-H82)*
INDEX('2018_commission_structure'!$A$1:$I$4,
MATCH($D82, '2018_commission_structure'!$A$1:$A$4, 0),
MATCH(O$1, '2018_commission_structure'!$A$1:$I$1, 0)), 0)</f>
        <v>0</v>
      </c>
      <c r="Q82" s="11">
        <f>IF(G82&gt;H82, MIN(G82-H82, I82-H82)*
INDEX('2018_commission_structure'!$A$1:$I$4,
MATCH($D82, '2018_commission_structure'!$A$1:$A$4, 0),
MATCH(P$1, '2018_commission_structure'!$A$1:$I$1, 0)), 0)</f>
        <v>0</v>
      </c>
      <c r="R82" s="11">
        <f>IF(G82&gt;K82, (G82-K82) *
INDEX('2018_commission_structure'!$A$1:$I$4,
MATCH($D82, '2018_commission_structure'!$A$1:$A$4,0),
MATCH(R$1, '2018_commission_structure'!$A$1:$I$1,0)), 0)</f>
        <v>0</v>
      </c>
      <c r="S82" s="11">
        <f t="shared" si="11"/>
        <v>0</v>
      </c>
      <c r="T82" s="11" cm="1">
        <f t="array" ref="T82">SUM(E82+O82:Q82)</f>
        <v>342552</v>
      </c>
    </row>
    <row r="83" spans="1:20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 xml:space="preserve"> COUNTIF(deals_closed!D:D,A83)</f>
        <v>18</v>
      </c>
      <c r="G83" s="5">
        <f>SUMIF(deals_closed!D:D, calculations!A83, deals_closed!C:C)</f>
        <v>614970</v>
      </c>
      <c r="H83" s="5">
        <f>VLOOKUP(D83,'2018_commission_structure'!$A$2:$I$4,9,FALSE)</f>
        <v>750000</v>
      </c>
      <c r="I83" s="9">
        <f t="shared" si="6"/>
        <v>937500</v>
      </c>
      <c r="J83" s="8">
        <f t="shared" si="7"/>
        <v>1125000</v>
      </c>
      <c r="K83" s="9">
        <f t="shared" si="8"/>
        <v>1500000</v>
      </c>
      <c r="L83" s="10">
        <f t="shared" si="9"/>
        <v>0.81996000000000002</v>
      </c>
      <c r="M83" t="str">
        <f t="shared" si="10"/>
        <v>0-100%</v>
      </c>
      <c r="N83" s="9">
        <f>MIN(H83, G83)*INDEX('2018_commission_structure'!$A$1:$I$4,
MATCH($D83, '2018_commission_structure'!$A$1:$A$4,0),
MATCH(N$1, '2018_commission_structure'!$A$1:$I$1,0))</f>
        <v>92245.5</v>
      </c>
      <c r="O83" s="11">
        <f>IF(G83&gt;H83, MIN(G83-H83, I83-H83)*
INDEX('2018_commission_structure'!$A$1:$I$4,
MATCH($D83, '2018_commission_structure'!$A$1:$A$4, 0),
MATCH(O$1, '2018_commission_structure'!$A$1:$I$1, 0)), 0)</f>
        <v>0</v>
      </c>
      <c r="P83" s="11">
        <f>IF(G83&gt;H83, MIN(G83-H83, J83-H83)*
INDEX('2018_commission_structure'!$A$1:$I$4,
MATCH($D83, '2018_commission_structure'!$A$1:$A$4, 0),
MATCH(O$1, '2018_commission_structure'!$A$1:$I$1, 0)), 0)</f>
        <v>0</v>
      </c>
      <c r="Q83" s="11">
        <f>IF(G83&gt;H83, MIN(G83-H83, I83-H83)*
INDEX('2018_commission_structure'!$A$1:$I$4,
MATCH($D83, '2018_commission_structure'!$A$1:$A$4, 0),
MATCH(P$1, '2018_commission_structure'!$A$1:$I$1, 0)), 0)</f>
        <v>0</v>
      </c>
      <c r="R83" s="11">
        <f>IF(G83&gt;K83, (G83-K83) *
INDEX('2018_commission_structure'!$A$1:$I$4,
MATCH($D83, '2018_commission_structure'!$A$1:$A$4,0),
MATCH(R$1, '2018_commission_structure'!$A$1:$I$1,0)), 0)</f>
        <v>0</v>
      </c>
      <c r="S83" s="11">
        <f t="shared" si="11"/>
        <v>0</v>
      </c>
      <c r="T83" s="11" cm="1">
        <f t="array" ref="T83">SUM(E83+O83:Q83)</f>
        <v>271890</v>
      </c>
    </row>
    <row r="84" spans="1:20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 xml:space="preserve"> COUNTIF(deals_closed!D:D,A84)</f>
        <v>24</v>
      </c>
      <c r="G84" s="5">
        <f>SUMIF(deals_closed!D:D, calculations!A84, deals_closed!C:C)</f>
        <v>971092</v>
      </c>
      <c r="H84" s="5">
        <f>VLOOKUP(D84,'2018_commission_structure'!$A$2:$I$4,9,FALSE)</f>
        <v>600000</v>
      </c>
      <c r="I84" s="9">
        <f t="shared" si="6"/>
        <v>750000</v>
      </c>
      <c r="J84" s="8">
        <f t="shared" si="7"/>
        <v>900000</v>
      </c>
      <c r="K84" s="9">
        <f t="shared" si="8"/>
        <v>1200000</v>
      </c>
      <c r="L84" s="10">
        <f t="shared" si="9"/>
        <v>1.6184866666666666</v>
      </c>
      <c r="M84" t="str">
        <f t="shared" si="10"/>
        <v>150-200%</v>
      </c>
      <c r="N84" s="9">
        <f>MIN(H84, G84)*INDEX('2018_commission_structure'!$A$1:$I$4,
MATCH($D84, '2018_commission_structure'!$A$1:$A$4,0),
MATCH(N$1, '2018_commission_structure'!$A$1:$I$1,0))</f>
        <v>78000</v>
      </c>
      <c r="O84" s="11">
        <f>IF(G84&gt;H84, MIN(G84-H84, I84-H84)*
INDEX('2018_commission_structure'!$A$1:$I$4,
MATCH($D84, '2018_commission_structure'!$A$1:$A$4, 0),
MATCH(O$1, '2018_commission_structure'!$A$1:$I$1, 0)), 0)</f>
        <v>25500.000000000004</v>
      </c>
      <c r="P84" s="11">
        <f>IF(G84&gt;H84, MIN(G84-H84, J84-H84)*
INDEX('2018_commission_structure'!$A$1:$I$4,
MATCH($D84, '2018_commission_structure'!$A$1:$A$4, 0),
MATCH(O$1, '2018_commission_structure'!$A$1:$I$1, 0)), 0)</f>
        <v>51000.000000000007</v>
      </c>
      <c r="Q84" s="11">
        <f>IF(G84&gt;H84, MIN(G84-H84, I84-H84)*
INDEX('2018_commission_structure'!$A$1:$I$4,
MATCH($D84, '2018_commission_structure'!$A$1:$A$4, 0),
MATCH(P$1, '2018_commission_structure'!$A$1:$I$1, 0)), 0)</f>
        <v>31500</v>
      </c>
      <c r="R84" s="11">
        <f>IF(G84&gt;K84, (G84-K84) *
INDEX('2018_commission_structure'!$A$1:$I$4,
MATCH($D84, '2018_commission_structure'!$A$1:$A$4,0),
MATCH(R$1, '2018_commission_structure'!$A$1:$I$1,0)), 0)</f>
        <v>0</v>
      </c>
      <c r="S84" s="11">
        <f t="shared" si="11"/>
        <v>108000.00000000001</v>
      </c>
      <c r="T84" s="11" cm="1">
        <f t="array" ref="T84">SUM(E84+O84:Q84)</f>
        <v>335634</v>
      </c>
    </row>
    <row r="85" spans="1:20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 xml:space="preserve"> COUNTIF(deals_closed!D:D,A85)</f>
        <v>19</v>
      </c>
      <c r="G85" s="5">
        <f>SUMIF(deals_closed!D:D, calculations!A85, deals_closed!C:C)</f>
        <v>632643</v>
      </c>
      <c r="H85" s="5">
        <f>VLOOKUP(D85,'2018_commission_structure'!$A$2:$I$4,9,FALSE)</f>
        <v>500000</v>
      </c>
      <c r="I85" s="9">
        <f t="shared" si="6"/>
        <v>625000</v>
      </c>
      <c r="J85" s="8">
        <f t="shared" si="7"/>
        <v>750000</v>
      </c>
      <c r="K85" s="9">
        <f t="shared" si="8"/>
        <v>1000000</v>
      </c>
      <c r="L85" s="10">
        <f t="shared" si="9"/>
        <v>1.2652859999999999</v>
      </c>
      <c r="M85" t="str">
        <f t="shared" si="10"/>
        <v>125-150%</v>
      </c>
      <c r="N85" s="9">
        <f>MIN(H85, G85)*INDEX('2018_commission_structure'!$A$1:$I$4,
MATCH($D85, '2018_commission_structure'!$A$1:$A$4,0),
MATCH(N$1, '2018_commission_structure'!$A$1:$I$1,0))</f>
        <v>50000</v>
      </c>
      <c r="O85" s="11">
        <f>IF(G85&gt;H85, MIN(G85-H85, I85-H85)*
INDEX('2018_commission_structure'!$A$1:$I$4,
MATCH($D85, '2018_commission_structure'!$A$1:$A$4, 0),
MATCH(O$1, '2018_commission_structure'!$A$1:$I$1, 0)), 0)</f>
        <v>18750</v>
      </c>
      <c r="P85" s="11">
        <f>IF(G85&gt;H85, MIN(G85-H85, J85-H85)*
INDEX('2018_commission_structure'!$A$1:$I$4,
MATCH($D85, '2018_commission_structure'!$A$1:$A$4, 0),
MATCH(O$1, '2018_commission_structure'!$A$1:$I$1, 0)), 0)</f>
        <v>19896.45</v>
      </c>
      <c r="Q85" s="11">
        <f>IF(G85&gt;H85, MIN(G85-H85, I85-H85)*
INDEX('2018_commission_structure'!$A$1:$I$4,
MATCH($D85, '2018_commission_structure'!$A$1:$A$4, 0),
MATCH(P$1, '2018_commission_structure'!$A$1:$I$1, 0)), 0)</f>
        <v>22500</v>
      </c>
      <c r="R85" s="11">
        <f>IF(G85&gt;K85, (G85-K85) *
INDEX('2018_commission_structure'!$A$1:$I$4,
MATCH($D85, '2018_commission_structure'!$A$1:$A$4,0),
MATCH(R$1, '2018_commission_structure'!$A$1:$I$1,0)), 0)</f>
        <v>0</v>
      </c>
      <c r="S85" s="11">
        <f t="shared" si="11"/>
        <v>61146.45</v>
      </c>
      <c r="T85" s="11" cm="1">
        <f t="array" ref="T85">SUM(E85+O85:Q85)</f>
        <v>216771.45</v>
      </c>
    </row>
    <row r="86" spans="1:20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 xml:space="preserve"> COUNTIF(deals_closed!D:D,A86)</f>
        <v>26</v>
      </c>
      <c r="G86" s="5">
        <f>SUMIF(deals_closed!D:D, calculations!A86, deals_closed!C:C)</f>
        <v>1001970</v>
      </c>
      <c r="H86" s="5">
        <f>VLOOKUP(D86,'2018_commission_structure'!$A$2:$I$4,9,FALSE)</f>
        <v>500000</v>
      </c>
      <c r="I86" s="9">
        <f t="shared" si="6"/>
        <v>625000</v>
      </c>
      <c r="J86" s="8">
        <f t="shared" si="7"/>
        <v>750000</v>
      </c>
      <c r="K86" s="9">
        <f t="shared" si="8"/>
        <v>1000000</v>
      </c>
      <c r="L86" s="10">
        <f t="shared" si="9"/>
        <v>2.0039400000000001</v>
      </c>
      <c r="M86" t="str">
        <f t="shared" si="10"/>
        <v>&gt;200%</v>
      </c>
      <c r="N86" s="9">
        <f>MIN(H86, G86)*INDEX('2018_commission_structure'!$A$1:$I$4,
MATCH($D86, '2018_commission_structure'!$A$1:$A$4,0),
MATCH(N$1, '2018_commission_structure'!$A$1:$I$1,0))</f>
        <v>50000</v>
      </c>
      <c r="O86" s="11">
        <f>IF(G86&gt;H86, MIN(G86-H86, I86-H86)*
INDEX('2018_commission_structure'!$A$1:$I$4,
MATCH($D86, '2018_commission_structure'!$A$1:$A$4, 0),
MATCH(O$1, '2018_commission_structure'!$A$1:$I$1, 0)), 0)</f>
        <v>18750</v>
      </c>
      <c r="P86" s="11">
        <f>IF(G86&gt;H86, MIN(G86-H86, J86-H86)*
INDEX('2018_commission_structure'!$A$1:$I$4,
MATCH($D86, '2018_commission_structure'!$A$1:$A$4, 0),
MATCH(O$1, '2018_commission_structure'!$A$1:$I$1, 0)), 0)</f>
        <v>37500</v>
      </c>
      <c r="Q86" s="11">
        <f>IF(G86&gt;H86, MIN(G86-H86, I86-H86)*
INDEX('2018_commission_structure'!$A$1:$I$4,
MATCH($D86, '2018_commission_structure'!$A$1:$A$4, 0),
MATCH(P$1, '2018_commission_structure'!$A$1:$I$1, 0)), 0)</f>
        <v>22500</v>
      </c>
      <c r="R86" s="11">
        <f>IF(G86&gt;K86, (G86-K86) *
INDEX('2018_commission_structure'!$A$1:$I$4,
MATCH($D86, '2018_commission_structure'!$A$1:$A$4,0),
MATCH(R$1, '2018_commission_structure'!$A$1:$I$1,0)), 0)</f>
        <v>197</v>
      </c>
      <c r="S86" s="11">
        <f t="shared" si="11"/>
        <v>78750</v>
      </c>
      <c r="T86" s="11" cm="1">
        <f t="array" ref="T86">SUM(E86+O86:Q86)</f>
        <v>235083</v>
      </c>
    </row>
    <row r="87" spans="1:20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 xml:space="preserve"> COUNTIF(deals_closed!D:D,A87)</f>
        <v>15</v>
      </c>
      <c r="G87" s="5">
        <f>SUMIF(deals_closed!D:D, calculations!A87, deals_closed!C:C)</f>
        <v>428438</v>
      </c>
      <c r="H87" s="5">
        <f>VLOOKUP(D87,'2018_commission_structure'!$A$2:$I$4,9,FALSE)</f>
        <v>600000</v>
      </c>
      <c r="I87" s="9">
        <f t="shared" si="6"/>
        <v>750000</v>
      </c>
      <c r="J87" s="8">
        <f t="shared" si="7"/>
        <v>900000</v>
      </c>
      <c r="K87" s="9">
        <f t="shared" si="8"/>
        <v>1200000</v>
      </c>
      <c r="L87" s="10">
        <f t="shared" si="9"/>
        <v>0.71406333333333338</v>
      </c>
      <c r="M87" t="str">
        <f t="shared" si="10"/>
        <v>0-100%</v>
      </c>
      <c r="N87" s="9">
        <f>MIN(H87, G87)*INDEX('2018_commission_structure'!$A$1:$I$4,
MATCH($D87, '2018_commission_structure'!$A$1:$A$4,0),
MATCH(N$1, '2018_commission_structure'!$A$1:$I$1,0))</f>
        <v>55696.94</v>
      </c>
      <c r="O87" s="11">
        <f>IF(G87&gt;H87, MIN(G87-H87, I87-H87)*
INDEX('2018_commission_structure'!$A$1:$I$4,
MATCH($D87, '2018_commission_structure'!$A$1:$A$4, 0),
MATCH(O$1, '2018_commission_structure'!$A$1:$I$1, 0)), 0)</f>
        <v>0</v>
      </c>
      <c r="P87" s="11">
        <f>IF(G87&gt;H87, MIN(G87-H87, J87-H87)*
INDEX('2018_commission_structure'!$A$1:$I$4,
MATCH($D87, '2018_commission_structure'!$A$1:$A$4, 0),
MATCH(O$1, '2018_commission_structure'!$A$1:$I$1, 0)), 0)</f>
        <v>0</v>
      </c>
      <c r="Q87" s="11">
        <f>IF(G87&gt;H87, MIN(G87-H87, I87-H87)*
INDEX('2018_commission_structure'!$A$1:$I$4,
MATCH($D87, '2018_commission_structure'!$A$1:$A$4, 0),
MATCH(P$1, '2018_commission_structure'!$A$1:$I$1, 0)), 0)</f>
        <v>0</v>
      </c>
      <c r="R87" s="11">
        <f>IF(G87&gt;K87, (G87-K87) *
INDEX('2018_commission_structure'!$A$1:$I$4,
MATCH($D87, '2018_commission_structure'!$A$1:$A$4,0),
MATCH(R$1, '2018_commission_structure'!$A$1:$I$1,0)), 0)</f>
        <v>0</v>
      </c>
      <c r="S87" s="11">
        <f t="shared" si="11"/>
        <v>0</v>
      </c>
      <c r="T87" s="11" cm="1">
        <f t="array" ref="T87">SUM(E87+O87:Q87)</f>
        <v>166803</v>
      </c>
    </row>
    <row r="88" spans="1:20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 xml:space="preserve"> COUNTIF(deals_closed!D:D,A88)</f>
        <v>21</v>
      </c>
      <c r="G88" s="5">
        <f>SUMIF(deals_closed!D:D, calculations!A88, deals_closed!C:C)</f>
        <v>807637</v>
      </c>
      <c r="H88" s="5">
        <f>VLOOKUP(D88,'2018_commission_structure'!$A$2:$I$4,9,FALSE)</f>
        <v>500000</v>
      </c>
      <c r="I88" s="9">
        <f t="shared" si="6"/>
        <v>625000</v>
      </c>
      <c r="J88" s="8">
        <f t="shared" si="7"/>
        <v>750000</v>
      </c>
      <c r="K88" s="9">
        <f t="shared" si="8"/>
        <v>1000000</v>
      </c>
      <c r="L88" s="10">
        <f t="shared" si="9"/>
        <v>1.6152740000000001</v>
      </c>
      <c r="M88" t="str">
        <f t="shared" si="10"/>
        <v>150-200%</v>
      </c>
      <c r="N88" s="9">
        <f>MIN(H88, G88)*INDEX('2018_commission_structure'!$A$1:$I$4,
MATCH($D88, '2018_commission_structure'!$A$1:$A$4,0),
MATCH(N$1, '2018_commission_structure'!$A$1:$I$1,0))</f>
        <v>50000</v>
      </c>
      <c r="O88" s="11">
        <f>IF(G88&gt;H88, MIN(G88-H88, I88-H88)*
INDEX('2018_commission_structure'!$A$1:$I$4,
MATCH($D88, '2018_commission_structure'!$A$1:$A$4, 0),
MATCH(O$1, '2018_commission_structure'!$A$1:$I$1, 0)), 0)</f>
        <v>18750</v>
      </c>
      <c r="P88" s="11">
        <f>IF(G88&gt;H88, MIN(G88-H88, J88-H88)*
INDEX('2018_commission_structure'!$A$1:$I$4,
MATCH($D88, '2018_commission_structure'!$A$1:$A$4, 0),
MATCH(O$1, '2018_commission_structure'!$A$1:$I$1, 0)), 0)</f>
        <v>37500</v>
      </c>
      <c r="Q88" s="11">
        <f>IF(G88&gt;H88, MIN(G88-H88, I88-H88)*
INDEX('2018_commission_structure'!$A$1:$I$4,
MATCH($D88, '2018_commission_structure'!$A$1:$A$4, 0),
MATCH(P$1, '2018_commission_structure'!$A$1:$I$1, 0)), 0)</f>
        <v>22500</v>
      </c>
      <c r="R88" s="11">
        <f>IF(G88&gt;K88, (G88-K88) *
INDEX('2018_commission_structure'!$A$1:$I$4,
MATCH($D88, '2018_commission_structure'!$A$1:$A$4,0),
MATCH(R$1, '2018_commission_structure'!$A$1:$I$1,0)), 0)</f>
        <v>0</v>
      </c>
      <c r="S88" s="11">
        <f t="shared" si="11"/>
        <v>78750</v>
      </c>
      <c r="T88" s="11" cm="1">
        <f t="array" ref="T88">SUM(E88+O88:Q88)</f>
        <v>205716</v>
      </c>
    </row>
    <row r="89" spans="1:20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 xml:space="preserve"> COUNTIF(deals_closed!D:D,A89)</f>
        <v>21</v>
      </c>
      <c r="G89" s="5">
        <f>SUMIF(deals_closed!D:D, calculations!A89, deals_closed!C:C)</f>
        <v>599671</v>
      </c>
      <c r="H89" s="5">
        <f>VLOOKUP(D89,'2018_commission_structure'!$A$2:$I$4,9,FALSE)</f>
        <v>500000</v>
      </c>
      <c r="I89" s="9">
        <f t="shared" si="6"/>
        <v>625000</v>
      </c>
      <c r="J89" s="8">
        <f t="shared" si="7"/>
        <v>750000</v>
      </c>
      <c r="K89" s="9">
        <f t="shared" si="8"/>
        <v>1000000</v>
      </c>
      <c r="L89" s="10">
        <f t="shared" si="9"/>
        <v>1.1993419999999999</v>
      </c>
      <c r="M89" t="str">
        <f t="shared" si="10"/>
        <v>100-125%</v>
      </c>
      <c r="N89" s="9">
        <f>MIN(H89, G89)*INDEX('2018_commission_structure'!$A$1:$I$4,
MATCH($D89, '2018_commission_structure'!$A$1:$A$4,0),
MATCH(N$1, '2018_commission_structure'!$A$1:$I$1,0))</f>
        <v>50000</v>
      </c>
      <c r="O89" s="11">
        <f>IF(G89&gt;H89, MIN(G89-H89, I89-H89)*
INDEX('2018_commission_structure'!$A$1:$I$4,
MATCH($D89, '2018_commission_structure'!$A$1:$A$4, 0),
MATCH(O$1, '2018_commission_structure'!$A$1:$I$1, 0)), 0)</f>
        <v>14950.65</v>
      </c>
      <c r="P89" s="11">
        <f>IF(G89&gt;H89, MIN(G89-H89, J89-H89)*
INDEX('2018_commission_structure'!$A$1:$I$4,
MATCH($D89, '2018_commission_structure'!$A$1:$A$4, 0),
MATCH(O$1, '2018_commission_structure'!$A$1:$I$1, 0)), 0)</f>
        <v>14950.65</v>
      </c>
      <c r="Q89" s="11">
        <f>IF(G89&gt;H89, MIN(G89-H89, I89-H89)*
INDEX('2018_commission_structure'!$A$1:$I$4,
MATCH($D89, '2018_commission_structure'!$A$1:$A$4, 0),
MATCH(P$1, '2018_commission_structure'!$A$1:$I$1, 0)), 0)</f>
        <v>17940.78</v>
      </c>
      <c r="R89" s="11">
        <f>IF(G89&gt;K89, (G89-K89) *
INDEX('2018_commission_structure'!$A$1:$I$4,
MATCH($D89, '2018_commission_structure'!$A$1:$A$4,0),
MATCH(R$1, '2018_commission_structure'!$A$1:$I$1,0)), 0)</f>
        <v>0</v>
      </c>
      <c r="S89" s="11">
        <f t="shared" si="11"/>
        <v>47842.080000000002</v>
      </c>
      <c r="T89" s="11" cm="1">
        <f t="array" ref="T89">SUM(E89+O89:Q89)</f>
        <v>158980.08000000002</v>
      </c>
    </row>
    <row r="90" spans="1:20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 xml:space="preserve"> COUNTIF(deals_closed!D:D,A90)</f>
        <v>35</v>
      </c>
      <c r="G90" s="5">
        <f>SUMIF(deals_closed!D:D, calculations!A90, deals_closed!C:C)</f>
        <v>1230202</v>
      </c>
      <c r="H90" s="5">
        <f>VLOOKUP(D90,'2018_commission_structure'!$A$2:$I$4,9,FALSE)</f>
        <v>500000</v>
      </c>
      <c r="I90" s="9">
        <f t="shared" si="6"/>
        <v>625000</v>
      </c>
      <c r="J90" s="8">
        <f t="shared" si="7"/>
        <v>750000</v>
      </c>
      <c r="K90" s="9">
        <f t="shared" si="8"/>
        <v>1000000</v>
      </c>
      <c r="L90" s="10">
        <f t="shared" si="9"/>
        <v>2.460404</v>
      </c>
      <c r="M90" t="str">
        <f t="shared" si="10"/>
        <v>&gt;200%</v>
      </c>
      <c r="N90" s="9">
        <f>MIN(H90, G90)*INDEX('2018_commission_structure'!$A$1:$I$4,
MATCH($D90, '2018_commission_structure'!$A$1:$A$4,0),
MATCH(N$1, '2018_commission_structure'!$A$1:$I$1,0))</f>
        <v>50000</v>
      </c>
      <c r="O90" s="11">
        <f>IF(G90&gt;H90, MIN(G90-H90, I90-H90)*
INDEX('2018_commission_structure'!$A$1:$I$4,
MATCH($D90, '2018_commission_structure'!$A$1:$A$4, 0),
MATCH(O$1, '2018_commission_structure'!$A$1:$I$1, 0)), 0)</f>
        <v>18750</v>
      </c>
      <c r="P90" s="11">
        <f>IF(G90&gt;H90, MIN(G90-H90, J90-H90)*
INDEX('2018_commission_structure'!$A$1:$I$4,
MATCH($D90, '2018_commission_structure'!$A$1:$A$4, 0),
MATCH(O$1, '2018_commission_structure'!$A$1:$I$1, 0)), 0)</f>
        <v>37500</v>
      </c>
      <c r="Q90" s="11">
        <f>IF(G90&gt;H90, MIN(G90-H90, I90-H90)*
INDEX('2018_commission_structure'!$A$1:$I$4,
MATCH($D90, '2018_commission_structure'!$A$1:$A$4, 0),
MATCH(P$1, '2018_commission_structure'!$A$1:$I$1, 0)), 0)</f>
        <v>22500</v>
      </c>
      <c r="R90" s="11">
        <f>IF(G90&gt;K90, (G90-K90) *
INDEX('2018_commission_structure'!$A$1:$I$4,
MATCH($D90, '2018_commission_structure'!$A$1:$A$4,0),
MATCH(R$1, '2018_commission_structure'!$A$1:$I$1,0)), 0)</f>
        <v>23020.2</v>
      </c>
      <c r="S90" s="11">
        <f t="shared" si="11"/>
        <v>78750</v>
      </c>
      <c r="T90" s="11" cm="1">
        <f t="array" ref="T90">SUM(E90+O90:Q90)</f>
        <v>213285</v>
      </c>
    </row>
    <row r="91" spans="1:20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 xml:space="preserve"> COUNTIF(deals_closed!D:D,A91)</f>
        <v>12</v>
      </c>
      <c r="G91" s="5">
        <f>SUMIF(deals_closed!D:D, calculations!A91, deals_closed!C:C)</f>
        <v>417788</v>
      </c>
      <c r="H91" s="5">
        <f>VLOOKUP(D91,'2018_commission_structure'!$A$2:$I$4,9,FALSE)</f>
        <v>750000</v>
      </c>
      <c r="I91" s="9">
        <f t="shared" si="6"/>
        <v>937500</v>
      </c>
      <c r="J91" s="8">
        <f t="shared" si="7"/>
        <v>1125000</v>
      </c>
      <c r="K91" s="9">
        <f t="shared" si="8"/>
        <v>1500000</v>
      </c>
      <c r="L91" s="10">
        <f t="shared" si="9"/>
        <v>0.55705066666666669</v>
      </c>
      <c r="M91" t="str">
        <f t="shared" si="10"/>
        <v>0-100%</v>
      </c>
      <c r="N91" s="9">
        <f>MIN(H91, G91)*INDEX('2018_commission_structure'!$A$1:$I$4,
MATCH($D91, '2018_commission_structure'!$A$1:$A$4,0),
MATCH(N$1, '2018_commission_structure'!$A$1:$I$1,0))</f>
        <v>62668.2</v>
      </c>
      <c r="O91" s="11">
        <f>IF(G91&gt;H91, MIN(G91-H91, I91-H91)*
INDEX('2018_commission_structure'!$A$1:$I$4,
MATCH($D91, '2018_commission_structure'!$A$1:$A$4, 0),
MATCH(O$1, '2018_commission_structure'!$A$1:$I$1, 0)), 0)</f>
        <v>0</v>
      </c>
      <c r="P91" s="11">
        <f>IF(G91&gt;H91, MIN(G91-H91, J91-H91)*
INDEX('2018_commission_structure'!$A$1:$I$4,
MATCH($D91, '2018_commission_structure'!$A$1:$A$4, 0),
MATCH(O$1, '2018_commission_structure'!$A$1:$I$1, 0)), 0)</f>
        <v>0</v>
      </c>
      <c r="Q91" s="11">
        <f>IF(G91&gt;H91, MIN(G91-H91, I91-H91)*
INDEX('2018_commission_structure'!$A$1:$I$4,
MATCH($D91, '2018_commission_structure'!$A$1:$A$4, 0),
MATCH(P$1, '2018_commission_structure'!$A$1:$I$1, 0)), 0)</f>
        <v>0</v>
      </c>
      <c r="R91" s="11">
        <f>IF(G91&gt;K91, (G91-K91) *
INDEX('2018_commission_structure'!$A$1:$I$4,
MATCH($D91, '2018_commission_structure'!$A$1:$A$4,0),
MATCH(R$1, '2018_commission_structure'!$A$1:$I$1,0)), 0)</f>
        <v>0</v>
      </c>
      <c r="S91" s="11">
        <f t="shared" si="11"/>
        <v>0</v>
      </c>
      <c r="T91" s="11" cm="1">
        <f t="array" ref="T91">SUM(E91+O91:Q91)</f>
        <v>233349</v>
      </c>
    </row>
    <row r="92" spans="1:20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 xml:space="preserve"> COUNTIF(deals_closed!D:D,A92)</f>
        <v>20</v>
      </c>
      <c r="G92" s="5">
        <f>SUMIF(deals_closed!D:D, calculations!A92, deals_closed!C:C)</f>
        <v>774805</v>
      </c>
      <c r="H92" s="5">
        <f>VLOOKUP(D92,'2018_commission_structure'!$A$2:$I$4,9,FALSE)</f>
        <v>600000</v>
      </c>
      <c r="I92" s="9">
        <f t="shared" si="6"/>
        <v>750000</v>
      </c>
      <c r="J92" s="8">
        <f t="shared" si="7"/>
        <v>900000</v>
      </c>
      <c r="K92" s="9">
        <f t="shared" si="8"/>
        <v>1200000</v>
      </c>
      <c r="L92" s="10">
        <f t="shared" si="9"/>
        <v>1.2913416666666666</v>
      </c>
      <c r="M92" t="str">
        <f t="shared" si="10"/>
        <v>125-150%</v>
      </c>
      <c r="N92" s="9">
        <f>MIN(H92, G92)*INDEX('2018_commission_structure'!$A$1:$I$4,
MATCH($D92, '2018_commission_structure'!$A$1:$A$4,0),
MATCH(N$1, '2018_commission_structure'!$A$1:$I$1,0))</f>
        <v>78000</v>
      </c>
      <c r="O92" s="11">
        <f>IF(G92&gt;H92, MIN(G92-H92, I92-H92)*
INDEX('2018_commission_structure'!$A$1:$I$4,
MATCH($D92, '2018_commission_structure'!$A$1:$A$4, 0),
MATCH(O$1, '2018_commission_structure'!$A$1:$I$1, 0)), 0)</f>
        <v>25500.000000000004</v>
      </c>
      <c r="P92" s="11">
        <f>IF(G92&gt;H92, MIN(G92-H92, J92-H92)*
INDEX('2018_commission_structure'!$A$1:$I$4,
MATCH($D92, '2018_commission_structure'!$A$1:$A$4, 0),
MATCH(O$1, '2018_commission_structure'!$A$1:$I$1, 0)), 0)</f>
        <v>29716.850000000002</v>
      </c>
      <c r="Q92" s="11">
        <f>IF(G92&gt;H92, MIN(G92-H92, I92-H92)*
INDEX('2018_commission_structure'!$A$1:$I$4,
MATCH($D92, '2018_commission_structure'!$A$1:$A$4, 0),
MATCH(P$1, '2018_commission_structure'!$A$1:$I$1, 0)), 0)</f>
        <v>31500</v>
      </c>
      <c r="R92" s="11">
        <f>IF(G92&gt;K92, (G92-K92) *
INDEX('2018_commission_structure'!$A$1:$I$4,
MATCH($D92, '2018_commission_structure'!$A$1:$A$4,0),
MATCH(R$1, '2018_commission_structure'!$A$1:$I$1,0)), 0)</f>
        <v>0</v>
      </c>
      <c r="S92" s="11">
        <f t="shared" si="11"/>
        <v>86716.85</v>
      </c>
      <c r="T92" s="11" cm="1">
        <f t="array" ref="T92">SUM(E92+O92:Q92)</f>
        <v>253342.85</v>
      </c>
    </row>
    <row r="93" spans="1:20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 xml:space="preserve"> COUNTIF(deals_closed!D:D,A93)</f>
        <v>21</v>
      </c>
      <c r="G93" s="5">
        <f>SUMIF(deals_closed!D:D, calculations!A93, deals_closed!C:C)</f>
        <v>760918</v>
      </c>
      <c r="H93" s="5">
        <f>VLOOKUP(D93,'2018_commission_structure'!$A$2:$I$4,9,FALSE)</f>
        <v>750000</v>
      </c>
      <c r="I93" s="9">
        <f t="shared" si="6"/>
        <v>937500</v>
      </c>
      <c r="J93" s="8">
        <f t="shared" si="7"/>
        <v>1125000</v>
      </c>
      <c r="K93" s="9">
        <f t="shared" si="8"/>
        <v>1500000</v>
      </c>
      <c r="L93" s="10">
        <f t="shared" si="9"/>
        <v>1.0145573333333333</v>
      </c>
      <c r="M93" t="str">
        <f t="shared" si="10"/>
        <v>100-125%</v>
      </c>
      <c r="N93" s="9">
        <f>MIN(H93, G93)*INDEX('2018_commission_structure'!$A$1:$I$4,
MATCH($D93, '2018_commission_structure'!$A$1:$A$4,0),
MATCH(N$1, '2018_commission_structure'!$A$1:$I$1,0))</f>
        <v>112500</v>
      </c>
      <c r="O93" s="11">
        <f>IF(G93&gt;H93, MIN(G93-H93, I93-H93)*
INDEX('2018_commission_structure'!$A$1:$I$4,
MATCH($D93, '2018_commission_structure'!$A$1:$A$4, 0),
MATCH(O$1, '2018_commission_structure'!$A$1:$I$1, 0)), 0)</f>
        <v>2074.42</v>
      </c>
      <c r="P93" s="11">
        <f>IF(G93&gt;H93, MIN(G93-H93, J93-H93)*
INDEX('2018_commission_structure'!$A$1:$I$4,
MATCH($D93, '2018_commission_structure'!$A$1:$A$4, 0),
MATCH(O$1, '2018_commission_structure'!$A$1:$I$1, 0)), 0)</f>
        <v>2074.42</v>
      </c>
      <c r="Q93" s="11">
        <f>IF(G93&gt;H93, MIN(G93-H93, I93-H93)*
INDEX('2018_commission_structure'!$A$1:$I$4,
MATCH($D93, '2018_commission_structure'!$A$1:$A$4, 0),
MATCH(P$1, '2018_commission_structure'!$A$1:$I$1, 0)), 0)</f>
        <v>2511.1400000000003</v>
      </c>
      <c r="R93" s="11">
        <f>IF(G93&gt;K93, (G93-K93) *
INDEX('2018_commission_structure'!$A$1:$I$4,
MATCH($D93, '2018_commission_structure'!$A$1:$A$4,0),
MATCH(R$1, '2018_commission_structure'!$A$1:$I$1,0)), 0)</f>
        <v>0</v>
      </c>
      <c r="S93" s="11">
        <f t="shared" si="11"/>
        <v>6659.9800000000005</v>
      </c>
      <c r="T93" s="11" cm="1">
        <f t="array" ref="T93">SUM(E93+O93:Q93)</f>
        <v>338792.98</v>
      </c>
    </row>
    <row r="94" spans="1:20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 xml:space="preserve"> COUNTIF(deals_closed!D:D,A94)</f>
        <v>21</v>
      </c>
      <c r="G94" s="5">
        <f>SUMIF(deals_closed!D:D, calculations!A94, deals_closed!C:C)</f>
        <v>742017</v>
      </c>
      <c r="H94" s="5">
        <f>VLOOKUP(D94,'2018_commission_structure'!$A$2:$I$4,9,FALSE)</f>
        <v>750000</v>
      </c>
      <c r="I94" s="9">
        <f t="shared" si="6"/>
        <v>937500</v>
      </c>
      <c r="J94" s="8">
        <f t="shared" si="7"/>
        <v>1125000</v>
      </c>
      <c r="K94" s="9">
        <f t="shared" si="8"/>
        <v>1500000</v>
      </c>
      <c r="L94" s="10">
        <f t="shared" si="9"/>
        <v>0.98935600000000001</v>
      </c>
      <c r="M94" t="str">
        <f t="shared" si="10"/>
        <v>0-100%</v>
      </c>
      <c r="N94" s="9">
        <f>MIN(H94, G94)*INDEX('2018_commission_structure'!$A$1:$I$4,
MATCH($D94, '2018_commission_structure'!$A$1:$A$4,0),
MATCH(N$1, '2018_commission_structure'!$A$1:$I$1,0))</f>
        <v>111302.55</v>
      </c>
      <c r="O94" s="11">
        <f>IF(G94&gt;H94, MIN(G94-H94, I94-H94)*
INDEX('2018_commission_structure'!$A$1:$I$4,
MATCH($D94, '2018_commission_structure'!$A$1:$A$4, 0),
MATCH(O$1, '2018_commission_structure'!$A$1:$I$1, 0)), 0)</f>
        <v>0</v>
      </c>
      <c r="P94" s="11">
        <f>IF(G94&gt;H94, MIN(G94-H94, J94-H94)*
INDEX('2018_commission_structure'!$A$1:$I$4,
MATCH($D94, '2018_commission_structure'!$A$1:$A$4, 0),
MATCH(O$1, '2018_commission_structure'!$A$1:$I$1, 0)), 0)</f>
        <v>0</v>
      </c>
      <c r="Q94" s="11">
        <f>IF(G94&gt;H94, MIN(G94-H94, I94-H94)*
INDEX('2018_commission_structure'!$A$1:$I$4,
MATCH($D94, '2018_commission_structure'!$A$1:$A$4, 0),
MATCH(P$1, '2018_commission_structure'!$A$1:$I$1, 0)), 0)</f>
        <v>0</v>
      </c>
      <c r="R94" s="11">
        <f>IF(G94&gt;K94, (G94-K94) *
INDEX('2018_commission_structure'!$A$1:$I$4,
MATCH($D94, '2018_commission_structure'!$A$1:$A$4,0),
MATCH(R$1, '2018_commission_structure'!$A$1:$I$1,0)), 0)</f>
        <v>0</v>
      </c>
      <c r="S94" s="11">
        <f t="shared" si="11"/>
        <v>0</v>
      </c>
      <c r="T94" s="11" cm="1">
        <f t="array" ref="T94">SUM(E94+O94:Q94)</f>
        <v>362049</v>
      </c>
    </row>
    <row r="95" spans="1:20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 xml:space="preserve"> COUNTIF(deals_closed!D:D,A95)</f>
        <v>27</v>
      </c>
      <c r="G95" s="5">
        <f>SUMIF(deals_closed!D:D, calculations!A95, deals_closed!C:C)</f>
        <v>952586</v>
      </c>
      <c r="H95" s="5">
        <f>VLOOKUP(D95,'2018_commission_structure'!$A$2:$I$4,9,FALSE)</f>
        <v>500000</v>
      </c>
      <c r="I95" s="9">
        <f t="shared" si="6"/>
        <v>625000</v>
      </c>
      <c r="J95" s="8">
        <f t="shared" si="7"/>
        <v>750000</v>
      </c>
      <c r="K95" s="9">
        <f t="shared" si="8"/>
        <v>1000000</v>
      </c>
      <c r="L95" s="10">
        <f t="shared" si="9"/>
        <v>1.9051720000000001</v>
      </c>
      <c r="M95" t="str">
        <f t="shared" si="10"/>
        <v>150-200%</v>
      </c>
      <c r="N95" s="9">
        <f>MIN(H95, G95)*INDEX('2018_commission_structure'!$A$1:$I$4,
MATCH($D95, '2018_commission_structure'!$A$1:$A$4,0),
MATCH(N$1, '2018_commission_structure'!$A$1:$I$1,0))</f>
        <v>50000</v>
      </c>
      <c r="O95" s="11">
        <f>IF(G95&gt;H95, MIN(G95-H95, I95-H95)*
INDEX('2018_commission_structure'!$A$1:$I$4,
MATCH($D95, '2018_commission_structure'!$A$1:$A$4, 0),
MATCH(O$1, '2018_commission_structure'!$A$1:$I$1, 0)), 0)</f>
        <v>18750</v>
      </c>
      <c r="P95" s="11">
        <f>IF(G95&gt;H95, MIN(G95-H95, J95-H95)*
INDEX('2018_commission_structure'!$A$1:$I$4,
MATCH($D95, '2018_commission_structure'!$A$1:$A$4, 0),
MATCH(O$1, '2018_commission_structure'!$A$1:$I$1, 0)), 0)</f>
        <v>37500</v>
      </c>
      <c r="Q95" s="11">
        <f>IF(G95&gt;H95, MIN(G95-H95, I95-H95)*
INDEX('2018_commission_structure'!$A$1:$I$4,
MATCH($D95, '2018_commission_structure'!$A$1:$A$4, 0),
MATCH(P$1, '2018_commission_structure'!$A$1:$I$1, 0)), 0)</f>
        <v>22500</v>
      </c>
      <c r="R95" s="11">
        <f>IF(G95&gt;K95, (G95-K95) *
INDEX('2018_commission_structure'!$A$1:$I$4,
MATCH($D95, '2018_commission_structure'!$A$1:$A$4,0),
MATCH(R$1, '2018_commission_structure'!$A$1:$I$1,0)), 0)</f>
        <v>0</v>
      </c>
      <c r="S95" s="11">
        <f t="shared" si="11"/>
        <v>78750</v>
      </c>
      <c r="T95" s="11" cm="1">
        <f t="array" ref="T95">SUM(E95+O95:Q95)</f>
        <v>210366</v>
      </c>
    </row>
    <row r="96" spans="1:20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 xml:space="preserve"> COUNTIF(deals_closed!D:D,A96)</f>
        <v>18</v>
      </c>
      <c r="G96" s="5">
        <f>SUMIF(deals_closed!D:D, calculations!A96, deals_closed!C:C)</f>
        <v>596012</v>
      </c>
      <c r="H96" s="5">
        <f>VLOOKUP(D96,'2018_commission_structure'!$A$2:$I$4,9,FALSE)</f>
        <v>750000</v>
      </c>
      <c r="I96" s="9">
        <f t="shared" si="6"/>
        <v>937500</v>
      </c>
      <c r="J96" s="8">
        <f t="shared" si="7"/>
        <v>1125000</v>
      </c>
      <c r="K96" s="9">
        <f t="shared" si="8"/>
        <v>1500000</v>
      </c>
      <c r="L96" s="10">
        <f t="shared" si="9"/>
        <v>0.79468266666666665</v>
      </c>
      <c r="M96" t="str">
        <f t="shared" si="10"/>
        <v>0-100%</v>
      </c>
      <c r="N96" s="9">
        <f>MIN(H96, G96)*INDEX('2018_commission_structure'!$A$1:$I$4,
MATCH($D96, '2018_commission_structure'!$A$1:$A$4,0),
MATCH(N$1, '2018_commission_structure'!$A$1:$I$1,0))</f>
        <v>89401.8</v>
      </c>
      <c r="O96" s="11">
        <f>IF(G96&gt;H96, MIN(G96-H96, I96-H96)*
INDEX('2018_commission_structure'!$A$1:$I$4,
MATCH($D96, '2018_commission_structure'!$A$1:$A$4, 0),
MATCH(O$1, '2018_commission_structure'!$A$1:$I$1, 0)), 0)</f>
        <v>0</v>
      </c>
      <c r="P96" s="11">
        <f>IF(G96&gt;H96, MIN(G96-H96, J96-H96)*
INDEX('2018_commission_structure'!$A$1:$I$4,
MATCH($D96, '2018_commission_structure'!$A$1:$A$4, 0),
MATCH(O$1, '2018_commission_structure'!$A$1:$I$1, 0)), 0)</f>
        <v>0</v>
      </c>
      <c r="Q96" s="11">
        <f>IF(G96&gt;H96, MIN(G96-H96, I96-H96)*
INDEX('2018_commission_structure'!$A$1:$I$4,
MATCH($D96, '2018_commission_structure'!$A$1:$A$4, 0),
MATCH(P$1, '2018_commission_structure'!$A$1:$I$1, 0)), 0)</f>
        <v>0</v>
      </c>
      <c r="R96" s="11">
        <f>IF(G96&gt;K96, (G96-K96) *
INDEX('2018_commission_structure'!$A$1:$I$4,
MATCH($D96, '2018_commission_structure'!$A$1:$A$4,0),
MATCH(R$1, '2018_commission_structure'!$A$1:$I$1,0)), 0)</f>
        <v>0</v>
      </c>
      <c r="S96" s="11">
        <f t="shared" si="11"/>
        <v>0</v>
      </c>
      <c r="T96" s="11" cm="1">
        <f t="array" ref="T96">SUM(E96+O96:Q96)</f>
        <v>280071</v>
      </c>
    </row>
    <row r="97" spans="1:20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 xml:space="preserve"> COUNTIF(deals_closed!D:D,A97)</f>
        <v>26</v>
      </c>
      <c r="G97" s="5">
        <f>SUMIF(deals_closed!D:D, calculations!A97, deals_closed!C:C)</f>
        <v>951272</v>
      </c>
      <c r="H97" s="5">
        <f>VLOOKUP(D97,'2018_commission_structure'!$A$2:$I$4,9,FALSE)</f>
        <v>500000</v>
      </c>
      <c r="I97" s="9">
        <f t="shared" si="6"/>
        <v>625000</v>
      </c>
      <c r="J97" s="8">
        <f t="shared" si="7"/>
        <v>750000</v>
      </c>
      <c r="K97" s="9">
        <f t="shared" si="8"/>
        <v>1000000</v>
      </c>
      <c r="L97" s="10">
        <f t="shared" si="9"/>
        <v>1.902544</v>
      </c>
      <c r="M97" t="str">
        <f t="shared" si="10"/>
        <v>150-200%</v>
      </c>
      <c r="N97" s="9">
        <f>MIN(H97, G97)*INDEX('2018_commission_structure'!$A$1:$I$4,
MATCH($D97, '2018_commission_structure'!$A$1:$A$4,0),
MATCH(N$1, '2018_commission_structure'!$A$1:$I$1,0))</f>
        <v>50000</v>
      </c>
      <c r="O97" s="11">
        <f>IF(G97&gt;H97, MIN(G97-H97, I97-H97)*
INDEX('2018_commission_structure'!$A$1:$I$4,
MATCH($D97, '2018_commission_structure'!$A$1:$A$4, 0),
MATCH(O$1, '2018_commission_structure'!$A$1:$I$1, 0)), 0)</f>
        <v>18750</v>
      </c>
      <c r="P97" s="11">
        <f>IF(G97&gt;H97, MIN(G97-H97, J97-H97)*
INDEX('2018_commission_structure'!$A$1:$I$4,
MATCH($D97, '2018_commission_structure'!$A$1:$A$4, 0),
MATCH(O$1, '2018_commission_structure'!$A$1:$I$1, 0)), 0)</f>
        <v>37500</v>
      </c>
      <c r="Q97" s="11">
        <f>IF(G97&gt;H97, MIN(G97-H97, I97-H97)*
INDEX('2018_commission_structure'!$A$1:$I$4,
MATCH($D97, '2018_commission_structure'!$A$1:$A$4, 0),
MATCH(P$1, '2018_commission_structure'!$A$1:$I$1, 0)), 0)</f>
        <v>22500</v>
      </c>
      <c r="R97" s="11">
        <f>IF(G97&gt;K97, (G97-K97) *
INDEX('2018_commission_structure'!$A$1:$I$4,
MATCH($D97, '2018_commission_structure'!$A$1:$A$4,0),
MATCH(R$1, '2018_commission_structure'!$A$1:$I$1,0)), 0)</f>
        <v>0</v>
      </c>
      <c r="S97" s="11">
        <f t="shared" si="11"/>
        <v>78750</v>
      </c>
      <c r="T97" s="11" cm="1">
        <f t="array" ref="T97">SUM(E97+O97:Q97)</f>
        <v>265203</v>
      </c>
    </row>
    <row r="98" spans="1:20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 xml:space="preserve"> COUNTIF(deals_closed!D:D,A98)</f>
        <v>19</v>
      </c>
      <c r="G98" s="5">
        <f>SUMIF(deals_closed!D:D, calculations!A98, deals_closed!C:C)</f>
        <v>662396</v>
      </c>
      <c r="H98" s="5">
        <f>VLOOKUP(D98,'2018_commission_structure'!$A$2:$I$4,9,FALSE)</f>
        <v>600000</v>
      </c>
      <c r="I98" s="9">
        <f t="shared" si="6"/>
        <v>750000</v>
      </c>
      <c r="J98" s="8">
        <f t="shared" si="7"/>
        <v>900000</v>
      </c>
      <c r="K98" s="9">
        <f t="shared" si="8"/>
        <v>1200000</v>
      </c>
      <c r="L98" s="10">
        <f t="shared" si="9"/>
        <v>1.1039933333333334</v>
      </c>
      <c r="M98" t="str">
        <f t="shared" si="10"/>
        <v>100-125%</v>
      </c>
      <c r="N98" s="9">
        <f>MIN(H98, G98)*INDEX('2018_commission_structure'!$A$1:$I$4,
MATCH($D98, '2018_commission_structure'!$A$1:$A$4,0),
MATCH(N$1, '2018_commission_structure'!$A$1:$I$1,0))</f>
        <v>78000</v>
      </c>
      <c r="O98" s="11">
        <f>IF(G98&gt;H98, MIN(G98-H98, I98-H98)*
INDEX('2018_commission_structure'!$A$1:$I$4,
MATCH($D98, '2018_commission_structure'!$A$1:$A$4, 0),
MATCH(O$1, '2018_commission_structure'!$A$1:$I$1, 0)), 0)</f>
        <v>10607.320000000002</v>
      </c>
      <c r="P98" s="11">
        <f>IF(G98&gt;H98, MIN(G98-H98, J98-H98)*
INDEX('2018_commission_structure'!$A$1:$I$4,
MATCH($D98, '2018_commission_structure'!$A$1:$A$4, 0),
MATCH(O$1, '2018_commission_structure'!$A$1:$I$1, 0)), 0)</f>
        <v>10607.320000000002</v>
      </c>
      <c r="Q98" s="11">
        <f>IF(G98&gt;H98, MIN(G98-H98, I98-H98)*
INDEX('2018_commission_structure'!$A$1:$I$4,
MATCH($D98, '2018_commission_structure'!$A$1:$A$4, 0),
MATCH(P$1, '2018_commission_structure'!$A$1:$I$1, 0)), 0)</f>
        <v>13103.16</v>
      </c>
      <c r="R98" s="11">
        <f>IF(G98&gt;K98, (G98-K98) *
INDEX('2018_commission_structure'!$A$1:$I$4,
MATCH($D98, '2018_commission_structure'!$A$1:$A$4,0),
MATCH(R$1, '2018_commission_structure'!$A$1:$I$1,0)), 0)</f>
        <v>0</v>
      </c>
      <c r="S98" s="11">
        <f t="shared" si="11"/>
        <v>34317.800000000003</v>
      </c>
      <c r="T98" s="11" cm="1">
        <f t="array" ref="T98">SUM(E98+O98:Q98)</f>
        <v>204282.80000000002</v>
      </c>
    </row>
    <row r="99" spans="1:20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 xml:space="preserve"> COUNTIF(deals_closed!D:D,A99)</f>
        <v>16</v>
      </c>
      <c r="G99" s="5">
        <f>SUMIF(deals_closed!D:D, calculations!A99, deals_closed!C:C)</f>
        <v>551017</v>
      </c>
      <c r="H99" s="5">
        <f>VLOOKUP(D99,'2018_commission_structure'!$A$2:$I$4,9,FALSE)</f>
        <v>600000</v>
      </c>
      <c r="I99" s="9">
        <f t="shared" si="6"/>
        <v>750000</v>
      </c>
      <c r="J99" s="8">
        <f t="shared" si="7"/>
        <v>900000</v>
      </c>
      <c r="K99" s="9">
        <f t="shared" si="8"/>
        <v>1200000</v>
      </c>
      <c r="L99" s="10">
        <f t="shared" si="9"/>
        <v>0.91836166666666663</v>
      </c>
      <c r="M99" t="str">
        <f t="shared" si="10"/>
        <v>0-100%</v>
      </c>
      <c r="N99" s="9">
        <f>MIN(H99, G99)*INDEX('2018_commission_structure'!$A$1:$I$4,
MATCH($D99, '2018_commission_structure'!$A$1:$A$4,0),
MATCH(N$1, '2018_commission_structure'!$A$1:$I$1,0))</f>
        <v>71632.210000000006</v>
      </c>
      <c r="O99" s="11">
        <f>IF(G99&gt;H99, MIN(G99-H99, I99-H99)*
INDEX('2018_commission_structure'!$A$1:$I$4,
MATCH($D99, '2018_commission_structure'!$A$1:$A$4, 0),
MATCH(O$1, '2018_commission_structure'!$A$1:$I$1, 0)), 0)</f>
        <v>0</v>
      </c>
      <c r="P99" s="11">
        <f>IF(G99&gt;H99, MIN(G99-H99, J99-H99)*
INDEX('2018_commission_structure'!$A$1:$I$4,
MATCH($D99, '2018_commission_structure'!$A$1:$A$4, 0),
MATCH(O$1, '2018_commission_structure'!$A$1:$I$1, 0)), 0)</f>
        <v>0</v>
      </c>
      <c r="Q99" s="11">
        <f>IF(G99&gt;H99, MIN(G99-H99, I99-H99)*
INDEX('2018_commission_structure'!$A$1:$I$4,
MATCH($D99, '2018_commission_structure'!$A$1:$A$4, 0),
MATCH(P$1, '2018_commission_structure'!$A$1:$I$1, 0)), 0)</f>
        <v>0</v>
      </c>
      <c r="R99" s="11">
        <f>IF(G99&gt;K99, (G99-K99) *
INDEX('2018_commission_structure'!$A$1:$I$4,
MATCH($D99, '2018_commission_structure'!$A$1:$A$4,0),
MATCH(R$1, '2018_commission_structure'!$A$1:$I$1,0)), 0)</f>
        <v>0</v>
      </c>
      <c r="S99" s="11">
        <f t="shared" si="11"/>
        <v>0</v>
      </c>
      <c r="T99" s="11" cm="1">
        <f t="array" ref="T99">SUM(E99+O99:Q99)</f>
        <v>168639</v>
      </c>
    </row>
    <row r="100" spans="1:20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 xml:space="preserve"> COUNTIF(deals_closed!D:D,A100)</f>
        <v>18</v>
      </c>
      <c r="G100" s="5">
        <f>SUMIF(deals_closed!D:D, calculations!A100, deals_closed!C:C)</f>
        <v>727563</v>
      </c>
      <c r="H100" s="5">
        <f>VLOOKUP(D100,'2018_commission_structure'!$A$2:$I$4,9,FALSE)</f>
        <v>750000</v>
      </c>
      <c r="I100" s="9">
        <f t="shared" si="6"/>
        <v>937500</v>
      </c>
      <c r="J100" s="8">
        <f t="shared" si="7"/>
        <v>1125000</v>
      </c>
      <c r="K100" s="9">
        <f t="shared" si="8"/>
        <v>1500000</v>
      </c>
      <c r="L100" s="10">
        <f t="shared" si="9"/>
        <v>0.97008399999999995</v>
      </c>
      <c r="M100" t="str">
        <f t="shared" si="10"/>
        <v>0-100%</v>
      </c>
      <c r="N100" s="9">
        <f>MIN(H100, G100)*INDEX('2018_commission_structure'!$A$1:$I$4,
MATCH($D100, '2018_commission_structure'!$A$1:$A$4,0),
MATCH(N$1, '2018_commission_structure'!$A$1:$I$1,0))</f>
        <v>109134.45</v>
      </c>
      <c r="O100" s="11">
        <f>IF(G100&gt;H100, MIN(G100-H100, I100-H100)*
INDEX('2018_commission_structure'!$A$1:$I$4,
MATCH($D100, '2018_commission_structure'!$A$1:$A$4, 0),
MATCH(O$1, '2018_commission_structure'!$A$1:$I$1, 0)), 0)</f>
        <v>0</v>
      </c>
      <c r="P100" s="11">
        <f>IF(G100&gt;H100, MIN(G100-H100, J100-H100)*
INDEX('2018_commission_structure'!$A$1:$I$4,
MATCH($D100, '2018_commission_structure'!$A$1:$A$4, 0),
MATCH(O$1, '2018_commission_structure'!$A$1:$I$1, 0)), 0)</f>
        <v>0</v>
      </c>
      <c r="Q100" s="11">
        <f>IF(G100&gt;H100, MIN(G100-H100, I100-H100)*
INDEX('2018_commission_structure'!$A$1:$I$4,
MATCH($D100, '2018_commission_structure'!$A$1:$A$4, 0),
MATCH(P$1, '2018_commission_structure'!$A$1:$I$1, 0)), 0)</f>
        <v>0</v>
      </c>
      <c r="R100" s="11">
        <f>IF(G100&gt;K100, (G100-K100) *
INDEX('2018_commission_structure'!$A$1:$I$4,
MATCH($D100, '2018_commission_structure'!$A$1:$A$4,0),
MATCH(R$1, '2018_commission_structure'!$A$1:$I$1,0)), 0)</f>
        <v>0</v>
      </c>
      <c r="S100" s="11">
        <f t="shared" si="11"/>
        <v>0</v>
      </c>
      <c r="T100" s="11" cm="1">
        <f t="array" ref="T100">SUM(E100+O100:Q100)</f>
        <v>292782</v>
      </c>
    </row>
    <row r="101" spans="1:20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 xml:space="preserve"> COUNTIF(deals_closed!D:D,A101)</f>
        <v>17</v>
      </c>
      <c r="G101" s="5">
        <f>SUMIF(deals_closed!D:D, calculations!A101, deals_closed!C:C)</f>
        <v>584140</v>
      </c>
      <c r="H101" s="5">
        <f>VLOOKUP(D101,'2018_commission_structure'!$A$2:$I$4,9,FALSE)</f>
        <v>500000</v>
      </c>
      <c r="I101" s="9">
        <f t="shared" si="6"/>
        <v>625000</v>
      </c>
      <c r="J101" s="8">
        <f t="shared" si="7"/>
        <v>750000</v>
      </c>
      <c r="K101" s="9">
        <f t="shared" si="8"/>
        <v>1000000</v>
      </c>
      <c r="L101" s="10">
        <f t="shared" si="9"/>
        <v>1.16828</v>
      </c>
      <c r="M101" t="str">
        <f t="shared" si="10"/>
        <v>100-125%</v>
      </c>
      <c r="N101" s="9">
        <f>MIN(H101, G101)*INDEX('2018_commission_structure'!$A$1:$I$4,
MATCH($D101, '2018_commission_structure'!$A$1:$A$4,0),
MATCH(N$1, '2018_commission_structure'!$A$1:$I$1,0))</f>
        <v>50000</v>
      </c>
      <c r="O101" s="11">
        <f>IF(G101&gt;H101, MIN(G101-H101, I101-H101)*
INDEX('2018_commission_structure'!$A$1:$I$4,
MATCH($D101, '2018_commission_structure'!$A$1:$A$4, 0),
MATCH(O$1, '2018_commission_structure'!$A$1:$I$1, 0)), 0)</f>
        <v>12621</v>
      </c>
      <c r="P101" s="11">
        <f>IF(G101&gt;H101, MIN(G101-H101, J101-H101)*
INDEX('2018_commission_structure'!$A$1:$I$4,
MATCH($D101, '2018_commission_structure'!$A$1:$A$4, 0),
MATCH(O$1, '2018_commission_structure'!$A$1:$I$1, 0)), 0)</f>
        <v>12621</v>
      </c>
      <c r="Q101" s="11">
        <f>IF(G101&gt;H101, MIN(G101-H101, I101-H101)*
INDEX('2018_commission_structure'!$A$1:$I$4,
MATCH($D101, '2018_commission_structure'!$A$1:$A$4, 0),
MATCH(P$1, '2018_commission_structure'!$A$1:$I$1, 0)), 0)</f>
        <v>15145.199999999999</v>
      </c>
      <c r="R101" s="11">
        <f>IF(G101&gt;K101, (G101-K101) *
INDEX('2018_commission_structure'!$A$1:$I$4,
MATCH($D101, '2018_commission_structure'!$A$1:$A$4,0),
MATCH(R$1, '2018_commission_structure'!$A$1:$I$1,0)), 0)</f>
        <v>0</v>
      </c>
      <c r="S101" s="11">
        <f t="shared" si="11"/>
        <v>40387.199999999997</v>
      </c>
      <c r="T101" s="11" cm="1">
        <f t="array" ref="T101">SUM(E101+O101:Q101)</f>
        <v>177163.2</v>
      </c>
    </row>
    <row r="102" spans="1:20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 xml:space="preserve"> COUNTIF(deals_closed!D:D,A102)</f>
        <v>20</v>
      </c>
      <c r="G102" s="5">
        <f>SUMIF(deals_closed!D:D, calculations!A102, deals_closed!C:C)</f>
        <v>720615</v>
      </c>
      <c r="H102" s="5">
        <f>VLOOKUP(D102,'2018_commission_structure'!$A$2:$I$4,9,FALSE)</f>
        <v>500000</v>
      </c>
      <c r="I102" s="9">
        <f t="shared" si="6"/>
        <v>625000</v>
      </c>
      <c r="J102" s="8">
        <f t="shared" si="7"/>
        <v>750000</v>
      </c>
      <c r="K102" s="9">
        <f t="shared" si="8"/>
        <v>1000000</v>
      </c>
      <c r="L102" s="10">
        <f t="shared" si="9"/>
        <v>1.44123</v>
      </c>
      <c r="M102" t="str">
        <f t="shared" si="10"/>
        <v>125-150%</v>
      </c>
      <c r="N102" s="9">
        <f>MIN(H102, G102)*INDEX('2018_commission_structure'!$A$1:$I$4,
MATCH($D102, '2018_commission_structure'!$A$1:$A$4,0),
MATCH(N$1, '2018_commission_structure'!$A$1:$I$1,0))</f>
        <v>50000</v>
      </c>
      <c r="O102" s="11">
        <f>IF(G102&gt;H102, MIN(G102-H102, I102-H102)*
INDEX('2018_commission_structure'!$A$1:$I$4,
MATCH($D102, '2018_commission_structure'!$A$1:$A$4, 0),
MATCH(O$1, '2018_commission_structure'!$A$1:$I$1, 0)), 0)</f>
        <v>18750</v>
      </c>
      <c r="P102" s="11">
        <f>IF(G102&gt;H102, MIN(G102-H102, J102-H102)*
INDEX('2018_commission_structure'!$A$1:$I$4,
MATCH($D102, '2018_commission_structure'!$A$1:$A$4, 0),
MATCH(O$1, '2018_commission_structure'!$A$1:$I$1, 0)), 0)</f>
        <v>33092.25</v>
      </c>
      <c r="Q102" s="11">
        <f>IF(G102&gt;H102, MIN(G102-H102, I102-H102)*
INDEX('2018_commission_structure'!$A$1:$I$4,
MATCH($D102, '2018_commission_structure'!$A$1:$A$4, 0),
MATCH(P$1, '2018_commission_structure'!$A$1:$I$1, 0)), 0)</f>
        <v>22500</v>
      </c>
      <c r="R102" s="11">
        <f>IF(G102&gt;K102, (G102-K102) *
INDEX('2018_commission_structure'!$A$1:$I$4,
MATCH($D102, '2018_commission_structure'!$A$1:$A$4,0),
MATCH(R$1, '2018_commission_structure'!$A$1:$I$1,0)), 0)</f>
        <v>0</v>
      </c>
      <c r="S102" s="11">
        <f t="shared" si="11"/>
        <v>74342.25</v>
      </c>
      <c r="T102" s="11" cm="1">
        <f t="array" ref="T102">SUM(E102+O102:Q102)</f>
        <v>215591.25</v>
      </c>
    </row>
    <row r="103" spans="1:20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 xml:space="preserve"> COUNTIF(deals_closed!D:D,A103)</f>
        <v>21</v>
      </c>
      <c r="G103" s="5">
        <f>SUMIF(deals_closed!D:D, calculations!A103, deals_closed!C:C)</f>
        <v>729900</v>
      </c>
      <c r="H103" s="5">
        <f>VLOOKUP(D103,'2018_commission_structure'!$A$2:$I$4,9,FALSE)</f>
        <v>500000</v>
      </c>
      <c r="I103" s="9">
        <f t="shared" si="6"/>
        <v>625000</v>
      </c>
      <c r="J103" s="8">
        <f t="shared" si="7"/>
        <v>750000</v>
      </c>
      <c r="K103" s="9">
        <f t="shared" si="8"/>
        <v>1000000</v>
      </c>
      <c r="L103" s="10">
        <f t="shared" si="9"/>
        <v>1.4598</v>
      </c>
      <c r="M103" t="str">
        <f t="shared" si="10"/>
        <v>125-150%</v>
      </c>
      <c r="N103" s="9">
        <f>MIN(H103, G103)*INDEX('2018_commission_structure'!$A$1:$I$4,
MATCH($D103, '2018_commission_structure'!$A$1:$A$4,0),
MATCH(N$1, '2018_commission_structure'!$A$1:$I$1,0))</f>
        <v>50000</v>
      </c>
      <c r="O103" s="11">
        <f>IF(G103&gt;H103, MIN(G103-H103, I103-H103)*
INDEX('2018_commission_structure'!$A$1:$I$4,
MATCH($D103, '2018_commission_structure'!$A$1:$A$4, 0),
MATCH(O$1, '2018_commission_structure'!$A$1:$I$1, 0)), 0)</f>
        <v>18750</v>
      </c>
      <c r="P103" s="11">
        <f>IF(G103&gt;H103, MIN(G103-H103, J103-H103)*
INDEX('2018_commission_structure'!$A$1:$I$4,
MATCH($D103, '2018_commission_structure'!$A$1:$A$4, 0),
MATCH(O$1, '2018_commission_structure'!$A$1:$I$1, 0)), 0)</f>
        <v>34485</v>
      </c>
      <c r="Q103" s="11">
        <f>IF(G103&gt;H103, MIN(G103-H103, I103-H103)*
INDEX('2018_commission_structure'!$A$1:$I$4,
MATCH($D103, '2018_commission_structure'!$A$1:$A$4, 0),
MATCH(P$1, '2018_commission_structure'!$A$1:$I$1, 0)), 0)</f>
        <v>22500</v>
      </c>
      <c r="R103" s="11">
        <f>IF(G103&gt;K103, (G103-K103) *
INDEX('2018_commission_structure'!$A$1:$I$4,
MATCH($D103, '2018_commission_structure'!$A$1:$A$4,0),
MATCH(R$1, '2018_commission_structure'!$A$1:$I$1,0)), 0)</f>
        <v>0</v>
      </c>
      <c r="S103" s="11">
        <f t="shared" si="11"/>
        <v>75735</v>
      </c>
      <c r="T103" s="11" cm="1">
        <f t="array" ref="T103">SUM(E103+O103:Q103)</f>
        <v>205221</v>
      </c>
    </row>
    <row r="104" spans="1:20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 xml:space="preserve"> COUNTIF(deals_closed!D:D,A104)</f>
        <v>18</v>
      </c>
      <c r="G104" s="5">
        <f>SUMIF(deals_closed!D:D, calculations!A104, deals_closed!C:C)</f>
        <v>608630</v>
      </c>
      <c r="H104" s="5">
        <f>VLOOKUP(D104,'2018_commission_structure'!$A$2:$I$4,9,FALSE)</f>
        <v>500000</v>
      </c>
      <c r="I104" s="9">
        <f t="shared" si="6"/>
        <v>625000</v>
      </c>
      <c r="J104" s="8">
        <f t="shared" si="7"/>
        <v>750000</v>
      </c>
      <c r="K104" s="9">
        <f t="shared" si="8"/>
        <v>1000000</v>
      </c>
      <c r="L104" s="10">
        <f t="shared" si="9"/>
        <v>1.21726</v>
      </c>
      <c r="M104" t="str">
        <f t="shared" si="10"/>
        <v>100-125%</v>
      </c>
      <c r="N104" s="9">
        <f>MIN(H104, G104)*INDEX('2018_commission_structure'!$A$1:$I$4,
MATCH($D104, '2018_commission_structure'!$A$1:$A$4,0),
MATCH(N$1, '2018_commission_structure'!$A$1:$I$1,0))</f>
        <v>50000</v>
      </c>
      <c r="O104" s="11">
        <f>IF(G104&gt;H104, MIN(G104-H104, I104-H104)*
INDEX('2018_commission_structure'!$A$1:$I$4,
MATCH($D104, '2018_commission_structure'!$A$1:$A$4, 0),
MATCH(O$1, '2018_commission_structure'!$A$1:$I$1, 0)), 0)</f>
        <v>16294.5</v>
      </c>
      <c r="P104" s="11">
        <f>IF(G104&gt;H104, MIN(G104-H104, J104-H104)*
INDEX('2018_commission_structure'!$A$1:$I$4,
MATCH($D104, '2018_commission_structure'!$A$1:$A$4, 0),
MATCH(O$1, '2018_commission_structure'!$A$1:$I$1, 0)), 0)</f>
        <v>16294.5</v>
      </c>
      <c r="Q104" s="11">
        <f>IF(G104&gt;H104, MIN(G104-H104, I104-H104)*
INDEX('2018_commission_structure'!$A$1:$I$4,
MATCH($D104, '2018_commission_structure'!$A$1:$A$4, 0),
MATCH(P$1, '2018_commission_structure'!$A$1:$I$1, 0)), 0)</f>
        <v>19553.399999999998</v>
      </c>
      <c r="R104" s="11">
        <f>IF(G104&gt;K104, (G104-K104) *
INDEX('2018_commission_structure'!$A$1:$I$4,
MATCH($D104, '2018_commission_structure'!$A$1:$A$4,0),
MATCH(R$1, '2018_commission_structure'!$A$1:$I$1,0)), 0)</f>
        <v>0</v>
      </c>
      <c r="S104" s="11">
        <f t="shared" si="11"/>
        <v>52142.399999999994</v>
      </c>
      <c r="T104" s="11" cm="1">
        <f t="array" ref="T104">SUM(E104+O104:Q104)</f>
        <v>191156.4</v>
      </c>
    </row>
    <row r="105" spans="1:20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 xml:space="preserve"> COUNTIF(deals_closed!D:D,A105)</f>
        <v>16</v>
      </c>
      <c r="G105" s="5">
        <f>SUMIF(deals_closed!D:D, calculations!A105, deals_closed!C:C)</f>
        <v>621858</v>
      </c>
      <c r="H105" s="5">
        <f>VLOOKUP(D105,'2018_commission_structure'!$A$2:$I$4,9,FALSE)</f>
        <v>600000</v>
      </c>
      <c r="I105" s="9">
        <f t="shared" si="6"/>
        <v>750000</v>
      </c>
      <c r="J105" s="8">
        <f t="shared" si="7"/>
        <v>900000</v>
      </c>
      <c r="K105" s="9">
        <f t="shared" si="8"/>
        <v>1200000</v>
      </c>
      <c r="L105" s="10">
        <f t="shared" si="9"/>
        <v>1.03643</v>
      </c>
      <c r="M105" t="str">
        <f t="shared" si="10"/>
        <v>100-125%</v>
      </c>
      <c r="N105" s="9">
        <f>MIN(H105, G105)*INDEX('2018_commission_structure'!$A$1:$I$4,
MATCH($D105, '2018_commission_structure'!$A$1:$A$4,0),
MATCH(N$1, '2018_commission_structure'!$A$1:$I$1,0))</f>
        <v>78000</v>
      </c>
      <c r="O105" s="11">
        <f>IF(G105&gt;H105, MIN(G105-H105, I105-H105)*
INDEX('2018_commission_structure'!$A$1:$I$4,
MATCH($D105, '2018_commission_structure'!$A$1:$A$4, 0),
MATCH(O$1, '2018_commission_structure'!$A$1:$I$1, 0)), 0)</f>
        <v>3715.86</v>
      </c>
      <c r="P105" s="11">
        <f>IF(G105&gt;H105, MIN(G105-H105, J105-H105)*
INDEX('2018_commission_structure'!$A$1:$I$4,
MATCH($D105, '2018_commission_structure'!$A$1:$A$4, 0),
MATCH(O$1, '2018_commission_structure'!$A$1:$I$1, 0)), 0)</f>
        <v>3715.86</v>
      </c>
      <c r="Q105" s="11">
        <f>IF(G105&gt;H105, MIN(G105-H105, I105-H105)*
INDEX('2018_commission_structure'!$A$1:$I$4,
MATCH($D105, '2018_commission_structure'!$A$1:$A$4, 0),
MATCH(P$1, '2018_commission_structure'!$A$1:$I$1, 0)), 0)</f>
        <v>4590.1799999999994</v>
      </c>
      <c r="R105" s="11">
        <f>IF(G105&gt;K105, (G105-K105) *
INDEX('2018_commission_structure'!$A$1:$I$4,
MATCH($D105, '2018_commission_structure'!$A$1:$A$4,0),
MATCH(R$1, '2018_commission_structure'!$A$1:$I$1,0)), 0)</f>
        <v>0</v>
      </c>
      <c r="S105" s="11">
        <f t="shared" si="11"/>
        <v>12021.9</v>
      </c>
      <c r="T105" s="11" cm="1">
        <f t="array" ref="T105">SUM(E105+O105:Q105)</f>
        <v>183120.9</v>
      </c>
    </row>
    <row r="106" spans="1:20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 xml:space="preserve"> COUNTIF(deals_closed!D:D,A106)</f>
        <v>15</v>
      </c>
      <c r="G106" s="5">
        <f>SUMIF(deals_closed!D:D, calculations!A106, deals_closed!C:C)</f>
        <v>551370</v>
      </c>
      <c r="H106" s="5">
        <f>VLOOKUP(D106,'2018_commission_structure'!$A$2:$I$4,9,FALSE)</f>
        <v>750000</v>
      </c>
      <c r="I106" s="9">
        <f t="shared" si="6"/>
        <v>937500</v>
      </c>
      <c r="J106" s="8">
        <f t="shared" si="7"/>
        <v>1125000</v>
      </c>
      <c r="K106" s="9">
        <f t="shared" si="8"/>
        <v>1500000</v>
      </c>
      <c r="L106" s="10">
        <f t="shared" si="9"/>
        <v>0.73516000000000004</v>
      </c>
      <c r="M106" t="str">
        <f t="shared" si="10"/>
        <v>0-100%</v>
      </c>
      <c r="N106" s="9">
        <f>MIN(H106, G106)*INDEX('2018_commission_structure'!$A$1:$I$4,
MATCH($D106, '2018_commission_structure'!$A$1:$A$4,0),
MATCH(N$1, '2018_commission_structure'!$A$1:$I$1,0))</f>
        <v>82705.5</v>
      </c>
      <c r="O106" s="11">
        <f>IF(G106&gt;H106, MIN(G106-H106, I106-H106)*
INDEX('2018_commission_structure'!$A$1:$I$4,
MATCH($D106, '2018_commission_structure'!$A$1:$A$4, 0),
MATCH(O$1, '2018_commission_structure'!$A$1:$I$1, 0)), 0)</f>
        <v>0</v>
      </c>
      <c r="P106" s="11">
        <f>IF(G106&gt;H106, MIN(G106-H106, J106-H106)*
INDEX('2018_commission_structure'!$A$1:$I$4,
MATCH($D106, '2018_commission_structure'!$A$1:$A$4, 0),
MATCH(O$1, '2018_commission_structure'!$A$1:$I$1, 0)), 0)</f>
        <v>0</v>
      </c>
      <c r="Q106" s="11">
        <f>IF(G106&gt;H106, MIN(G106-H106, I106-H106)*
INDEX('2018_commission_structure'!$A$1:$I$4,
MATCH($D106, '2018_commission_structure'!$A$1:$A$4, 0),
MATCH(P$1, '2018_commission_structure'!$A$1:$I$1, 0)), 0)</f>
        <v>0</v>
      </c>
      <c r="R106" s="11">
        <f>IF(G106&gt;K106, (G106-K106) *
INDEX('2018_commission_structure'!$A$1:$I$4,
MATCH($D106, '2018_commission_structure'!$A$1:$A$4,0),
MATCH(R$1, '2018_commission_structure'!$A$1:$I$1,0)), 0)</f>
        <v>0</v>
      </c>
      <c r="S106" s="11">
        <f t="shared" si="11"/>
        <v>0</v>
      </c>
      <c r="T106" s="11" cm="1">
        <f t="array" ref="T106">SUM(E106+O106:Q106)</f>
        <v>343533</v>
      </c>
    </row>
    <row r="107" spans="1:20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 xml:space="preserve"> COUNTIF(deals_closed!D:D,A107)</f>
        <v>19</v>
      </c>
      <c r="G107" s="5">
        <f>SUMIF(deals_closed!D:D, calculations!A107, deals_closed!C:C)</f>
        <v>672476</v>
      </c>
      <c r="H107" s="5">
        <f>VLOOKUP(D107,'2018_commission_structure'!$A$2:$I$4,9,FALSE)</f>
        <v>750000</v>
      </c>
      <c r="I107" s="9">
        <f t="shared" si="6"/>
        <v>937500</v>
      </c>
      <c r="J107" s="8">
        <f t="shared" si="7"/>
        <v>1125000</v>
      </c>
      <c r="K107" s="9">
        <f t="shared" si="8"/>
        <v>1500000</v>
      </c>
      <c r="L107" s="10">
        <f t="shared" si="9"/>
        <v>0.89663466666666669</v>
      </c>
      <c r="M107" t="str">
        <f t="shared" si="10"/>
        <v>0-100%</v>
      </c>
      <c r="N107" s="9">
        <f>MIN(H107, G107)*INDEX('2018_commission_structure'!$A$1:$I$4,
MATCH($D107, '2018_commission_structure'!$A$1:$A$4,0),
MATCH(N$1, '2018_commission_structure'!$A$1:$I$1,0))</f>
        <v>100871.4</v>
      </c>
      <c r="O107" s="11">
        <f>IF(G107&gt;H107, MIN(G107-H107, I107-H107)*
INDEX('2018_commission_structure'!$A$1:$I$4,
MATCH($D107, '2018_commission_structure'!$A$1:$A$4, 0),
MATCH(O$1, '2018_commission_structure'!$A$1:$I$1, 0)), 0)</f>
        <v>0</v>
      </c>
      <c r="P107" s="11">
        <f>IF(G107&gt;H107, MIN(G107-H107, J107-H107)*
INDEX('2018_commission_structure'!$A$1:$I$4,
MATCH($D107, '2018_commission_structure'!$A$1:$A$4, 0),
MATCH(O$1, '2018_commission_structure'!$A$1:$I$1, 0)), 0)</f>
        <v>0</v>
      </c>
      <c r="Q107" s="11">
        <f>IF(G107&gt;H107, MIN(G107-H107, I107-H107)*
INDEX('2018_commission_structure'!$A$1:$I$4,
MATCH($D107, '2018_commission_structure'!$A$1:$A$4, 0),
MATCH(P$1, '2018_commission_structure'!$A$1:$I$1, 0)), 0)</f>
        <v>0</v>
      </c>
      <c r="R107" s="11">
        <f>IF(G107&gt;K107, (G107-K107) *
INDEX('2018_commission_structure'!$A$1:$I$4,
MATCH($D107, '2018_commission_structure'!$A$1:$A$4,0),
MATCH(R$1, '2018_commission_structure'!$A$1:$I$1,0)), 0)</f>
        <v>0</v>
      </c>
      <c r="S107" s="11">
        <f t="shared" si="11"/>
        <v>0</v>
      </c>
      <c r="T107" s="11" cm="1">
        <f t="array" ref="T107">SUM(E107+O107:Q107)</f>
        <v>242286</v>
      </c>
    </row>
    <row r="108" spans="1:20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 xml:space="preserve"> COUNTIF(deals_closed!D:D,A108)</f>
        <v>22</v>
      </c>
      <c r="G108" s="5">
        <f>SUMIF(deals_closed!D:D, calculations!A108, deals_closed!C:C)</f>
        <v>879851</v>
      </c>
      <c r="H108" s="5">
        <f>VLOOKUP(D108,'2018_commission_structure'!$A$2:$I$4,9,FALSE)</f>
        <v>600000</v>
      </c>
      <c r="I108" s="9">
        <f t="shared" si="6"/>
        <v>750000</v>
      </c>
      <c r="J108" s="8">
        <f t="shared" si="7"/>
        <v>900000</v>
      </c>
      <c r="K108" s="9">
        <f t="shared" si="8"/>
        <v>1200000</v>
      </c>
      <c r="L108" s="10">
        <f t="shared" si="9"/>
        <v>1.4664183333333334</v>
      </c>
      <c r="M108" t="str">
        <f t="shared" si="10"/>
        <v>125-150%</v>
      </c>
      <c r="N108" s="9">
        <f>MIN(H108, G108)*INDEX('2018_commission_structure'!$A$1:$I$4,
MATCH($D108, '2018_commission_structure'!$A$1:$A$4,0),
MATCH(N$1, '2018_commission_structure'!$A$1:$I$1,0))</f>
        <v>78000</v>
      </c>
      <c r="O108" s="11">
        <f>IF(G108&gt;H108, MIN(G108-H108, I108-H108)*
INDEX('2018_commission_structure'!$A$1:$I$4,
MATCH($D108, '2018_commission_structure'!$A$1:$A$4, 0),
MATCH(O$1, '2018_commission_structure'!$A$1:$I$1, 0)), 0)</f>
        <v>25500.000000000004</v>
      </c>
      <c r="P108" s="11">
        <f>IF(G108&gt;H108, MIN(G108-H108, J108-H108)*
INDEX('2018_commission_structure'!$A$1:$I$4,
MATCH($D108, '2018_commission_structure'!$A$1:$A$4, 0),
MATCH(O$1, '2018_commission_structure'!$A$1:$I$1, 0)), 0)</f>
        <v>47574.670000000006</v>
      </c>
      <c r="Q108" s="11">
        <f>IF(G108&gt;H108, MIN(G108-H108, I108-H108)*
INDEX('2018_commission_structure'!$A$1:$I$4,
MATCH($D108, '2018_commission_structure'!$A$1:$A$4, 0),
MATCH(P$1, '2018_commission_structure'!$A$1:$I$1, 0)), 0)</f>
        <v>31500</v>
      </c>
      <c r="R108" s="11">
        <f>IF(G108&gt;K108, (G108-K108) *
INDEX('2018_commission_structure'!$A$1:$I$4,
MATCH($D108, '2018_commission_structure'!$A$1:$A$4,0),
MATCH(R$1, '2018_commission_structure'!$A$1:$I$1,0)), 0)</f>
        <v>0</v>
      </c>
      <c r="S108" s="11">
        <f t="shared" si="11"/>
        <v>104574.67000000001</v>
      </c>
      <c r="T108" s="11" cm="1">
        <f t="array" ref="T108">SUM(E108+O108:Q108)</f>
        <v>270609.67000000004</v>
      </c>
    </row>
    <row r="109" spans="1:20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 xml:space="preserve"> COUNTIF(deals_closed!D:D,A109)</f>
        <v>20</v>
      </c>
      <c r="G109" s="5">
        <f>SUMIF(deals_closed!D:D, calculations!A109, deals_closed!C:C)</f>
        <v>697052</v>
      </c>
      <c r="H109" s="5">
        <f>VLOOKUP(D109,'2018_commission_structure'!$A$2:$I$4,9,FALSE)</f>
        <v>500000</v>
      </c>
      <c r="I109" s="9">
        <f t="shared" si="6"/>
        <v>625000</v>
      </c>
      <c r="J109" s="8">
        <f t="shared" si="7"/>
        <v>750000</v>
      </c>
      <c r="K109" s="9">
        <f t="shared" si="8"/>
        <v>1000000</v>
      </c>
      <c r="L109" s="10">
        <f t="shared" si="9"/>
        <v>1.394104</v>
      </c>
      <c r="M109" t="str">
        <f t="shared" si="10"/>
        <v>125-150%</v>
      </c>
      <c r="N109" s="9">
        <f>MIN(H109, G109)*INDEX('2018_commission_structure'!$A$1:$I$4,
MATCH($D109, '2018_commission_structure'!$A$1:$A$4,0),
MATCH(N$1, '2018_commission_structure'!$A$1:$I$1,0))</f>
        <v>50000</v>
      </c>
      <c r="O109" s="11">
        <f>IF(G109&gt;H109, MIN(G109-H109, I109-H109)*
INDEX('2018_commission_structure'!$A$1:$I$4,
MATCH($D109, '2018_commission_structure'!$A$1:$A$4, 0),
MATCH(O$1, '2018_commission_structure'!$A$1:$I$1, 0)), 0)</f>
        <v>18750</v>
      </c>
      <c r="P109" s="11">
        <f>IF(G109&gt;H109, MIN(G109-H109, J109-H109)*
INDEX('2018_commission_structure'!$A$1:$I$4,
MATCH($D109, '2018_commission_structure'!$A$1:$A$4, 0),
MATCH(O$1, '2018_commission_structure'!$A$1:$I$1, 0)), 0)</f>
        <v>29557.8</v>
      </c>
      <c r="Q109" s="11">
        <f>IF(G109&gt;H109, MIN(G109-H109, I109-H109)*
INDEX('2018_commission_structure'!$A$1:$I$4,
MATCH($D109, '2018_commission_structure'!$A$1:$A$4, 0),
MATCH(P$1, '2018_commission_structure'!$A$1:$I$1, 0)), 0)</f>
        <v>22500</v>
      </c>
      <c r="R109" s="11">
        <f>IF(G109&gt;K109, (G109-K109) *
INDEX('2018_commission_structure'!$A$1:$I$4,
MATCH($D109, '2018_commission_structure'!$A$1:$A$4,0),
MATCH(R$1, '2018_commission_structure'!$A$1:$I$1,0)), 0)</f>
        <v>0</v>
      </c>
      <c r="S109" s="11">
        <f t="shared" si="11"/>
        <v>70807.8</v>
      </c>
      <c r="T109" s="11" cm="1">
        <f t="array" ref="T109">SUM(E109+O109:Q109)</f>
        <v>175390.8</v>
      </c>
    </row>
    <row r="110" spans="1:20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 xml:space="preserve"> COUNTIF(deals_closed!D:D,A110)</f>
        <v>29</v>
      </c>
      <c r="G110" s="5">
        <f>SUMIF(deals_closed!D:D, calculations!A110, deals_closed!C:C)</f>
        <v>1153023</v>
      </c>
      <c r="H110" s="5">
        <f>VLOOKUP(D110,'2018_commission_structure'!$A$2:$I$4,9,FALSE)</f>
        <v>750000</v>
      </c>
      <c r="I110" s="9">
        <f t="shared" si="6"/>
        <v>937500</v>
      </c>
      <c r="J110" s="8">
        <f t="shared" si="7"/>
        <v>1125000</v>
      </c>
      <c r="K110" s="9">
        <f t="shared" si="8"/>
        <v>1500000</v>
      </c>
      <c r="L110" s="10">
        <f t="shared" si="9"/>
        <v>1.537364</v>
      </c>
      <c r="M110" t="str">
        <f t="shared" si="10"/>
        <v>150-200%</v>
      </c>
      <c r="N110" s="9">
        <f>MIN(H110, G110)*INDEX('2018_commission_structure'!$A$1:$I$4,
MATCH($D110, '2018_commission_structure'!$A$1:$A$4,0),
MATCH(N$1, '2018_commission_structure'!$A$1:$I$1,0))</f>
        <v>112500</v>
      </c>
      <c r="O110" s="11">
        <f>IF(G110&gt;H110, MIN(G110-H110, I110-H110)*
INDEX('2018_commission_structure'!$A$1:$I$4,
MATCH($D110, '2018_commission_structure'!$A$1:$A$4, 0),
MATCH(O$1, '2018_commission_structure'!$A$1:$I$1, 0)), 0)</f>
        <v>35625</v>
      </c>
      <c r="P110" s="11">
        <f>IF(G110&gt;H110, MIN(G110-H110, J110-H110)*
INDEX('2018_commission_structure'!$A$1:$I$4,
MATCH($D110, '2018_commission_structure'!$A$1:$A$4, 0),
MATCH(O$1, '2018_commission_structure'!$A$1:$I$1, 0)), 0)</f>
        <v>71250</v>
      </c>
      <c r="Q110" s="11">
        <f>IF(G110&gt;H110, MIN(G110-H110, I110-H110)*
INDEX('2018_commission_structure'!$A$1:$I$4,
MATCH($D110, '2018_commission_structure'!$A$1:$A$4, 0),
MATCH(P$1, '2018_commission_structure'!$A$1:$I$1, 0)), 0)</f>
        <v>43125</v>
      </c>
      <c r="R110" s="11">
        <f>IF(G110&gt;K110, (G110-K110) *
INDEX('2018_commission_structure'!$A$1:$I$4,
MATCH($D110, '2018_commission_structure'!$A$1:$A$4,0),
MATCH(R$1, '2018_commission_structure'!$A$1:$I$1,0)), 0)</f>
        <v>0</v>
      </c>
      <c r="S110" s="11">
        <f t="shared" si="11"/>
        <v>150000</v>
      </c>
      <c r="T110" s="11" cm="1">
        <f t="array" ref="T110">SUM(E110+O110:Q110)</f>
        <v>455424</v>
      </c>
    </row>
    <row r="111" spans="1:20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 xml:space="preserve"> COUNTIF(deals_closed!D:D,A111)</f>
        <v>18</v>
      </c>
      <c r="G111" s="5">
        <f>SUMIF(deals_closed!D:D, calculations!A111, deals_closed!C:C)</f>
        <v>583650</v>
      </c>
      <c r="H111" s="5">
        <f>VLOOKUP(D111,'2018_commission_structure'!$A$2:$I$4,9,FALSE)</f>
        <v>500000</v>
      </c>
      <c r="I111" s="9">
        <f t="shared" si="6"/>
        <v>625000</v>
      </c>
      <c r="J111" s="8">
        <f t="shared" si="7"/>
        <v>750000</v>
      </c>
      <c r="K111" s="9">
        <f t="shared" si="8"/>
        <v>1000000</v>
      </c>
      <c r="L111" s="10">
        <f t="shared" si="9"/>
        <v>1.1673</v>
      </c>
      <c r="M111" t="str">
        <f t="shared" si="10"/>
        <v>100-125%</v>
      </c>
      <c r="N111" s="9">
        <f>MIN(H111, G111)*INDEX('2018_commission_structure'!$A$1:$I$4,
MATCH($D111, '2018_commission_structure'!$A$1:$A$4,0),
MATCH(N$1, '2018_commission_structure'!$A$1:$I$1,0))</f>
        <v>50000</v>
      </c>
      <c r="O111" s="11">
        <f>IF(G111&gt;H111, MIN(G111-H111, I111-H111)*
INDEX('2018_commission_structure'!$A$1:$I$4,
MATCH($D111, '2018_commission_structure'!$A$1:$A$4, 0),
MATCH(O$1, '2018_commission_structure'!$A$1:$I$1, 0)), 0)</f>
        <v>12547.5</v>
      </c>
      <c r="P111" s="11">
        <f>IF(G111&gt;H111, MIN(G111-H111, J111-H111)*
INDEX('2018_commission_structure'!$A$1:$I$4,
MATCH($D111, '2018_commission_structure'!$A$1:$A$4, 0),
MATCH(O$1, '2018_commission_structure'!$A$1:$I$1, 0)), 0)</f>
        <v>12547.5</v>
      </c>
      <c r="Q111" s="11">
        <f>IF(G111&gt;H111, MIN(G111-H111, I111-H111)*
INDEX('2018_commission_structure'!$A$1:$I$4,
MATCH($D111, '2018_commission_structure'!$A$1:$A$4, 0),
MATCH(P$1, '2018_commission_structure'!$A$1:$I$1, 0)), 0)</f>
        <v>15057</v>
      </c>
      <c r="R111" s="11">
        <f>IF(G111&gt;K111, (G111-K111) *
INDEX('2018_commission_structure'!$A$1:$I$4,
MATCH($D111, '2018_commission_structure'!$A$1:$A$4,0),
MATCH(R$1, '2018_commission_structure'!$A$1:$I$1,0)), 0)</f>
        <v>0</v>
      </c>
      <c r="S111" s="11">
        <f t="shared" si="11"/>
        <v>40152</v>
      </c>
      <c r="T111" s="11" cm="1">
        <f t="array" ref="T111">SUM(E111+O111:Q111)</f>
        <v>185367</v>
      </c>
    </row>
    <row r="112" spans="1:20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 xml:space="preserve"> COUNTIF(deals_closed!D:D,A112)</f>
        <v>22</v>
      </c>
      <c r="G112" s="5">
        <f>SUMIF(deals_closed!D:D, calculations!A112, deals_closed!C:C)</f>
        <v>870237</v>
      </c>
      <c r="H112" s="5">
        <f>VLOOKUP(D112,'2018_commission_structure'!$A$2:$I$4,9,FALSE)</f>
        <v>750000</v>
      </c>
      <c r="I112" s="9">
        <f t="shared" si="6"/>
        <v>937500</v>
      </c>
      <c r="J112" s="8">
        <f t="shared" si="7"/>
        <v>1125000</v>
      </c>
      <c r="K112" s="9">
        <f t="shared" si="8"/>
        <v>1500000</v>
      </c>
      <c r="L112" s="10">
        <f t="shared" si="9"/>
        <v>1.1603159999999999</v>
      </c>
      <c r="M112" t="str">
        <f t="shared" si="10"/>
        <v>100-125%</v>
      </c>
      <c r="N112" s="9">
        <f>MIN(H112, G112)*INDEX('2018_commission_structure'!$A$1:$I$4,
MATCH($D112, '2018_commission_structure'!$A$1:$A$4,0),
MATCH(N$1, '2018_commission_structure'!$A$1:$I$1,0))</f>
        <v>112500</v>
      </c>
      <c r="O112" s="11">
        <f>IF(G112&gt;H112, MIN(G112-H112, I112-H112)*
INDEX('2018_commission_structure'!$A$1:$I$4,
MATCH($D112, '2018_commission_structure'!$A$1:$A$4, 0),
MATCH(O$1, '2018_commission_structure'!$A$1:$I$1, 0)), 0)</f>
        <v>22845.03</v>
      </c>
      <c r="P112" s="11">
        <f>IF(G112&gt;H112, MIN(G112-H112, J112-H112)*
INDEX('2018_commission_structure'!$A$1:$I$4,
MATCH($D112, '2018_commission_structure'!$A$1:$A$4, 0),
MATCH(O$1, '2018_commission_structure'!$A$1:$I$1, 0)), 0)</f>
        <v>22845.03</v>
      </c>
      <c r="Q112" s="11">
        <f>IF(G112&gt;H112, MIN(G112-H112, I112-H112)*
INDEX('2018_commission_structure'!$A$1:$I$4,
MATCH($D112, '2018_commission_structure'!$A$1:$A$4, 0),
MATCH(P$1, '2018_commission_structure'!$A$1:$I$1, 0)), 0)</f>
        <v>27654.510000000002</v>
      </c>
      <c r="R112" s="11">
        <f>IF(G112&gt;K112, (G112-K112) *
INDEX('2018_commission_structure'!$A$1:$I$4,
MATCH($D112, '2018_commission_structure'!$A$1:$A$4,0),
MATCH(R$1, '2018_commission_structure'!$A$1:$I$1,0)), 0)</f>
        <v>0</v>
      </c>
      <c r="S112" s="11">
        <f t="shared" si="11"/>
        <v>73344.570000000007</v>
      </c>
      <c r="T112" s="11" cm="1">
        <f t="array" ref="T112">SUM(E112+O112:Q112)</f>
        <v>347019.57</v>
      </c>
    </row>
    <row r="113" spans="1:20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 xml:space="preserve"> COUNTIF(deals_closed!D:D,A113)</f>
        <v>21</v>
      </c>
      <c r="G113" s="5">
        <f>SUMIF(deals_closed!D:D, calculations!A113, deals_closed!C:C)</f>
        <v>809800</v>
      </c>
      <c r="H113" s="5">
        <f>VLOOKUP(D113,'2018_commission_structure'!$A$2:$I$4,9,FALSE)</f>
        <v>600000</v>
      </c>
      <c r="I113" s="9">
        <f t="shared" si="6"/>
        <v>750000</v>
      </c>
      <c r="J113" s="8">
        <f t="shared" si="7"/>
        <v>900000</v>
      </c>
      <c r="K113" s="9">
        <f t="shared" si="8"/>
        <v>1200000</v>
      </c>
      <c r="L113" s="10">
        <f t="shared" si="9"/>
        <v>1.3496666666666666</v>
      </c>
      <c r="M113" t="str">
        <f t="shared" si="10"/>
        <v>125-150%</v>
      </c>
      <c r="N113" s="9">
        <f>MIN(H113, G113)*INDEX('2018_commission_structure'!$A$1:$I$4,
MATCH($D113, '2018_commission_structure'!$A$1:$A$4,0),
MATCH(N$1, '2018_commission_structure'!$A$1:$I$1,0))</f>
        <v>78000</v>
      </c>
      <c r="O113" s="11">
        <f>IF(G113&gt;H113, MIN(G113-H113, I113-H113)*
INDEX('2018_commission_structure'!$A$1:$I$4,
MATCH($D113, '2018_commission_structure'!$A$1:$A$4, 0),
MATCH(O$1, '2018_commission_structure'!$A$1:$I$1, 0)), 0)</f>
        <v>25500.000000000004</v>
      </c>
      <c r="P113" s="11">
        <f>IF(G113&gt;H113, MIN(G113-H113, J113-H113)*
INDEX('2018_commission_structure'!$A$1:$I$4,
MATCH($D113, '2018_commission_structure'!$A$1:$A$4, 0),
MATCH(O$1, '2018_commission_structure'!$A$1:$I$1, 0)), 0)</f>
        <v>35666</v>
      </c>
      <c r="Q113" s="11">
        <f>IF(G113&gt;H113, MIN(G113-H113, I113-H113)*
INDEX('2018_commission_structure'!$A$1:$I$4,
MATCH($D113, '2018_commission_structure'!$A$1:$A$4, 0),
MATCH(P$1, '2018_commission_structure'!$A$1:$I$1, 0)), 0)</f>
        <v>31500</v>
      </c>
      <c r="R113" s="11">
        <f>IF(G113&gt;K113, (G113-K113) *
INDEX('2018_commission_structure'!$A$1:$I$4,
MATCH($D113, '2018_commission_structure'!$A$1:$A$4,0),
MATCH(R$1, '2018_commission_structure'!$A$1:$I$1,0)), 0)</f>
        <v>0</v>
      </c>
      <c r="S113" s="11">
        <f t="shared" si="11"/>
        <v>92666</v>
      </c>
      <c r="T113" s="11" cm="1">
        <f t="array" ref="T113">SUM(E113+O113:Q113)</f>
        <v>293738</v>
      </c>
    </row>
    <row r="114" spans="1:20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 xml:space="preserve"> COUNTIF(deals_closed!D:D,A114)</f>
        <v>22</v>
      </c>
      <c r="G114" s="5">
        <f>SUMIF(deals_closed!D:D, calculations!A114, deals_closed!C:C)</f>
        <v>660983</v>
      </c>
      <c r="H114" s="5">
        <f>VLOOKUP(D114,'2018_commission_structure'!$A$2:$I$4,9,FALSE)</f>
        <v>750000</v>
      </c>
      <c r="I114" s="9">
        <f t="shared" si="6"/>
        <v>937500</v>
      </c>
      <c r="J114" s="8">
        <f t="shared" si="7"/>
        <v>1125000</v>
      </c>
      <c r="K114" s="9">
        <f t="shared" si="8"/>
        <v>1500000</v>
      </c>
      <c r="L114" s="10">
        <f t="shared" si="9"/>
        <v>0.88131066666666669</v>
      </c>
      <c r="M114" t="str">
        <f t="shared" si="10"/>
        <v>0-100%</v>
      </c>
      <c r="N114" s="9">
        <f>MIN(H114, G114)*INDEX('2018_commission_structure'!$A$1:$I$4,
MATCH($D114, '2018_commission_structure'!$A$1:$A$4,0),
MATCH(N$1, '2018_commission_structure'!$A$1:$I$1,0))</f>
        <v>99147.45</v>
      </c>
      <c r="O114" s="11">
        <f>IF(G114&gt;H114, MIN(G114-H114, I114-H114)*
INDEX('2018_commission_structure'!$A$1:$I$4,
MATCH($D114, '2018_commission_structure'!$A$1:$A$4, 0),
MATCH(O$1, '2018_commission_structure'!$A$1:$I$1, 0)), 0)</f>
        <v>0</v>
      </c>
      <c r="P114" s="11">
        <f>IF(G114&gt;H114, MIN(G114-H114, J114-H114)*
INDEX('2018_commission_structure'!$A$1:$I$4,
MATCH($D114, '2018_commission_structure'!$A$1:$A$4, 0),
MATCH(O$1, '2018_commission_structure'!$A$1:$I$1, 0)), 0)</f>
        <v>0</v>
      </c>
      <c r="Q114" s="11">
        <f>IF(G114&gt;H114, MIN(G114-H114, I114-H114)*
INDEX('2018_commission_structure'!$A$1:$I$4,
MATCH($D114, '2018_commission_structure'!$A$1:$A$4, 0),
MATCH(P$1, '2018_commission_structure'!$A$1:$I$1, 0)), 0)</f>
        <v>0</v>
      </c>
      <c r="R114" s="11">
        <f>IF(G114&gt;K114, (G114-K114) *
INDEX('2018_commission_structure'!$A$1:$I$4,
MATCH($D114, '2018_commission_structure'!$A$1:$A$4,0),
MATCH(R$1, '2018_commission_structure'!$A$1:$I$1,0)), 0)</f>
        <v>0</v>
      </c>
      <c r="S114" s="11">
        <f t="shared" si="11"/>
        <v>0</v>
      </c>
      <c r="T114" s="11" cm="1">
        <f t="array" ref="T114">SUM(E114+O114:Q114)</f>
        <v>340578</v>
      </c>
    </row>
    <row r="115" spans="1:20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 xml:space="preserve"> COUNTIF(deals_closed!D:D,A115)</f>
        <v>25</v>
      </c>
      <c r="G115" s="5">
        <f>SUMIF(deals_closed!D:D, calculations!A115, deals_closed!C:C)</f>
        <v>914251</v>
      </c>
      <c r="H115" s="5">
        <f>VLOOKUP(D115,'2018_commission_structure'!$A$2:$I$4,9,FALSE)</f>
        <v>500000</v>
      </c>
      <c r="I115" s="9">
        <f t="shared" si="6"/>
        <v>625000</v>
      </c>
      <c r="J115" s="8">
        <f t="shared" si="7"/>
        <v>750000</v>
      </c>
      <c r="K115" s="9">
        <f t="shared" si="8"/>
        <v>1000000</v>
      </c>
      <c r="L115" s="10">
        <f t="shared" si="9"/>
        <v>1.8285020000000001</v>
      </c>
      <c r="M115" t="str">
        <f t="shared" si="10"/>
        <v>150-200%</v>
      </c>
      <c r="N115" s="9">
        <f>MIN(H115, G115)*INDEX('2018_commission_structure'!$A$1:$I$4,
MATCH($D115, '2018_commission_structure'!$A$1:$A$4,0),
MATCH(N$1, '2018_commission_structure'!$A$1:$I$1,0))</f>
        <v>50000</v>
      </c>
      <c r="O115" s="11">
        <f>IF(G115&gt;H115, MIN(G115-H115, I115-H115)*
INDEX('2018_commission_structure'!$A$1:$I$4,
MATCH($D115, '2018_commission_structure'!$A$1:$A$4, 0),
MATCH(O$1, '2018_commission_structure'!$A$1:$I$1, 0)), 0)</f>
        <v>18750</v>
      </c>
      <c r="P115" s="11">
        <f>IF(G115&gt;H115, MIN(G115-H115, J115-H115)*
INDEX('2018_commission_structure'!$A$1:$I$4,
MATCH($D115, '2018_commission_structure'!$A$1:$A$4, 0),
MATCH(O$1, '2018_commission_structure'!$A$1:$I$1, 0)), 0)</f>
        <v>37500</v>
      </c>
      <c r="Q115" s="11">
        <f>IF(G115&gt;H115, MIN(G115-H115, I115-H115)*
INDEX('2018_commission_structure'!$A$1:$I$4,
MATCH($D115, '2018_commission_structure'!$A$1:$A$4, 0),
MATCH(P$1, '2018_commission_structure'!$A$1:$I$1, 0)), 0)</f>
        <v>22500</v>
      </c>
      <c r="R115" s="11">
        <f>IF(G115&gt;K115, (G115-K115) *
INDEX('2018_commission_structure'!$A$1:$I$4,
MATCH($D115, '2018_commission_structure'!$A$1:$A$4,0),
MATCH(R$1, '2018_commission_structure'!$A$1:$I$1,0)), 0)</f>
        <v>0</v>
      </c>
      <c r="S115" s="11">
        <f t="shared" si="11"/>
        <v>78750</v>
      </c>
      <c r="T115" s="11" cm="1">
        <f t="array" ref="T115">SUM(E115+O115:Q115)</f>
        <v>257079</v>
      </c>
    </row>
    <row r="116" spans="1:20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 xml:space="preserve"> COUNTIF(deals_closed!D:D,A116)</f>
        <v>19</v>
      </c>
      <c r="G116" s="5">
        <f>SUMIF(deals_closed!D:D, calculations!A116, deals_closed!C:C)</f>
        <v>683114</v>
      </c>
      <c r="H116" s="5">
        <f>VLOOKUP(D116,'2018_commission_structure'!$A$2:$I$4,9,FALSE)</f>
        <v>600000</v>
      </c>
      <c r="I116" s="9">
        <f t="shared" si="6"/>
        <v>750000</v>
      </c>
      <c r="J116" s="8">
        <f t="shared" si="7"/>
        <v>900000</v>
      </c>
      <c r="K116" s="9">
        <f t="shared" si="8"/>
        <v>1200000</v>
      </c>
      <c r="L116" s="10">
        <f t="shared" si="9"/>
        <v>1.1385233333333333</v>
      </c>
      <c r="M116" t="str">
        <f t="shared" si="10"/>
        <v>100-125%</v>
      </c>
      <c r="N116" s="9">
        <f>MIN(H116, G116)*INDEX('2018_commission_structure'!$A$1:$I$4,
MATCH($D116, '2018_commission_structure'!$A$1:$A$4,0),
MATCH(N$1, '2018_commission_structure'!$A$1:$I$1,0))</f>
        <v>78000</v>
      </c>
      <c r="O116" s="11">
        <f>IF(G116&gt;H116, MIN(G116-H116, I116-H116)*
INDEX('2018_commission_structure'!$A$1:$I$4,
MATCH($D116, '2018_commission_structure'!$A$1:$A$4, 0),
MATCH(O$1, '2018_commission_structure'!$A$1:$I$1, 0)), 0)</f>
        <v>14129.380000000001</v>
      </c>
      <c r="P116" s="11">
        <f>IF(G116&gt;H116, MIN(G116-H116, J116-H116)*
INDEX('2018_commission_structure'!$A$1:$I$4,
MATCH($D116, '2018_commission_structure'!$A$1:$A$4, 0),
MATCH(O$1, '2018_commission_structure'!$A$1:$I$1, 0)), 0)</f>
        <v>14129.380000000001</v>
      </c>
      <c r="Q116" s="11">
        <f>IF(G116&gt;H116, MIN(G116-H116, I116-H116)*
INDEX('2018_commission_structure'!$A$1:$I$4,
MATCH($D116, '2018_commission_structure'!$A$1:$A$4, 0),
MATCH(P$1, '2018_commission_structure'!$A$1:$I$1, 0)), 0)</f>
        <v>17453.939999999999</v>
      </c>
      <c r="R116" s="11">
        <f>IF(G116&gt;K116, (G116-K116) *
INDEX('2018_commission_structure'!$A$1:$I$4,
MATCH($D116, '2018_commission_structure'!$A$1:$A$4,0),
MATCH(R$1, '2018_commission_structure'!$A$1:$I$1,0)), 0)</f>
        <v>0</v>
      </c>
      <c r="S116" s="11">
        <f t="shared" si="11"/>
        <v>45712.7</v>
      </c>
      <c r="T116" s="11" cm="1">
        <f t="array" ref="T116">SUM(E116+O116:Q116)</f>
        <v>263959.7</v>
      </c>
    </row>
    <row r="117" spans="1:20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 xml:space="preserve"> COUNTIF(deals_closed!D:D,A117)</f>
        <v>16</v>
      </c>
      <c r="G117" s="5">
        <f>SUMIF(deals_closed!D:D, calculations!A117, deals_closed!C:C)</f>
        <v>616018</v>
      </c>
      <c r="H117" s="5">
        <f>VLOOKUP(D117,'2018_commission_structure'!$A$2:$I$4,9,FALSE)</f>
        <v>750000</v>
      </c>
      <c r="I117" s="9">
        <f t="shared" si="6"/>
        <v>937500</v>
      </c>
      <c r="J117" s="8">
        <f t="shared" si="7"/>
        <v>1125000</v>
      </c>
      <c r="K117" s="9">
        <f t="shared" si="8"/>
        <v>1500000</v>
      </c>
      <c r="L117" s="10">
        <f t="shared" si="9"/>
        <v>0.82135733333333338</v>
      </c>
      <c r="M117" t="str">
        <f t="shared" si="10"/>
        <v>0-100%</v>
      </c>
      <c r="N117" s="9">
        <f>MIN(H117, G117)*INDEX('2018_commission_structure'!$A$1:$I$4,
MATCH($D117, '2018_commission_structure'!$A$1:$A$4,0),
MATCH(N$1, '2018_commission_structure'!$A$1:$I$1,0))</f>
        <v>92402.7</v>
      </c>
      <c r="O117" s="11">
        <f>IF(G117&gt;H117, MIN(G117-H117, I117-H117)*
INDEX('2018_commission_structure'!$A$1:$I$4,
MATCH($D117, '2018_commission_structure'!$A$1:$A$4, 0),
MATCH(O$1, '2018_commission_structure'!$A$1:$I$1, 0)), 0)</f>
        <v>0</v>
      </c>
      <c r="P117" s="11">
        <f>IF(G117&gt;H117, MIN(G117-H117, J117-H117)*
INDEX('2018_commission_structure'!$A$1:$I$4,
MATCH($D117, '2018_commission_structure'!$A$1:$A$4, 0),
MATCH(O$1, '2018_commission_structure'!$A$1:$I$1, 0)), 0)</f>
        <v>0</v>
      </c>
      <c r="Q117" s="11">
        <f>IF(G117&gt;H117, MIN(G117-H117, I117-H117)*
INDEX('2018_commission_structure'!$A$1:$I$4,
MATCH($D117, '2018_commission_structure'!$A$1:$A$4, 0),
MATCH(P$1, '2018_commission_structure'!$A$1:$I$1, 0)), 0)</f>
        <v>0</v>
      </c>
      <c r="R117" s="11">
        <f>IF(G117&gt;K117, (G117-K117) *
INDEX('2018_commission_structure'!$A$1:$I$4,
MATCH($D117, '2018_commission_structure'!$A$1:$A$4,0),
MATCH(R$1, '2018_commission_structure'!$A$1:$I$1,0)), 0)</f>
        <v>0</v>
      </c>
      <c r="S117" s="11">
        <f t="shared" si="11"/>
        <v>0</v>
      </c>
      <c r="T117" s="11" cm="1">
        <f t="array" ref="T117">SUM(E117+O117:Q117)</f>
        <v>329334</v>
      </c>
    </row>
    <row r="118" spans="1:20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 xml:space="preserve"> COUNTIF(deals_closed!D:D,A118)</f>
        <v>11</v>
      </c>
      <c r="G118" s="5">
        <f>SUMIF(deals_closed!D:D, calculations!A118, deals_closed!C:C)</f>
        <v>393982</v>
      </c>
      <c r="H118" s="5">
        <f>VLOOKUP(D118,'2018_commission_structure'!$A$2:$I$4,9,FALSE)</f>
        <v>750000</v>
      </c>
      <c r="I118" s="9">
        <f t="shared" si="6"/>
        <v>937500</v>
      </c>
      <c r="J118" s="8">
        <f t="shared" si="7"/>
        <v>1125000</v>
      </c>
      <c r="K118" s="9">
        <f t="shared" si="8"/>
        <v>1500000</v>
      </c>
      <c r="L118" s="10">
        <f t="shared" si="9"/>
        <v>0.52530933333333329</v>
      </c>
      <c r="M118" t="str">
        <f t="shared" si="10"/>
        <v>0-100%</v>
      </c>
      <c r="N118" s="9">
        <f>MIN(H118, G118)*INDEX('2018_commission_structure'!$A$1:$I$4,
MATCH($D118, '2018_commission_structure'!$A$1:$A$4,0),
MATCH(N$1, '2018_commission_structure'!$A$1:$I$1,0))</f>
        <v>59097.299999999996</v>
      </c>
      <c r="O118" s="11">
        <f>IF(G118&gt;H118, MIN(G118-H118, I118-H118)*
INDEX('2018_commission_structure'!$A$1:$I$4,
MATCH($D118, '2018_commission_structure'!$A$1:$A$4, 0),
MATCH(O$1, '2018_commission_structure'!$A$1:$I$1, 0)), 0)</f>
        <v>0</v>
      </c>
      <c r="P118" s="11">
        <f>IF(G118&gt;H118, MIN(G118-H118, J118-H118)*
INDEX('2018_commission_structure'!$A$1:$I$4,
MATCH($D118, '2018_commission_structure'!$A$1:$A$4, 0),
MATCH(O$1, '2018_commission_structure'!$A$1:$I$1, 0)), 0)</f>
        <v>0</v>
      </c>
      <c r="Q118" s="11">
        <f>IF(G118&gt;H118, MIN(G118-H118, I118-H118)*
INDEX('2018_commission_structure'!$A$1:$I$4,
MATCH($D118, '2018_commission_structure'!$A$1:$A$4, 0),
MATCH(P$1, '2018_commission_structure'!$A$1:$I$1, 0)), 0)</f>
        <v>0</v>
      </c>
      <c r="R118" s="11">
        <f>IF(G118&gt;K118, (G118-K118) *
INDEX('2018_commission_structure'!$A$1:$I$4,
MATCH($D118, '2018_commission_structure'!$A$1:$A$4,0),
MATCH(R$1, '2018_commission_structure'!$A$1:$I$1,0)), 0)</f>
        <v>0</v>
      </c>
      <c r="S118" s="11">
        <f t="shared" si="11"/>
        <v>0</v>
      </c>
      <c r="T118" s="11" cm="1">
        <f t="array" ref="T118">SUM(E118+O118:Q118)</f>
        <v>340974</v>
      </c>
    </row>
    <row r="119" spans="1:20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 xml:space="preserve"> COUNTIF(deals_closed!D:D,A119)</f>
        <v>18</v>
      </c>
      <c r="G119" s="5">
        <f>SUMIF(deals_closed!D:D, calculations!A119, deals_closed!C:C)</f>
        <v>721356</v>
      </c>
      <c r="H119" s="5">
        <f>VLOOKUP(D119,'2018_commission_structure'!$A$2:$I$4,9,FALSE)</f>
        <v>500000</v>
      </c>
      <c r="I119" s="9">
        <f t="shared" si="6"/>
        <v>625000</v>
      </c>
      <c r="J119" s="8">
        <f t="shared" si="7"/>
        <v>750000</v>
      </c>
      <c r="K119" s="9">
        <f t="shared" si="8"/>
        <v>1000000</v>
      </c>
      <c r="L119" s="10">
        <f t="shared" si="9"/>
        <v>1.442712</v>
      </c>
      <c r="M119" t="str">
        <f t="shared" si="10"/>
        <v>125-150%</v>
      </c>
      <c r="N119" s="9">
        <f>MIN(H119, G119)*INDEX('2018_commission_structure'!$A$1:$I$4,
MATCH($D119, '2018_commission_structure'!$A$1:$A$4,0),
MATCH(N$1, '2018_commission_structure'!$A$1:$I$1,0))</f>
        <v>50000</v>
      </c>
      <c r="O119" s="11">
        <f>IF(G119&gt;H119, MIN(G119-H119, I119-H119)*
INDEX('2018_commission_structure'!$A$1:$I$4,
MATCH($D119, '2018_commission_structure'!$A$1:$A$4, 0),
MATCH(O$1, '2018_commission_structure'!$A$1:$I$1, 0)), 0)</f>
        <v>18750</v>
      </c>
      <c r="P119" s="11">
        <f>IF(G119&gt;H119, MIN(G119-H119, J119-H119)*
INDEX('2018_commission_structure'!$A$1:$I$4,
MATCH($D119, '2018_commission_structure'!$A$1:$A$4, 0),
MATCH(O$1, '2018_commission_structure'!$A$1:$I$1, 0)), 0)</f>
        <v>33203.4</v>
      </c>
      <c r="Q119" s="11">
        <f>IF(G119&gt;H119, MIN(G119-H119, I119-H119)*
INDEX('2018_commission_structure'!$A$1:$I$4,
MATCH($D119, '2018_commission_structure'!$A$1:$A$4, 0),
MATCH(P$1, '2018_commission_structure'!$A$1:$I$1, 0)), 0)</f>
        <v>22500</v>
      </c>
      <c r="R119" s="11">
        <f>IF(G119&gt;K119, (G119-K119) *
INDEX('2018_commission_structure'!$A$1:$I$4,
MATCH($D119, '2018_commission_structure'!$A$1:$A$4,0),
MATCH(R$1, '2018_commission_structure'!$A$1:$I$1,0)), 0)</f>
        <v>0</v>
      </c>
      <c r="S119" s="11">
        <f t="shared" si="11"/>
        <v>74453.399999999994</v>
      </c>
      <c r="T119" s="11" cm="1">
        <f t="array" ref="T119">SUM(E119+O119:Q119)</f>
        <v>223928.4</v>
      </c>
    </row>
    <row r="120" spans="1:20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 xml:space="preserve"> COUNTIF(deals_closed!D:D,A120)</f>
        <v>30</v>
      </c>
      <c r="G120" s="5">
        <f>SUMIF(deals_closed!D:D, calculations!A120, deals_closed!C:C)</f>
        <v>1096136</v>
      </c>
      <c r="H120" s="5">
        <f>VLOOKUP(D120,'2018_commission_structure'!$A$2:$I$4,9,FALSE)</f>
        <v>750000</v>
      </c>
      <c r="I120" s="9">
        <f t="shared" si="6"/>
        <v>937500</v>
      </c>
      <c r="J120" s="8">
        <f t="shared" si="7"/>
        <v>1125000</v>
      </c>
      <c r="K120" s="9">
        <f t="shared" si="8"/>
        <v>1500000</v>
      </c>
      <c r="L120" s="10">
        <f t="shared" si="9"/>
        <v>1.4615146666666667</v>
      </c>
      <c r="M120" t="str">
        <f t="shared" si="10"/>
        <v>125-150%</v>
      </c>
      <c r="N120" s="9">
        <f>MIN(H120, G120)*INDEX('2018_commission_structure'!$A$1:$I$4,
MATCH($D120, '2018_commission_structure'!$A$1:$A$4,0),
MATCH(N$1, '2018_commission_structure'!$A$1:$I$1,0))</f>
        <v>112500</v>
      </c>
      <c r="O120" s="11">
        <f>IF(G120&gt;H120, MIN(G120-H120, I120-H120)*
INDEX('2018_commission_structure'!$A$1:$I$4,
MATCH($D120, '2018_commission_structure'!$A$1:$A$4, 0),
MATCH(O$1, '2018_commission_structure'!$A$1:$I$1, 0)), 0)</f>
        <v>35625</v>
      </c>
      <c r="P120" s="11">
        <f>IF(G120&gt;H120, MIN(G120-H120, J120-H120)*
INDEX('2018_commission_structure'!$A$1:$I$4,
MATCH($D120, '2018_commission_structure'!$A$1:$A$4, 0),
MATCH(O$1, '2018_commission_structure'!$A$1:$I$1, 0)), 0)</f>
        <v>65765.84</v>
      </c>
      <c r="Q120" s="11">
        <f>IF(G120&gt;H120, MIN(G120-H120, I120-H120)*
INDEX('2018_commission_structure'!$A$1:$I$4,
MATCH($D120, '2018_commission_structure'!$A$1:$A$4, 0),
MATCH(P$1, '2018_commission_structure'!$A$1:$I$1, 0)), 0)</f>
        <v>43125</v>
      </c>
      <c r="R120" s="11">
        <f>IF(G120&gt;K120, (G120-K120) *
INDEX('2018_commission_structure'!$A$1:$I$4,
MATCH($D120, '2018_commission_structure'!$A$1:$A$4,0),
MATCH(R$1, '2018_commission_structure'!$A$1:$I$1,0)), 0)</f>
        <v>0</v>
      </c>
      <c r="S120" s="11">
        <f t="shared" si="11"/>
        <v>144515.84</v>
      </c>
      <c r="T120" s="11" cm="1">
        <f t="array" ref="T120">SUM(E120+O120:Q120)</f>
        <v>430559.83999999997</v>
      </c>
    </row>
    <row r="121" spans="1:20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 xml:space="preserve"> COUNTIF(deals_closed!D:D,A121)</f>
        <v>23</v>
      </c>
      <c r="G121" s="5">
        <f>SUMIF(deals_closed!D:D, calculations!A121, deals_closed!C:C)</f>
        <v>778958</v>
      </c>
      <c r="H121" s="5">
        <f>VLOOKUP(D121,'2018_commission_structure'!$A$2:$I$4,9,FALSE)</f>
        <v>600000</v>
      </c>
      <c r="I121" s="9">
        <f t="shared" si="6"/>
        <v>750000</v>
      </c>
      <c r="J121" s="8">
        <f t="shared" si="7"/>
        <v>900000</v>
      </c>
      <c r="K121" s="9">
        <f t="shared" si="8"/>
        <v>1200000</v>
      </c>
      <c r="L121" s="10">
        <f t="shared" si="9"/>
        <v>1.2982633333333333</v>
      </c>
      <c r="M121" t="str">
        <f t="shared" si="10"/>
        <v>125-150%</v>
      </c>
      <c r="N121" s="9">
        <f>MIN(H121, G121)*INDEX('2018_commission_structure'!$A$1:$I$4,
MATCH($D121, '2018_commission_structure'!$A$1:$A$4,0),
MATCH(N$1, '2018_commission_structure'!$A$1:$I$1,0))</f>
        <v>78000</v>
      </c>
      <c r="O121" s="11">
        <f>IF(G121&gt;H121, MIN(G121-H121, I121-H121)*
INDEX('2018_commission_structure'!$A$1:$I$4,
MATCH($D121, '2018_commission_structure'!$A$1:$A$4, 0),
MATCH(O$1, '2018_commission_structure'!$A$1:$I$1, 0)), 0)</f>
        <v>25500.000000000004</v>
      </c>
      <c r="P121" s="11">
        <f>IF(G121&gt;H121, MIN(G121-H121, J121-H121)*
INDEX('2018_commission_structure'!$A$1:$I$4,
MATCH($D121, '2018_commission_structure'!$A$1:$A$4, 0),
MATCH(O$1, '2018_commission_structure'!$A$1:$I$1, 0)), 0)</f>
        <v>30422.86</v>
      </c>
      <c r="Q121" s="11">
        <f>IF(G121&gt;H121, MIN(G121-H121, I121-H121)*
INDEX('2018_commission_structure'!$A$1:$I$4,
MATCH($D121, '2018_commission_structure'!$A$1:$A$4, 0),
MATCH(P$1, '2018_commission_structure'!$A$1:$I$1, 0)), 0)</f>
        <v>31500</v>
      </c>
      <c r="R121" s="11">
        <f>IF(G121&gt;K121, (G121-K121) *
INDEX('2018_commission_structure'!$A$1:$I$4,
MATCH($D121, '2018_commission_structure'!$A$1:$A$4,0),
MATCH(R$1, '2018_commission_structure'!$A$1:$I$1,0)), 0)</f>
        <v>0</v>
      </c>
      <c r="S121" s="11">
        <f t="shared" si="11"/>
        <v>87422.86</v>
      </c>
      <c r="T121" s="11" cm="1">
        <f t="array" ref="T121">SUM(E121+O121:Q121)</f>
        <v>274631.86</v>
      </c>
    </row>
    <row r="122" spans="1:20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 xml:space="preserve"> COUNTIF(deals_closed!D:D,A122)</f>
        <v>30</v>
      </c>
      <c r="G122" s="5">
        <f>SUMIF(deals_closed!D:D, calculations!A122, deals_closed!C:C)</f>
        <v>963557</v>
      </c>
      <c r="H122" s="5">
        <f>VLOOKUP(D122,'2018_commission_structure'!$A$2:$I$4,9,FALSE)</f>
        <v>750000</v>
      </c>
      <c r="I122" s="9">
        <f t="shared" si="6"/>
        <v>937500</v>
      </c>
      <c r="J122" s="8">
        <f t="shared" si="7"/>
        <v>1125000</v>
      </c>
      <c r="K122" s="9">
        <f t="shared" si="8"/>
        <v>1500000</v>
      </c>
      <c r="L122" s="10">
        <f t="shared" si="9"/>
        <v>1.2847426666666666</v>
      </c>
      <c r="M122" t="str">
        <f t="shared" si="10"/>
        <v>125-150%</v>
      </c>
      <c r="N122" s="9">
        <f>MIN(H122, G122)*INDEX('2018_commission_structure'!$A$1:$I$4,
MATCH($D122, '2018_commission_structure'!$A$1:$A$4,0),
MATCH(N$1, '2018_commission_structure'!$A$1:$I$1,0))</f>
        <v>112500</v>
      </c>
      <c r="O122" s="11">
        <f>IF(G122&gt;H122, MIN(G122-H122, I122-H122)*
INDEX('2018_commission_structure'!$A$1:$I$4,
MATCH($D122, '2018_commission_structure'!$A$1:$A$4, 0),
MATCH(O$1, '2018_commission_structure'!$A$1:$I$1, 0)), 0)</f>
        <v>35625</v>
      </c>
      <c r="P122" s="11">
        <f>IF(G122&gt;H122, MIN(G122-H122, J122-H122)*
INDEX('2018_commission_structure'!$A$1:$I$4,
MATCH($D122, '2018_commission_structure'!$A$1:$A$4, 0),
MATCH(O$1, '2018_commission_structure'!$A$1:$I$1, 0)), 0)</f>
        <v>40575.83</v>
      </c>
      <c r="Q122" s="11">
        <f>IF(G122&gt;H122, MIN(G122-H122, I122-H122)*
INDEX('2018_commission_structure'!$A$1:$I$4,
MATCH($D122, '2018_commission_structure'!$A$1:$A$4, 0),
MATCH(P$1, '2018_commission_structure'!$A$1:$I$1, 0)), 0)</f>
        <v>43125</v>
      </c>
      <c r="R122" s="11">
        <f>IF(G122&gt;K122, (G122-K122) *
INDEX('2018_commission_structure'!$A$1:$I$4,
MATCH($D122, '2018_commission_structure'!$A$1:$A$4,0),
MATCH(R$1, '2018_commission_structure'!$A$1:$I$1,0)), 0)</f>
        <v>0</v>
      </c>
      <c r="S122" s="11">
        <f t="shared" si="11"/>
        <v>119325.83</v>
      </c>
      <c r="T122" s="11" cm="1">
        <f t="array" ref="T122">SUM(E122+O122:Q122)</f>
        <v>408468.83</v>
      </c>
    </row>
    <row r="123" spans="1:20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 xml:space="preserve"> COUNTIF(deals_closed!D:D,A123)</f>
        <v>22</v>
      </c>
      <c r="G123" s="5">
        <f>SUMIF(deals_closed!D:D, calculations!A123, deals_closed!C:C)</f>
        <v>876505</v>
      </c>
      <c r="H123" s="5">
        <f>VLOOKUP(D123,'2018_commission_structure'!$A$2:$I$4,9,FALSE)</f>
        <v>600000</v>
      </c>
      <c r="I123" s="9">
        <f t="shared" si="6"/>
        <v>750000</v>
      </c>
      <c r="J123" s="8">
        <f t="shared" si="7"/>
        <v>900000</v>
      </c>
      <c r="K123" s="9">
        <f t="shared" si="8"/>
        <v>1200000</v>
      </c>
      <c r="L123" s="10">
        <f t="shared" si="9"/>
        <v>1.4608416666666666</v>
      </c>
      <c r="M123" t="str">
        <f t="shared" si="10"/>
        <v>125-150%</v>
      </c>
      <c r="N123" s="9">
        <f>MIN(H123, G123)*INDEX('2018_commission_structure'!$A$1:$I$4,
MATCH($D123, '2018_commission_structure'!$A$1:$A$4,0),
MATCH(N$1, '2018_commission_structure'!$A$1:$I$1,0))</f>
        <v>78000</v>
      </c>
      <c r="O123" s="11">
        <f>IF(G123&gt;H123, MIN(G123-H123, I123-H123)*
INDEX('2018_commission_structure'!$A$1:$I$4,
MATCH($D123, '2018_commission_structure'!$A$1:$A$4, 0),
MATCH(O$1, '2018_commission_structure'!$A$1:$I$1, 0)), 0)</f>
        <v>25500.000000000004</v>
      </c>
      <c r="P123" s="11">
        <f>IF(G123&gt;H123, MIN(G123-H123, J123-H123)*
INDEX('2018_commission_structure'!$A$1:$I$4,
MATCH($D123, '2018_commission_structure'!$A$1:$A$4, 0),
MATCH(O$1, '2018_commission_structure'!$A$1:$I$1, 0)), 0)</f>
        <v>47005.850000000006</v>
      </c>
      <c r="Q123" s="11">
        <f>IF(G123&gt;H123, MIN(G123-H123, I123-H123)*
INDEX('2018_commission_structure'!$A$1:$I$4,
MATCH($D123, '2018_commission_structure'!$A$1:$A$4, 0),
MATCH(P$1, '2018_commission_structure'!$A$1:$I$1, 0)), 0)</f>
        <v>31500</v>
      </c>
      <c r="R123" s="11">
        <f>IF(G123&gt;K123, (G123-K123) *
INDEX('2018_commission_structure'!$A$1:$I$4,
MATCH($D123, '2018_commission_structure'!$A$1:$A$4,0),
MATCH(R$1, '2018_commission_structure'!$A$1:$I$1,0)), 0)</f>
        <v>0</v>
      </c>
      <c r="S123" s="11">
        <f t="shared" si="11"/>
        <v>104005.85</v>
      </c>
      <c r="T123" s="11" cm="1">
        <f t="array" ref="T123">SUM(E123+O123:Q123)</f>
        <v>343819.85</v>
      </c>
    </row>
    <row r="124" spans="1:20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 xml:space="preserve"> COUNTIF(deals_closed!D:D,A124)</f>
        <v>15</v>
      </c>
      <c r="G124" s="5">
        <f>SUMIF(deals_closed!D:D, calculations!A124, deals_closed!C:C)</f>
        <v>543471</v>
      </c>
      <c r="H124" s="5">
        <f>VLOOKUP(D124,'2018_commission_structure'!$A$2:$I$4,9,FALSE)</f>
        <v>500000</v>
      </c>
      <c r="I124" s="9">
        <f t="shared" si="6"/>
        <v>625000</v>
      </c>
      <c r="J124" s="8">
        <f t="shared" si="7"/>
        <v>750000</v>
      </c>
      <c r="K124" s="9">
        <f t="shared" si="8"/>
        <v>1000000</v>
      </c>
      <c r="L124" s="10">
        <f t="shared" si="9"/>
        <v>1.0869420000000001</v>
      </c>
      <c r="M124" t="str">
        <f t="shared" si="10"/>
        <v>100-125%</v>
      </c>
      <c r="N124" s="9">
        <f>MIN(H124, G124)*INDEX('2018_commission_structure'!$A$1:$I$4,
MATCH($D124, '2018_commission_structure'!$A$1:$A$4,0),
MATCH(N$1, '2018_commission_structure'!$A$1:$I$1,0))</f>
        <v>50000</v>
      </c>
      <c r="O124" s="11">
        <f>IF(G124&gt;H124, MIN(G124-H124, I124-H124)*
INDEX('2018_commission_structure'!$A$1:$I$4,
MATCH($D124, '2018_commission_structure'!$A$1:$A$4, 0),
MATCH(O$1, '2018_commission_structure'!$A$1:$I$1, 0)), 0)</f>
        <v>6520.65</v>
      </c>
      <c r="P124" s="11">
        <f>IF(G124&gt;H124, MIN(G124-H124, J124-H124)*
INDEX('2018_commission_structure'!$A$1:$I$4,
MATCH($D124, '2018_commission_structure'!$A$1:$A$4, 0),
MATCH(O$1, '2018_commission_structure'!$A$1:$I$1, 0)), 0)</f>
        <v>6520.65</v>
      </c>
      <c r="Q124" s="11">
        <f>IF(G124&gt;H124, MIN(G124-H124, I124-H124)*
INDEX('2018_commission_structure'!$A$1:$I$4,
MATCH($D124, '2018_commission_structure'!$A$1:$A$4, 0),
MATCH(P$1, '2018_commission_structure'!$A$1:$I$1, 0)), 0)</f>
        <v>7824.78</v>
      </c>
      <c r="R124" s="11">
        <f>IF(G124&gt;K124, (G124-K124) *
INDEX('2018_commission_structure'!$A$1:$I$4,
MATCH($D124, '2018_commission_structure'!$A$1:$A$4,0),
MATCH(R$1, '2018_commission_structure'!$A$1:$I$1,0)), 0)</f>
        <v>0</v>
      </c>
      <c r="S124" s="11">
        <f t="shared" si="11"/>
        <v>20866.079999999998</v>
      </c>
      <c r="T124" s="11" cm="1">
        <f t="array" ref="T124">SUM(E124+O124:Q124)</f>
        <v>120214.08</v>
      </c>
    </row>
    <row r="125" spans="1:20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 xml:space="preserve"> COUNTIF(deals_closed!D:D,A125)</f>
        <v>25</v>
      </c>
      <c r="G125" s="5">
        <f>SUMIF(deals_closed!D:D, calculations!A125, deals_closed!C:C)</f>
        <v>919261</v>
      </c>
      <c r="H125" s="5">
        <f>VLOOKUP(D125,'2018_commission_structure'!$A$2:$I$4,9,FALSE)</f>
        <v>500000</v>
      </c>
      <c r="I125" s="9">
        <f t="shared" si="6"/>
        <v>625000</v>
      </c>
      <c r="J125" s="8">
        <f t="shared" si="7"/>
        <v>750000</v>
      </c>
      <c r="K125" s="9">
        <f t="shared" si="8"/>
        <v>1000000</v>
      </c>
      <c r="L125" s="10">
        <f t="shared" si="9"/>
        <v>1.838522</v>
      </c>
      <c r="M125" t="str">
        <f t="shared" si="10"/>
        <v>150-200%</v>
      </c>
      <c r="N125" s="9">
        <f>MIN(H125, G125)*INDEX('2018_commission_structure'!$A$1:$I$4,
MATCH($D125, '2018_commission_structure'!$A$1:$A$4,0),
MATCH(N$1, '2018_commission_structure'!$A$1:$I$1,0))</f>
        <v>50000</v>
      </c>
      <c r="O125" s="11">
        <f>IF(G125&gt;H125, MIN(G125-H125, I125-H125)*
INDEX('2018_commission_structure'!$A$1:$I$4,
MATCH($D125, '2018_commission_structure'!$A$1:$A$4, 0),
MATCH(O$1, '2018_commission_structure'!$A$1:$I$1, 0)), 0)</f>
        <v>18750</v>
      </c>
      <c r="P125" s="11">
        <f>IF(G125&gt;H125, MIN(G125-H125, J125-H125)*
INDEX('2018_commission_structure'!$A$1:$I$4,
MATCH($D125, '2018_commission_structure'!$A$1:$A$4, 0),
MATCH(O$1, '2018_commission_structure'!$A$1:$I$1, 0)), 0)</f>
        <v>37500</v>
      </c>
      <c r="Q125" s="11">
        <f>IF(G125&gt;H125, MIN(G125-H125, I125-H125)*
INDEX('2018_commission_structure'!$A$1:$I$4,
MATCH($D125, '2018_commission_structure'!$A$1:$A$4, 0),
MATCH(P$1, '2018_commission_structure'!$A$1:$I$1, 0)), 0)</f>
        <v>22500</v>
      </c>
      <c r="R125" s="11">
        <f>IF(G125&gt;K125, (G125-K125) *
INDEX('2018_commission_structure'!$A$1:$I$4,
MATCH($D125, '2018_commission_structure'!$A$1:$A$4,0),
MATCH(R$1, '2018_commission_structure'!$A$1:$I$1,0)), 0)</f>
        <v>0</v>
      </c>
      <c r="S125" s="11">
        <f t="shared" si="11"/>
        <v>78750</v>
      </c>
      <c r="T125" s="11" cm="1">
        <f t="array" ref="T125">SUM(E125+O125:Q125)</f>
        <v>204156</v>
      </c>
    </row>
    <row r="126" spans="1:20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 xml:space="preserve"> COUNTIF(deals_closed!D:D,A126)</f>
        <v>17</v>
      </c>
      <c r="G126" s="5">
        <f>SUMIF(deals_closed!D:D, calculations!A126, deals_closed!C:C)</f>
        <v>609192</v>
      </c>
      <c r="H126" s="5">
        <f>VLOOKUP(D126,'2018_commission_structure'!$A$2:$I$4,9,FALSE)</f>
        <v>750000</v>
      </c>
      <c r="I126" s="9">
        <f t="shared" si="6"/>
        <v>937500</v>
      </c>
      <c r="J126" s="8">
        <f t="shared" si="7"/>
        <v>1125000</v>
      </c>
      <c r="K126" s="9">
        <f t="shared" si="8"/>
        <v>1500000</v>
      </c>
      <c r="L126" s="10">
        <f t="shared" si="9"/>
        <v>0.81225599999999998</v>
      </c>
      <c r="M126" t="str">
        <f t="shared" si="10"/>
        <v>0-100%</v>
      </c>
      <c r="N126" s="9">
        <f>MIN(H126, G126)*INDEX('2018_commission_structure'!$A$1:$I$4,
MATCH($D126, '2018_commission_structure'!$A$1:$A$4,0),
MATCH(N$1, '2018_commission_structure'!$A$1:$I$1,0))</f>
        <v>91378.8</v>
      </c>
      <c r="O126" s="11">
        <f>IF(G126&gt;H126, MIN(G126-H126, I126-H126)*
INDEX('2018_commission_structure'!$A$1:$I$4,
MATCH($D126, '2018_commission_structure'!$A$1:$A$4, 0),
MATCH(O$1, '2018_commission_structure'!$A$1:$I$1, 0)), 0)</f>
        <v>0</v>
      </c>
      <c r="P126" s="11">
        <f>IF(G126&gt;H126, MIN(G126-H126, J126-H126)*
INDEX('2018_commission_structure'!$A$1:$I$4,
MATCH($D126, '2018_commission_structure'!$A$1:$A$4, 0),
MATCH(O$1, '2018_commission_structure'!$A$1:$I$1, 0)), 0)</f>
        <v>0</v>
      </c>
      <c r="Q126" s="11">
        <f>IF(G126&gt;H126, MIN(G126-H126, I126-H126)*
INDEX('2018_commission_structure'!$A$1:$I$4,
MATCH($D126, '2018_commission_structure'!$A$1:$A$4, 0),
MATCH(P$1, '2018_commission_structure'!$A$1:$I$1, 0)), 0)</f>
        <v>0</v>
      </c>
      <c r="R126" s="11">
        <f>IF(G126&gt;K126, (G126-K126) *
INDEX('2018_commission_structure'!$A$1:$I$4,
MATCH($D126, '2018_commission_structure'!$A$1:$A$4,0),
MATCH(R$1, '2018_commission_structure'!$A$1:$I$1,0)), 0)</f>
        <v>0</v>
      </c>
      <c r="S126" s="11">
        <f t="shared" si="11"/>
        <v>0</v>
      </c>
      <c r="T126" s="11" cm="1">
        <f t="array" ref="T126">SUM(E126+O126:Q126)</f>
        <v>239016</v>
      </c>
    </row>
    <row r="127" spans="1:20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 xml:space="preserve"> COUNTIF(deals_closed!D:D,A127)</f>
        <v>17</v>
      </c>
      <c r="G127" s="5">
        <f>SUMIF(deals_closed!D:D, calculations!A127, deals_closed!C:C)</f>
        <v>637475</v>
      </c>
      <c r="H127" s="5">
        <f>VLOOKUP(D127,'2018_commission_structure'!$A$2:$I$4,9,FALSE)</f>
        <v>600000</v>
      </c>
      <c r="I127" s="9">
        <f t="shared" si="6"/>
        <v>750000</v>
      </c>
      <c r="J127" s="8">
        <f t="shared" si="7"/>
        <v>900000</v>
      </c>
      <c r="K127" s="9">
        <f t="shared" si="8"/>
        <v>1200000</v>
      </c>
      <c r="L127" s="10">
        <f t="shared" si="9"/>
        <v>1.0624583333333333</v>
      </c>
      <c r="M127" t="str">
        <f t="shared" si="10"/>
        <v>100-125%</v>
      </c>
      <c r="N127" s="9">
        <f>MIN(H127, G127)*INDEX('2018_commission_structure'!$A$1:$I$4,
MATCH($D127, '2018_commission_structure'!$A$1:$A$4,0),
MATCH(N$1, '2018_commission_structure'!$A$1:$I$1,0))</f>
        <v>78000</v>
      </c>
      <c r="O127" s="11">
        <f>IF(G127&gt;H127, MIN(G127-H127, I127-H127)*
INDEX('2018_commission_structure'!$A$1:$I$4,
MATCH($D127, '2018_commission_structure'!$A$1:$A$4, 0),
MATCH(O$1, '2018_commission_structure'!$A$1:$I$1, 0)), 0)</f>
        <v>6370.7500000000009</v>
      </c>
      <c r="P127" s="11">
        <f>IF(G127&gt;H127, MIN(G127-H127, J127-H127)*
INDEX('2018_commission_structure'!$A$1:$I$4,
MATCH($D127, '2018_commission_structure'!$A$1:$A$4, 0),
MATCH(O$1, '2018_commission_structure'!$A$1:$I$1, 0)), 0)</f>
        <v>6370.7500000000009</v>
      </c>
      <c r="Q127" s="11">
        <f>IF(G127&gt;H127, MIN(G127-H127, I127-H127)*
INDEX('2018_commission_structure'!$A$1:$I$4,
MATCH($D127, '2018_commission_structure'!$A$1:$A$4, 0),
MATCH(P$1, '2018_commission_structure'!$A$1:$I$1, 0)), 0)</f>
        <v>7869.75</v>
      </c>
      <c r="R127" s="11">
        <f>IF(G127&gt;K127, (G127-K127) *
INDEX('2018_commission_structure'!$A$1:$I$4,
MATCH($D127, '2018_commission_structure'!$A$1:$A$4,0),
MATCH(R$1, '2018_commission_structure'!$A$1:$I$1,0)), 0)</f>
        <v>0</v>
      </c>
      <c r="S127" s="11">
        <f t="shared" si="11"/>
        <v>20611.25</v>
      </c>
      <c r="T127" s="11" cm="1">
        <f t="array" ref="T127">SUM(E127+O127:Q127)</f>
        <v>214129.25</v>
      </c>
    </row>
    <row r="128" spans="1:20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 xml:space="preserve"> COUNTIF(deals_closed!D:D,A128)</f>
        <v>23</v>
      </c>
      <c r="G128" s="5">
        <f>SUMIF(deals_closed!D:D, calculations!A128, deals_closed!C:C)</f>
        <v>876325</v>
      </c>
      <c r="H128" s="5">
        <f>VLOOKUP(D128,'2018_commission_structure'!$A$2:$I$4,9,FALSE)</f>
        <v>600000</v>
      </c>
      <c r="I128" s="9">
        <f t="shared" si="6"/>
        <v>750000</v>
      </c>
      <c r="J128" s="8">
        <f t="shared" si="7"/>
        <v>900000</v>
      </c>
      <c r="K128" s="9">
        <f t="shared" si="8"/>
        <v>1200000</v>
      </c>
      <c r="L128" s="10">
        <f t="shared" si="9"/>
        <v>1.4605416666666666</v>
      </c>
      <c r="M128" t="str">
        <f t="shared" si="10"/>
        <v>125-150%</v>
      </c>
      <c r="N128" s="9">
        <f>MIN(H128, G128)*INDEX('2018_commission_structure'!$A$1:$I$4,
MATCH($D128, '2018_commission_structure'!$A$1:$A$4,0),
MATCH(N$1, '2018_commission_structure'!$A$1:$I$1,0))</f>
        <v>78000</v>
      </c>
      <c r="O128" s="11">
        <f>IF(G128&gt;H128, MIN(G128-H128, I128-H128)*
INDEX('2018_commission_structure'!$A$1:$I$4,
MATCH($D128, '2018_commission_structure'!$A$1:$A$4, 0),
MATCH(O$1, '2018_commission_structure'!$A$1:$I$1, 0)), 0)</f>
        <v>25500.000000000004</v>
      </c>
      <c r="P128" s="11">
        <f>IF(G128&gt;H128, MIN(G128-H128, J128-H128)*
INDEX('2018_commission_structure'!$A$1:$I$4,
MATCH($D128, '2018_commission_structure'!$A$1:$A$4, 0),
MATCH(O$1, '2018_commission_structure'!$A$1:$I$1, 0)), 0)</f>
        <v>46975.25</v>
      </c>
      <c r="Q128" s="11">
        <f>IF(G128&gt;H128, MIN(G128-H128, I128-H128)*
INDEX('2018_commission_structure'!$A$1:$I$4,
MATCH($D128, '2018_commission_structure'!$A$1:$A$4, 0),
MATCH(P$1, '2018_commission_structure'!$A$1:$I$1, 0)), 0)</f>
        <v>31500</v>
      </c>
      <c r="R128" s="11">
        <f>IF(G128&gt;K128, (G128-K128) *
INDEX('2018_commission_structure'!$A$1:$I$4,
MATCH($D128, '2018_commission_structure'!$A$1:$A$4,0),
MATCH(R$1, '2018_commission_structure'!$A$1:$I$1,0)), 0)</f>
        <v>0</v>
      </c>
      <c r="S128" s="11">
        <f t="shared" si="11"/>
        <v>103975.25</v>
      </c>
      <c r="T128" s="11" cm="1">
        <f t="array" ref="T128">SUM(E128+O128:Q128)</f>
        <v>334972.25</v>
      </c>
    </row>
    <row r="129" spans="1:20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 xml:space="preserve"> COUNTIF(deals_closed!D:D,A129)</f>
        <v>25</v>
      </c>
      <c r="G129" s="5">
        <f>SUMIF(deals_closed!D:D, calculations!A129, deals_closed!C:C)</f>
        <v>944716</v>
      </c>
      <c r="H129" s="5">
        <f>VLOOKUP(D129,'2018_commission_structure'!$A$2:$I$4,9,FALSE)</f>
        <v>600000</v>
      </c>
      <c r="I129" s="9">
        <f t="shared" si="6"/>
        <v>750000</v>
      </c>
      <c r="J129" s="8">
        <f t="shared" si="7"/>
        <v>900000</v>
      </c>
      <c r="K129" s="9">
        <f t="shared" si="8"/>
        <v>1200000</v>
      </c>
      <c r="L129" s="10">
        <f t="shared" si="9"/>
        <v>1.5745266666666666</v>
      </c>
      <c r="M129" t="str">
        <f t="shared" si="10"/>
        <v>150-200%</v>
      </c>
      <c r="N129" s="9">
        <f>MIN(H129, G129)*INDEX('2018_commission_structure'!$A$1:$I$4,
MATCH($D129, '2018_commission_structure'!$A$1:$A$4,0),
MATCH(N$1, '2018_commission_structure'!$A$1:$I$1,0))</f>
        <v>78000</v>
      </c>
      <c r="O129" s="11">
        <f>IF(G129&gt;H129, MIN(G129-H129, I129-H129)*
INDEX('2018_commission_structure'!$A$1:$I$4,
MATCH($D129, '2018_commission_structure'!$A$1:$A$4, 0),
MATCH(O$1, '2018_commission_structure'!$A$1:$I$1, 0)), 0)</f>
        <v>25500.000000000004</v>
      </c>
      <c r="P129" s="11">
        <f>IF(G129&gt;H129, MIN(G129-H129, J129-H129)*
INDEX('2018_commission_structure'!$A$1:$I$4,
MATCH($D129, '2018_commission_structure'!$A$1:$A$4, 0),
MATCH(O$1, '2018_commission_structure'!$A$1:$I$1, 0)), 0)</f>
        <v>51000.000000000007</v>
      </c>
      <c r="Q129" s="11">
        <f>IF(G129&gt;H129, MIN(G129-H129, I129-H129)*
INDEX('2018_commission_structure'!$A$1:$I$4,
MATCH($D129, '2018_commission_structure'!$A$1:$A$4, 0),
MATCH(P$1, '2018_commission_structure'!$A$1:$I$1, 0)), 0)</f>
        <v>31500</v>
      </c>
      <c r="R129" s="11">
        <f>IF(G129&gt;K129, (G129-K129) *
INDEX('2018_commission_structure'!$A$1:$I$4,
MATCH($D129, '2018_commission_structure'!$A$1:$A$4,0),
MATCH(R$1, '2018_commission_structure'!$A$1:$I$1,0)), 0)</f>
        <v>0</v>
      </c>
      <c r="S129" s="11">
        <f t="shared" si="11"/>
        <v>108000.00000000001</v>
      </c>
      <c r="T129" s="11" cm="1">
        <f t="array" ref="T129">SUM(E129+O129:Q129)</f>
        <v>281265</v>
      </c>
    </row>
    <row r="130" spans="1:20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 xml:space="preserve"> COUNTIF(deals_closed!D:D,A130)</f>
        <v>19</v>
      </c>
      <c r="G130" s="5">
        <f>SUMIF(deals_closed!D:D, calculations!A130, deals_closed!C:C)</f>
        <v>638646</v>
      </c>
      <c r="H130" s="5">
        <f>VLOOKUP(D130,'2018_commission_structure'!$A$2:$I$4,9,FALSE)</f>
        <v>750000</v>
      </c>
      <c r="I130" s="9">
        <f t="shared" si="6"/>
        <v>937500</v>
      </c>
      <c r="J130" s="8">
        <f t="shared" si="7"/>
        <v>1125000</v>
      </c>
      <c r="K130" s="9">
        <f t="shared" si="8"/>
        <v>1500000</v>
      </c>
      <c r="L130" s="10">
        <f t="shared" si="9"/>
        <v>0.85152799999999995</v>
      </c>
      <c r="M130" t="str">
        <f t="shared" si="10"/>
        <v>0-100%</v>
      </c>
      <c r="N130" s="9">
        <f>MIN(H130, G130)*INDEX('2018_commission_structure'!$A$1:$I$4,
MATCH($D130, '2018_commission_structure'!$A$1:$A$4,0),
MATCH(N$1, '2018_commission_structure'!$A$1:$I$1,0))</f>
        <v>95796.9</v>
      </c>
      <c r="O130" s="11">
        <f>IF(G130&gt;H130, MIN(G130-H130, I130-H130)*
INDEX('2018_commission_structure'!$A$1:$I$4,
MATCH($D130, '2018_commission_structure'!$A$1:$A$4, 0),
MATCH(O$1, '2018_commission_structure'!$A$1:$I$1, 0)), 0)</f>
        <v>0</v>
      </c>
      <c r="P130" s="11">
        <f>IF(G130&gt;H130, MIN(G130-H130, J130-H130)*
INDEX('2018_commission_structure'!$A$1:$I$4,
MATCH($D130, '2018_commission_structure'!$A$1:$A$4, 0),
MATCH(O$1, '2018_commission_structure'!$A$1:$I$1, 0)), 0)</f>
        <v>0</v>
      </c>
      <c r="Q130" s="11">
        <f>IF(G130&gt;H130, MIN(G130-H130, I130-H130)*
INDEX('2018_commission_structure'!$A$1:$I$4,
MATCH($D130, '2018_commission_structure'!$A$1:$A$4, 0),
MATCH(P$1, '2018_commission_structure'!$A$1:$I$1, 0)), 0)</f>
        <v>0</v>
      </c>
      <c r="R130" s="11">
        <f>IF(G130&gt;K130, (G130-K130) *
INDEX('2018_commission_structure'!$A$1:$I$4,
MATCH($D130, '2018_commission_structure'!$A$1:$A$4,0),
MATCH(R$1, '2018_commission_structure'!$A$1:$I$1,0)), 0)</f>
        <v>0</v>
      </c>
      <c r="S130" s="11">
        <f t="shared" si="11"/>
        <v>0</v>
      </c>
      <c r="T130" s="11" cm="1">
        <f t="array" ref="T130">SUM(E130+O130:Q130)</f>
        <v>313416</v>
      </c>
    </row>
    <row r="131" spans="1:20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 xml:space="preserve"> COUNTIF(deals_closed!D:D,A131)</f>
        <v>31</v>
      </c>
      <c r="G131" s="5">
        <f>SUMIF(deals_closed!D:D, calculations!A131, deals_closed!C:C)</f>
        <v>1128878</v>
      </c>
      <c r="H131" s="5">
        <f>VLOOKUP(D131,'2018_commission_structure'!$A$2:$I$4,9,FALSE)</f>
        <v>600000</v>
      </c>
      <c r="I131" s="9">
        <f t="shared" ref="I131:I194" si="12">H131*1.25</f>
        <v>750000</v>
      </c>
      <c r="J131" s="8">
        <f t="shared" ref="J131:J194" si="13">H131*1.5</f>
        <v>900000</v>
      </c>
      <c r="K131" s="9">
        <f t="shared" ref="K131:K194" si="14">H131*2</f>
        <v>1200000</v>
      </c>
      <c r="L131" s="10">
        <f t="shared" ref="L131:L194" si="15">G131/H131</f>
        <v>1.8814633333333333</v>
      </c>
      <c r="M131" t="str">
        <f t="shared" ref="M131:M194" si="16">IF(L131&lt;=1, "0-100%",
IF(L131&lt;=1.25, "100-125%",
IF(L131&lt;=1.5, "125-150%",
IF(L131&lt;2, "150-200%", "&gt;200%"))))</f>
        <v>150-200%</v>
      </c>
      <c r="N131" s="9">
        <f>MIN(H131, G131)*INDEX('2018_commission_structure'!$A$1:$I$4,
MATCH($D131, '2018_commission_structure'!$A$1:$A$4,0),
MATCH(N$1, '2018_commission_structure'!$A$1:$I$1,0))</f>
        <v>78000</v>
      </c>
      <c r="O131" s="11">
        <f>IF(G131&gt;H131, MIN(G131-H131, I131-H131)*
INDEX('2018_commission_structure'!$A$1:$I$4,
MATCH($D131, '2018_commission_structure'!$A$1:$A$4, 0),
MATCH(O$1, '2018_commission_structure'!$A$1:$I$1, 0)), 0)</f>
        <v>25500.000000000004</v>
      </c>
      <c r="P131" s="11">
        <f>IF(G131&gt;H131, MIN(G131-H131, J131-H131)*
INDEX('2018_commission_structure'!$A$1:$I$4,
MATCH($D131, '2018_commission_structure'!$A$1:$A$4, 0),
MATCH(O$1, '2018_commission_structure'!$A$1:$I$1, 0)), 0)</f>
        <v>51000.000000000007</v>
      </c>
      <c r="Q131" s="11">
        <f>IF(G131&gt;H131, MIN(G131-H131, I131-H131)*
INDEX('2018_commission_structure'!$A$1:$I$4,
MATCH($D131, '2018_commission_structure'!$A$1:$A$4, 0),
MATCH(P$1, '2018_commission_structure'!$A$1:$I$1, 0)), 0)</f>
        <v>31500</v>
      </c>
      <c r="R131" s="11">
        <f>IF(G131&gt;K131, (G131-K131) *
INDEX('2018_commission_structure'!$A$1:$I$4,
MATCH($D131, '2018_commission_structure'!$A$1:$A$4,0),
MATCH(R$1, '2018_commission_structure'!$A$1:$I$1,0)), 0)</f>
        <v>0</v>
      </c>
      <c r="S131" s="11">
        <f t="shared" ref="S131:S194" si="17">SUM(O131:Q131)</f>
        <v>108000.00000000001</v>
      </c>
      <c r="T131" s="11" cm="1">
        <f t="array" ref="T131">SUM(E131+O131:Q131)</f>
        <v>347502</v>
      </c>
    </row>
    <row r="132" spans="1:20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 xml:space="preserve"> COUNTIF(deals_closed!D:D,A132)</f>
        <v>17</v>
      </c>
      <c r="G132" s="5">
        <f>SUMIF(deals_closed!D:D, calculations!A132, deals_closed!C:C)</f>
        <v>613556</v>
      </c>
      <c r="H132" s="5">
        <f>VLOOKUP(D132,'2018_commission_structure'!$A$2:$I$4,9,FALSE)</f>
        <v>500000</v>
      </c>
      <c r="I132" s="9">
        <f t="shared" si="12"/>
        <v>625000</v>
      </c>
      <c r="J132" s="8">
        <f t="shared" si="13"/>
        <v>750000</v>
      </c>
      <c r="K132" s="9">
        <f t="shared" si="14"/>
        <v>1000000</v>
      </c>
      <c r="L132" s="10">
        <f t="shared" si="15"/>
        <v>1.227112</v>
      </c>
      <c r="M132" t="str">
        <f t="shared" si="16"/>
        <v>100-125%</v>
      </c>
      <c r="N132" s="9">
        <f>MIN(H132, G132)*INDEX('2018_commission_structure'!$A$1:$I$4,
MATCH($D132, '2018_commission_structure'!$A$1:$A$4,0),
MATCH(N$1, '2018_commission_structure'!$A$1:$I$1,0))</f>
        <v>50000</v>
      </c>
      <c r="O132" s="11">
        <f>IF(G132&gt;H132, MIN(G132-H132, I132-H132)*
INDEX('2018_commission_structure'!$A$1:$I$4,
MATCH($D132, '2018_commission_structure'!$A$1:$A$4, 0),
MATCH(O$1, '2018_commission_structure'!$A$1:$I$1, 0)), 0)</f>
        <v>17033.399999999998</v>
      </c>
      <c r="P132" s="11">
        <f>IF(G132&gt;H132, MIN(G132-H132, J132-H132)*
INDEX('2018_commission_structure'!$A$1:$I$4,
MATCH($D132, '2018_commission_structure'!$A$1:$A$4, 0),
MATCH(O$1, '2018_commission_structure'!$A$1:$I$1, 0)), 0)</f>
        <v>17033.399999999998</v>
      </c>
      <c r="Q132" s="11">
        <f>IF(G132&gt;H132, MIN(G132-H132, I132-H132)*
INDEX('2018_commission_structure'!$A$1:$I$4,
MATCH($D132, '2018_commission_structure'!$A$1:$A$4, 0),
MATCH(P$1, '2018_commission_structure'!$A$1:$I$1, 0)), 0)</f>
        <v>20440.079999999998</v>
      </c>
      <c r="R132" s="11">
        <f>IF(G132&gt;K132, (G132-K132) *
INDEX('2018_commission_structure'!$A$1:$I$4,
MATCH($D132, '2018_commission_structure'!$A$1:$A$4,0),
MATCH(R$1, '2018_commission_structure'!$A$1:$I$1,0)), 0)</f>
        <v>0</v>
      </c>
      <c r="S132" s="11">
        <f t="shared" si="17"/>
        <v>54506.87999999999</v>
      </c>
      <c r="T132" s="11" cm="1">
        <f t="array" ref="T132">SUM(E132+O132:Q132)</f>
        <v>213695.88</v>
      </c>
    </row>
    <row r="133" spans="1:20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 xml:space="preserve"> COUNTIF(deals_closed!D:D,A133)</f>
        <v>17</v>
      </c>
      <c r="G133" s="5">
        <f>SUMIF(deals_closed!D:D, calculations!A133, deals_closed!C:C)</f>
        <v>551295</v>
      </c>
      <c r="H133" s="5">
        <f>VLOOKUP(D133,'2018_commission_structure'!$A$2:$I$4,9,FALSE)</f>
        <v>500000</v>
      </c>
      <c r="I133" s="9">
        <f t="shared" si="12"/>
        <v>625000</v>
      </c>
      <c r="J133" s="8">
        <f t="shared" si="13"/>
        <v>750000</v>
      </c>
      <c r="K133" s="9">
        <f t="shared" si="14"/>
        <v>1000000</v>
      </c>
      <c r="L133" s="10">
        <f t="shared" si="15"/>
        <v>1.10259</v>
      </c>
      <c r="M133" t="str">
        <f t="shared" si="16"/>
        <v>100-125%</v>
      </c>
      <c r="N133" s="9">
        <f>MIN(H133, G133)*INDEX('2018_commission_structure'!$A$1:$I$4,
MATCH($D133, '2018_commission_structure'!$A$1:$A$4,0),
MATCH(N$1, '2018_commission_structure'!$A$1:$I$1,0))</f>
        <v>50000</v>
      </c>
      <c r="O133" s="11">
        <f>IF(G133&gt;H133, MIN(G133-H133, I133-H133)*
INDEX('2018_commission_structure'!$A$1:$I$4,
MATCH($D133, '2018_commission_structure'!$A$1:$A$4, 0),
MATCH(O$1, '2018_commission_structure'!$A$1:$I$1, 0)), 0)</f>
        <v>7694.25</v>
      </c>
      <c r="P133" s="11">
        <f>IF(G133&gt;H133, MIN(G133-H133, J133-H133)*
INDEX('2018_commission_structure'!$A$1:$I$4,
MATCH($D133, '2018_commission_structure'!$A$1:$A$4, 0),
MATCH(O$1, '2018_commission_structure'!$A$1:$I$1, 0)), 0)</f>
        <v>7694.25</v>
      </c>
      <c r="Q133" s="11">
        <f>IF(G133&gt;H133, MIN(G133-H133, I133-H133)*
INDEX('2018_commission_structure'!$A$1:$I$4,
MATCH($D133, '2018_commission_structure'!$A$1:$A$4, 0),
MATCH(P$1, '2018_commission_structure'!$A$1:$I$1, 0)), 0)</f>
        <v>9233.1</v>
      </c>
      <c r="R133" s="11">
        <f>IF(G133&gt;K133, (G133-K133) *
INDEX('2018_commission_structure'!$A$1:$I$4,
MATCH($D133, '2018_commission_structure'!$A$1:$A$4,0),
MATCH(R$1, '2018_commission_structure'!$A$1:$I$1,0)), 0)</f>
        <v>0</v>
      </c>
      <c r="S133" s="11">
        <f t="shared" si="17"/>
        <v>24621.599999999999</v>
      </c>
      <c r="T133" s="11" cm="1">
        <f t="array" ref="T133">SUM(E133+O133:Q133)</f>
        <v>213228.6</v>
      </c>
    </row>
    <row r="134" spans="1:20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 xml:space="preserve"> COUNTIF(deals_closed!D:D,A134)</f>
        <v>29</v>
      </c>
      <c r="G134" s="5">
        <f>SUMIF(deals_closed!D:D, calculations!A134, deals_closed!C:C)</f>
        <v>1082264</v>
      </c>
      <c r="H134" s="5">
        <f>VLOOKUP(D134,'2018_commission_structure'!$A$2:$I$4,9,FALSE)</f>
        <v>750000</v>
      </c>
      <c r="I134" s="9">
        <f t="shared" si="12"/>
        <v>937500</v>
      </c>
      <c r="J134" s="8">
        <f t="shared" si="13"/>
        <v>1125000</v>
      </c>
      <c r="K134" s="9">
        <f t="shared" si="14"/>
        <v>1500000</v>
      </c>
      <c r="L134" s="10">
        <f t="shared" si="15"/>
        <v>1.4430186666666667</v>
      </c>
      <c r="M134" t="str">
        <f t="shared" si="16"/>
        <v>125-150%</v>
      </c>
      <c r="N134" s="9">
        <f>MIN(H134, G134)*INDEX('2018_commission_structure'!$A$1:$I$4,
MATCH($D134, '2018_commission_structure'!$A$1:$A$4,0),
MATCH(N$1, '2018_commission_structure'!$A$1:$I$1,0))</f>
        <v>112500</v>
      </c>
      <c r="O134" s="11">
        <f>IF(G134&gt;H134, MIN(G134-H134, I134-H134)*
INDEX('2018_commission_structure'!$A$1:$I$4,
MATCH($D134, '2018_commission_structure'!$A$1:$A$4, 0),
MATCH(O$1, '2018_commission_structure'!$A$1:$I$1, 0)), 0)</f>
        <v>35625</v>
      </c>
      <c r="P134" s="11">
        <f>IF(G134&gt;H134, MIN(G134-H134, J134-H134)*
INDEX('2018_commission_structure'!$A$1:$I$4,
MATCH($D134, '2018_commission_structure'!$A$1:$A$4, 0),
MATCH(O$1, '2018_commission_structure'!$A$1:$I$1, 0)), 0)</f>
        <v>63130.16</v>
      </c>
      <c r="Q134" s="11">
        <f>IF(G134&gt;H134, MIN(G134-H134, I134-H134)*
INDEX('2018_commission_structure'!$A$1:$I$4,
MATCH($D134, '2018_commission_structure'!$A$1:$A$4, 0),
MATCH(P$1, '2018_commission_structure'!$A$1:$I$1, 0)), 0)</f>
        <v>43125</v>
      </c>
      <c r="R134" s="11">
        <f>IF(G134&gt;K134, (G134-K134) *
INDEX('2018_commission_structure'!$A$1:$I$4,
MATCH($D134, '2018_commission_structure'!$A$1:$A$4,0),
MATCH(R$1, '2018_commission_structure'!$A$1:$I$1,0)), 0)</f>
        <v>0</v>
      </c>
      <c r="S134" s="11">
        <f t="shared" si="17"/>
        <v>141880.16</v>
      </c>
      <c r="T134" s="11" cm="1">
        <f t="array" ref="T134">SUM(E134+O134:Q134)</f>
        <v>511261.16000000003</v>
      </c>
    </row>
    <row r="135" spans="1:20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 xml:space="preserve"> COUNTIF(deals_closed!D:D,A135)</f>
        <v>25</v>
      </c>
      <c r="G135" s="5">
        <f>SUMIF(deals_closed!D:D, calculations!A135, deals_closed!C:C)</f>
        <v>983343</v>
      </c>
      <c r="H135" s="5">
        <f>VLOOKUP(D135,'2018_commission_structure'!$A$2:$I$4,9,FALSE)</f>
        <v>750000</v>
      </c>
      <c r="I135" s="9">
        <f t="shared" si="12"/>
        <v>937500</v>
      </c>
      <c r="J135" s="8">
        <f t="shared" si="13"/>
        <v>1125000</v>
      </c>
      <c r="K135" s="9">
        <f t="shared" si="14"/>
        <v>1500000</v>
      </c>
      <c r="L135" s="10">
        <f t="shared" si="15"/>
        <v>1.311124</v>
      </c>
      <c r="M135" t="str">
        <f t="shared" si="16"/>
        <v>125-150%</v>
      </c>
      <c r="N135" s="9">
        <f>MIN(H135, G135)*INDEX('2018_commission_structure'!$A$1:$I$4,
MATCH($D135, '2018_commission_structure'!$A$1:$A$4,0),
MATCH(N$1, '2018_commission_structure'!$A$1:$I$1,0))</f>
        <v>112500</v>
      </c>
      <c r="O135" s="11">
        <f>IF(G135&gt;H135, MIN(G135-H135, I135-H135)*
INDEX('2018_commission_structure'!$A$1:$I$4,
MATCH($D135, '2018_commission_structure'!$A$1:$A$4, 0),
MATCH(O$1, '2018_commission_structure'!$A$1:$I$1, 0)), 0)</f>
        <v>35625</v>
      </c>
      <c r="P135" s="11">
        <f>IF(G135&gt;H135, MIN(G135-H135, J135-H135)*
INDEX('2018_commission_structure'!$A$1:$I$4,
MATCH($D135, '2018_commission_structure'!$A$1:$A$4, 0),
MATCH(O$1, '2018_commission_structure'!$A$1:$I$1, 0)), 0)</f>
        <v>44335.17</v>
      </c>
      <c r="Q135" s="11">
        <f>IF(G135&gt;H135, MIN(G135-H135, I135-H135)*
INDEX('2018_commission_structure'!$A$1:$I$4,
MATCH($D135, '2018_commission_structure'!$A$1:$A$4, 0),
MATCH(P$1, '2018_commission_structure'!$A$1:$I$1, 0)), 0)</f>
        <v>43125</v>
      </c>
      <c r="R135" s="11">
        <f>IF(G135&gt;K135, (G135-K135) *
INDEX('2018_commission_structure'!$A$1:$I$4,
MATCH($D135, '2018_commission_structure'!$A$1:$A$4,0),
MATCH(R$1, '2018_commission_structure'!$A$1:$I$1,0)), 0)</f>
        <v>0</v>
      </c>
      <c r="S135" s="11">
        <f t="shared" si="17"/>
        <v>123085.17</v>
      </c>
      <c r="T135" s="11" cm="1">
        <f t="array" ref="T135">SUM(E135+O135:Q135)</f>
        <v>391858.17</v>
      </c>
    </row>
    <row r="136" spans="1:20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 xml:space="preserve"> COUNTIF(deals_closed!D:D,A136)</f>
        <v>18</v>
      </c>
      <c r="G136" s="5">
        <f>SUMIF(deals_closed!D:D, calculations!A136, deals_closed!C:C)</f>
        <v>654001</v>
      </c>
      <c r="H136" s="5">
        <f>VLOOKUP(D136,'2018_commission_structure'!$A$2:$I$4,9,FALSE)</f>
        <v>750000</v>
      </c>
      <c r="I136" s="9">
        <f t="shared" si="12"/>
        <v>937500</v>
      </c>
      <c r="J136" s="8">
        <f t="shared" si="13"/>
        <v>1125000</v>
      </c>
      <c r="K136" s="9">
        <f t="shared" si="14"/>
        <v>1500000</v>
      </c>
      <c r="L136" s="10">
        <f t="shared" si="15"/>
        <v>0.87200133333333329</v>
      </c>
      <c r="M136" t="str">
        <f t="shared" si="16"/>
        <v>0-100%</v>
      </c>
      <c r="N136" s="9">
        <f>MIN(H136, G136)*INDEX('2018_commission_structure'!$A$1:$I$4,
MATCH($D136, '2018_commission_structure'!$A$1:$A$4,0),
MATCH(N$1, '2018_commission_structure'!$A$1:$I$1,0))</f>
        <v>98100.15</v>
      </c>
      <c r="O136" s="11">
        <f>IF(G136&gt;H136, MIN(G136-H136, I136-H136)*
INDEX('2018_commission_structure'!$A$1:$I$4,
MATCH($D136, '2018_commission_structure'!$A$1:$A$4, 0),
MATCH(O$1, '2018_commission_structure'!$A$1:$I$1, 0)), 0)</f>
        <v>0</v>
      </c>
      <c r="P136" s="11">
        <f>IF(G136&gt;H136, MIN(G136-H136, J136-H136)*
INDEX('2018_commission_structure'!$A$1:$I$4,
MATCH($D136, '2018_commission_structure'!$A$1:$A$4, 0),
MATCH(O$1, '2018_commission_structure'!$A$1:$I$1, 0)), 0)</f>
        <v>0</v>
      </c>
      <c r="Q136" s="11">
        <f>IF(G136&gt;H136, MIN(G136-H136, I136-H136)*
INDEX('2018_commission_structure'!$A$1:$I$4,
MATCH($D136, '2018_commission_structure'!$A$1:$A$4, 0),
MATCH(P$1, '2018_commission_structure'!$A$1:$I$1, 0)), 0)</f>
        <v>0</v>
      </c>
      <c r="R136" s="11">
        <f>IF(G136&gt;K136, (G136-K136) *
INDEX('2018_commission_structure'!$A$1:$I$4,
MATCH($D136, '2018_commission_structure'!$A$1:$A$4,0),
MATCH(R$1, '2018_commission_structure'!$A$1:$I$1,0)), 0)</f>
        <v>0</v>
      </c>
      <c r="S136" s="11">
        <f t="shared" si="17"/>
        <v>0</v>
      </c>
      <c r="T136" s="11" cm="1">
        <f t="array" ref="T136">SUM(E136+O136:Q136)</f>
        <v>260490</v>
      </c>
    </row>
    <row r="137" spans="1:20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 xml:space="preserve"> COUNTIF(deals_closed!D:D,A137)</f>
        <v>14</v>
      </c>
      <c r="G137" s="5">
        <f>SUMIF(deals_closed!D:D, calculations!A137, deals_closed!C:C)</f>
        <v>529473</v>
      </c>
      <c r="H137" s="5">
        <f>VLOOKUP(D137,'2018_commission_structure'!$A$2:$I$4,9,FALSE)</f>
        <v>750000</v>
      </c>
      <c r="I137" s="9">
        <f t="shared" si="12"/>
        <v>937500</v>
      </c>
      <c r="J137" s="8">
        <f t="shared" si="13"/>
        <v>1125000</v>
      </c>
      <c r="K137" s="9">
        <f t="shared" si="14"/>
        <v>1500000</v>
      </c>
      <c r="L137" s="10">
        <f t="shared" si="15"/>
        <v>0.70596400000000004</v>
      </c>
      <c r="M137" t="str">
        <f t="shared" si="16"/>
        <v>0-100%</v>
      </c>
      <c r="N137" s="9">
        <f>MIN(H137, G137)*INDEX('2018_commission_structure'!$A$1:$I$4,
MATCH($D137, '2018_commission_structure'!$A$1:$A$4,0),
MATCH(N$1, '2018_commission_structure'!$A$1:$I$1,0))</f>
        <v>79420.95</v>
      </c>
      <c r="O137" s="11">
        <f>IF(G137&gt;H137, MIN(G137-H137, I137-H137)*
INDEX('2018_commission_structure'!$A$1:$I$4,
MATCH($D137, '2018_commission_structure'!$A$1:$A$4, 0),
MATCH(O$1, '2018_commission_structure'!$A$1:$I$1, 0)), 0)</f>
        <v>0</v>
      </c>
      <c r="P137" s="11">
        <f>IF(G137&gt;H137, MIN(G137-H137, J137-H137)*
INDEX('2018_commission_structure'!$A$1:$I$4,
MATCH($D137, '2018_commission_structure'!$A$1:$A$4, 0),
MATCH(O$1, '2018_commission_structure'!$A$1:$I$1, 0)), 0)</f>
        <v>0</v>
      </c>
      <c r="Q137" s="11">
        <f>IF(G137&gt;H137, MIN(G137-H137, I137-H137)*
INDEX('2018_commission_structure'!$A$1:$I$4,
MATCH($D137, '2018_commission_structure'!$A$1:$A$4, 0),
MATCH(P$1, '2018_commission_structure'!$A$1:$I$1, 0)), 0)</f>
        <v>0</v>
      </c>
      <c r="R137" s="11">
        <f>IF(G137&gt;K137, (G137-K137) *
INDEX('2018_commission_structure'!$A$1:$I$4,
MATCH($D137, '2018_commission_structure'!$A$1:$A$4,0),
MATCH(R$1, '2018_commission_structure'!$A$1:$I$1,0)), 0)</f>
        <v>0</v>
      </c>
      <c r="S137" s="11">
        <f t="shared" si="17"/>
        <v>0</v>
      </c>
      <c r="T137" s="11" cm="1">
        <f t="array" ref="T137">SUM(E137+O137:Q137)</f>
        <v>364152</v>
      </c>
    </row>
    <row r="138" spans="1:20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 xml:space="preserve"> COUNTIF(deals_closed!D:D,A138)</f>
        <v>19</v>
      </c>
      <c r="G138" s="5">
        <f>SUMIF(deals_closed!D:D, calculations!A138, deals_closed!C:C)</f>
        <v>666454</v>
      </c>
      <c r="H138" s="5">
        <f>VLOOKUP(D138,'2018_commission_structure'!$A$2:$I$4,9,FALSE)</f>
        <v>600000</v>
      </c>
      <c r="I138" s="9">
        <f t="shared" si="12"/>
        <v>750000</v>
      </c>
      <c r="J138" s="8">
        <f t="shared" si="13"/>
        <v>900000</v>
      </c>
      <c r="K138" s="9">
        <f t="shared" si="14"/>
        <v>1200000</v>
      </c>
      <c r="L138" s="10">
        <f t="shared" si="15"/>
        <v>1.1107566666666666</v>
      </c>
      <c r="M138" t="str">
        <f t="shared" si="16"/>
        <v>100-125%</v>
      </c>
      <c r="N138" s="9">
        <f>MIN(H138, G138)*INDEX('2018_commission_structure'!$A$1:$I$4,
MATCH($D138, '2018_commission_structure'!$A$1:$A$4,0),
MATCH(N$1, '2018_commission_structure'!$A$1:$I$1,0))</f>
        <v>78000</v>
      </c>
      <c r="O138" s="11">
        <f>IF(G138&gt;H138, MIN(G138-H138, I138-H138)*
INDEX('2018_commission_structure'!$A$1:$I$4,
MATCH($D138, '2018_commission_structure'!$A$1:$A$4, 0),
MATCH(O$1, '2018_commission_structure'!$A$1:$I$1, 0)), 0)</f>
        <v>11297.18</v>
      </c>
      <c r="P138" s="11">
        <f>IF(G138&gt;H138, MIN(G138-H138, J138-H138)*
INDEX('2018_commission_structure'!$A$1:$I$4,
MATCH($D138, '2018_commission_structure'!$A$1:$A$4, 0),
MATCH(O$1, '2018_commission_structure'!$A$1:$I$1, 0)), 0)</f>
        <v>11297.18</v>
      </c>
      <c r="Q138" s="11">
        <f>IF(G138&gt;H138, MIN(G138-H138, I138-H138)*
INDEX('2018_commission_structure'!$A$1:$I$4,
MATCH($D138, '2018_commission_structure'!$A$1:$A$4, 0),
MATCH(P$1, '2018_commission_structure'!$A$1:$I$1, 0)), 0)</f>
        <v>13955.34</v>
      </c>
      <c r="R138" s="11">
        <f>IF(G138&gt;K138, (G138-K138) *
INDEX('2018_commission_structure'!$A$1:$I$4,
MATCH($D138, '2018_commission_structure'!$A$1:$A$4,0),
MATCH(R$1, '2018_commission_structure'!$A$1:$I$1,0)), 0)</f>
        <v>0</v>
      </c>
      <c r="S138" s="11">
        <f t="shared" si="17"/>
        <v>36549.699999999997</v>
      </c>
      <c r="T138" s="11" cm="1">
        <f t="array" ref="T138">SUM(E138+O138:Q138)</f>
        <v>266076.69999999995</v>
      </c>
    </row>
    <row r="139" spans="1:20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 xml:space="preserve"> COUNTIF(deals_closed!D:D,A139)</f>
        <v>18</v>
      </c>
      <c r="G139" s="5">
        <f>SUMIF(deals_closed!D:D, calculations!A139, deals_closed!C:C)</f>
        <v>517010</v>
      </c>
      <c r="H139" s="5">
        <f>VLOOKUP(D139,'2018_commission_structure'!$A$2:$I$4,9,FALSE)</f>
        <v>750000</v>
      </c>
      <c r="I139" s="9">
        <f t="shared" si="12"/>
        <v>937500</v>
      </c>
      <c r="J139" s="8">
        <f t="shared" si="13"/>
        <v>1125000</v>
      </c>
      <c r="K139" s="9">
        <f t="shared" si="14"/>
        <v>1500000</v>
      </c>
      <c r="L139" s="10">
        <f t="shared" si="15"/>
        <v>0.68934666666666666</v>
      </c>
      <c r="M139" t="str">
        <f t="shared" si="16"/>
        <v>0-100%</v>
      </c>
      <c r="N139" s="9">
        <f>MIN(H139, G139)*INDEX('2018_commission_structure'!$A$1:$I$4,
MATCH($D139, '2018_commission_structure'!$A$1:$A$4,0),
MATCH(N$1, '2018_commission_structure'!$A$1:$I$1,0))</f>
        <v>77551.5</v>
      </c>
      <c r="O139" s="11">
        <f>IF(G139&gt;H139, MIN(G139-H139, I139-H139)*
INDEX('2018_commission_structure'!$A$1:$I$4,
MATCH($D139, '2018_commission_structure'!$A$1:$A$4, 0),
MATCH(O$1, '2018_commission_structure'!$A$1:$I$1, 0)), 0)</f>
        <v>0</v>
      </c>
      <c r="P139" s="11">
        <f>IF(G139&gt;H139, MIN(G139-H139, J139-H139)*
INDEX('2018_commission_structure'!$A$1:$I$4,
MATCH($D139, '2018_commission_structure'!$A$1:$A$4, 0),
MATCH(O$1, '2018_commission_structure'!$A$1:$I$1, 0)), 0)</f>
        <v>0</v>
      </c>
      <c r="Q139" s="11">
        <f>IF(G139&gt;H139, MIN(G139-H139, I139-H139)*
INDEX('2018_commission_structure'!$A$1:$I$4,
MATCH($D139, '2018_commission_structure'!$A$1:$A$4, 0),
MATCH(P$1, '2018_commission_structure'!$A$1:$I$1, 0)), 0)</f>
        <v>0</v>
      </c>
      <c r="R139" s="11">
        <f>IF(G139&gt;K139, (G139-K139) *
INDEX('2018_commission_structure'!$A$1:$I$4,
MATCH($D139, '2018_commission_structure'!$A$1:$A$4,0),
MATCH(R$1, '2018_commission_structure'!$A$1:$I$1,0)), 0)</f>
        <v>0</v>
      </c>
      <c r="S139" s="11">
        <f t="shared" si="17"/>
        <v>0</v>
      </c>
      <c r="T139" s="11" cm="1">
        <f t="array" ref="T139">SUM(E139+O139:Q139)</f>
        <v>365862</v>
      </c>
    </row>
    <row r="140" spans="1:20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 xml:space="preserve"> COUNTIF(deals_closed!D:D,A140)</f>
        <v>14</v>
      </c>
      <c r="G140" s="5">
        <f>SUMIF(deals_closed!D:D, calculations!A140, deals_closed!C:C)</f>
        <v>537360</v>
      </c>
      <c r="H140" s="5">
        <f>VLOOKUP(D140,'2018_commission_structure'!$A$2:$I$4,9,FALSE)</f>
        <v>750000</v>
      </c>
      <c r="I140" s="9">
        <f t="shared" si="12"/>
        <v>937500</v>
      </c>
      <c r="J140" s="8">
        <f t="shared" si="13"/>
        <v>1125000</v>
      </c>
      <c r="K140" s="9">
        <f t="shared" si="14"/>
        <v>1500000</v>
      </c>
      <c r="L140" s="10">
        <f t="shared" si="15"/>
        <v>0.71648000000000001</v>
      </c>
      <c r="M140" t="str">
        <f t="shared" si="16"/>
        <v>0-100%</v>
      </c>
      <c r="N140" s="9">
        <f>MIN(H140, G140)*INDEX('2018_commission_structure'!$A$1:$I$4,
MATCH($D140, '2018_commission_structure'!$A$1:$A$4,0),
MATCH(N$1, '2018_commission_structure'!$A$1:$I$1,0))</f>
        <v>80604</v>
      </c>
      <c r="O140" s="11">
        <f>IF(G140&gt;H140, MIN(G140-H140, I140-H140)*
INDEX('2018_commission_structure'!$A$1:$I$4,
MATCH($D140, '2018_commission_structure'!$A$1:$A$4, 0),
MATCH(O$1, '2018_commission_structure'!$A$1:$I$1, 0)), 0)</f>
        <v>0</v>
      </c>
      <c r="P140" s="11">
        <f>IF(G140&gt;H140, MIN(G140-H140, J140-H140)*
INDEX('2018_commission_structure'!$A$1:$I$4,
MATCH($D140, '2018_commission_structure'!$A$1:$A$4, 0),
MATCH(O$1, '2018_commission_structure'!$A$1:$I$1, 0)), 0)</f>
        <v>0</v>
      </c>
      <c r="Q140" s="11">
        <f>IF(G140&gt;H140, MIN(G140-H140, I140-H140)*
INDEX('2018_commission_structure'!$A$1:$I$4,
MATCH($D140, '2018_commission_structure'!$A$1:$A$4, 0),
MATCH(P$1, '2018_commission_structure'!$A$1:$I$1, 0)), 0)</f>
        <v>0</v>
      </c>
      <c r="R140" s="11">
        <f>IF(G140&gt;K140, (G140-K140) *
INDEX('2018_commission_structure'!$A$1:$I$4,
MATCH($D140, '2018_commission_structure'!$A$1:$A$4,0),
MATCH(R$1, '2018_commission_structure'!$A$1:$I$1,0)), 0)</f>
        <v>0</v>
      </c>
      <c r="S140" s="11">
        <f t="shared" si="17"/>
        <v>0</v>
      </c>
      <c r="T140" s="11" cm="1">
        <f t="array" ref="T140">SUM(E140+O140:Q140)</f>
        <v>352173</v>
      </c>
    </row>
    <row r="141" spans="1:20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 xml:space="preserve"> COUNTIF(deals_closed!D:D,A141)</f>
        <v>21</v>
      </c>
      <c r="G141" s="5">
        <f>SUMIF(deals_closed!D:D, calculations!A141, deals_closed!C:C)</f>
        <v>788532</v>
      </c>
      <c r="H141" s="5">
        <f>VLOOKUP(D141,'2018_commission_structure'!$A$2:$I$4,9,FALSE)</f>
        <v>750000</v>
      </c>
      <c r="I141" s="9">
        <f t="shared" si="12"/>
        <v>937500</v>
      </c>
      <c r="J141" s="8">
        <f t="shared" si="13"/>
        <v>1125000</v>
      </c>
      <c r="K141" s="9">
        <f t="shared" si="14"/>
        <v>1500000</v>
      </c>
      <c r="L141" s="10">
        <f t="shared" si="15"/>
        <v>1.0513760000000001</v>
      </c>
      <c r="M141" t="str">
        <f t="shared" si="16"/>
        <v>100-125%</v>
      </c>
      <c r="N141" s="9">
        <f>MIN(H141, G141)*INDEX('2018_commission_structure'!$A$1:$I$4,
MATCH($D141, '2018_commission_structure'!$A$1:$A$4,0),
MATCH(N$1, '2018_commission_structure'!$A$1:$I$1,0))</f>
        <v>112500</v>
      </c>
      <c r="O141" s="11">
        <f>IF(G141&gt;H141, MIN(G141-H141, I141-H141)*
INDEX('2018_commission_structure'!$A$1:$I$4,
MATCH($D141, '2018_commission_structure'!$A$1:$A$4, 0),
MATCH(O$1, '2018_commission_structure'!$A$1:$I$1, 0)), 0)</f>
        <v>7321.08</v>
      </c>
      <c r="P141" s="11">
        <f>IF(G141&gt;H141, MIN(G141-H141, J141-H141)*
INDEX('2018_commission_structure'!$A$1:$I$4,
MATCH($D141, '2018_commission_structure'!$A$1:$A$4, 0),
MATCH(O$1, '2018_commission_structure'!$A$1:$I$1, 0)), 0)</f>
        <v>7321.08</v>
      </c>
      <c r="Q141" s="11">
        <f>IF(G141&gt;H141, MIN(G141-H141, I141-H141)*
INDEX('2018_commission_structure'!$A$1:$I$4,
MATCH($D141, '2018_commission_structure'!$A$1:$A$4, 0),
MATCH(P$1, '2018_commission_structure'!$A$1:$I$1, 0)), 0)</f>
        <v>8862.36</v>
      </c>
      <c r="R141" s="11">
        <f>IF(G141&gt;K141, (G141-K141) *
INDEX('2018_commission_structure'!$A$1:$I$4,
MATCH($D141, '2018_commission_structure'!$A$1:$A$4,0),
MATCH(R$1, '2018_commission_structure'!$A$1:$I$1,0)), 0)</f>
        <v>0</v>
      </c>
      <c r="S141" s="11">
        <f t="shared" si="17"/>
        <v>23504.52</v>
      </c>
      <c r="T141" s="11" cm="1">
        <f t="array" ref="T141">SUM(E141+O141:Q141)</f>
        <v>391382.52</v>
      </c>
    </row>
    <row r="142" spans="1:20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 xml:space="preserve"> COUNTIF(deals_closed!D:D,A142)</f>
        <v>29</v>
      </c>
      <c r="G142" s="5">
        <f>SUMIF(deals_closed!D:D, calculations!A142, deals_closed!C:C)</f>
        <v>974290</v>
      </c>
      <c r="H142" s="5">
        <f>VLOOKUP(D142,'2018_commission_structure'!$A$2:$I$4,9,FALSE)</f>
        <v>500000</v>
      </c>
      <c r="I142" s="9">
        <f t="shared" si="12"/>
        <v>625000</v>
      </c>
      <c r="J142" s="8">
        <f t="shared" si="13"/>
        <v>750000</v>
      </c>
      <c r="K142" s="9">
        <f t="shared" si="14"/>
        <v>1000000</v>
      </c>
      <c r="L142" s="10">
        <f t="shared" si="15"/>
        <v>1.94858</v>
      </c>
      <c r="M142" t="str">
        <f t="shared" si="16"/>
        <v>150-200%</v>
      </c>
      <c r="N142" s="9">
        <f>MIN(H142, G142)*INDEX('2018_commission_structure'!$A$1:$I$4,
MATCH($D142, '2018_commission_structure'!$A$1:$A$4,0),
MATCH(N$1, '2018_commission_structure'!$A$1:$I$1,0))</f>
        <v>50000</v>
      </c>
      <c r="O142" s="11">
        <f>IF(G142&gt;H142, MIN(G142-H142, I142-H142)*
INDEX('2018_commission_structure'!$A$1:$I$4,
MATCH($D142, '2018_commission_structure'!$A$1:$A$4, 0),
MATCH(O$1, '2018_commission_structure'!$A$1:$I$1, 0)), 0)</f>
        <v>18750</v>
      </c>
      <c r="P142" s="11">
        <f>IF(G142&gt;H142, MIN(G142-H142, J142-H142)*
INDEX('2018_commission_structure'!$A$1:$I$4,
MATCH($D142, '2018_commission_structure'!$A$1:$A$4, 0),
MATCH(O$1, '2018_commission_structure'!$A$1:$I$1, 0)), 0)</f>
        <v>37500</v>
      </c>
      <c r="Q142" s="11">
        <f>IF(G142&gt;H142, MIN(G142-H142, I142-H142)*
INDEX('2018_commission_structure'!$A$1:$I$4,
MATCH($D142, '2018_commission_structure'!$A$1:$A$4, 0),
MATCH(P$1, '2018_commission_structure'!$A$1:$I$1, 0)), 0)</f>
        <v>22500</v>
      </c>
      <c r="R142" s="11">
        <f>IF(G142&gt;K142, (G142-K142) *
INDEX('2018_commission_structure'!$A$1:$I$4,
MATCH($D142, '2018_commission_structure'!$A$1:$A$4,0),
MATCH(R$1, '2018_commission_structure'!$A$1:$I$1,0)), 0)</f>
        <v>0</v>
      </c>
      <c r="S142" s="11">
        <f t="shared" si="17"/>
        <v>78750</v>
      </c>
      <c r="T142" s="11" cm="1">
        <f t="array" ref="T142">SUM(E142+O142:Q142)</f>
        <v>236217</v>
      </c>
    </row>
    <row r="143" spans="1:20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 xml:space="preserve"> COUNTIF(deals_closed!D:D,A143)</f>
        <v>18</v>
      </c>
      <c r="G143" s="5">
        <f>SUMIF(deals_closed!D:D, calculations!A143, deals_closed!C:C)</f>
        <v>718775</v>
      </c>
      <c r="H143" s="5">
        <f>VLOOKUP(D143,'2018_commission_structure'!$A$2:$I$4,9,FALSE)</f>
        <v>500000</v>
      </c>
      <c r="I143" s="9">
        <f t="shared" si="12"/>
        <v>625000</v>
      </c>
      <c r="J143" s="8">
        <f t="shared" si="13"/>
        <v>750000</v>
      </c>
      <c r="K143" s="9">
        <f t="shared" si="14"/>
        <v>1000000</v>
      </c>
      <c r="L143" s="10">
        <f t="shared" si="15"/>
        <v>1.4375500000000001</v>
      </c>
      <c r="M143" t="str">
        <f t="shared" si="16"/>
        <v>125-150%</v>
      </c>
      <c r="N143" s="9">
        <f>MIN(H143, G143)*INDEX('2018_commission_structure'!$A$1:$I$4,
MATCH($D143, '2018_commission_structure'!$A$1:$A$4,0),
MATCH(N$1, '2018_commission_structure'!$A$1:$I$1,0))</f>
        <v>50000</v>
      </c>
      <c r="O143" s="11">
        <f>IF(G143&gt;H143, MIN(G143-H143, I143-H143)*
INDEX('2018_commission_structure'!$A$1:$I$4,
MATCH($D143, '2018_commission_structure'!$A$1:$A$4, 0),
MATCH(O$1, '2018_commission_structure'!$A$1:$I$1, 0)), 0)</f>
        <v>18750</v>
      </c>
      <c r="P143" s="11">
        <f>IF(G143&gt;H143, MIN(G143-H143, J143-H143)*
INDEX('2018_commission_structure'!$A$1:$I$4,
MATCH($D143, '2018_commission_structure'!$A$1:$A$4, 0),
MATCH(O$1, '2018_commission_structure'!$A$1:$I$1, 0)), 0)</f>
        <v>32816.25</v>
      </c>
      <c r="Q143" s="11">
        <f>IF(G143&gt;H143, MIN(G143-H143, I143-H143)*
INDEX('2018_commission_structure'!$A$1:$I$4,
MATCH($D143, '2018_commission_structure'!$A$1:$A$4, 0),
MATCH(P$1, '2018_commission_structure'!$A$1:$I$1, 0)), 0)</f>
        <v>22500</v>
      </c>
      <c r="R143" s="11">
        <f>IF(G143&gt;K143, (G143-K143) *
INDEX('2018_commission_structure'!$A$1:$I$4,
MATCH($D143, '2018_commission_structure'!$A$1:$A$4,0),
MATCH(R$1, '2018_commission_structure'!$A$1:$I$1,0)), 0)</f>
        <v>0</v>
      </c>
      <c r="S143" s="11">
        <f t="shared" si="17"/>
        <v>74066.25</v>
      </c>
      <c r="T143" s="11" cm="1">
        <f t="array" ref="T143">SUM(E143+O143:Q143)</f>
        <v>268613.25</v>
      </c>
    </row>
    <row r="144" spans="1:20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 xml:space="preserve"> COUNTIF(deals_closed!D:D,A144)</f>
        <v>25</v>
      </c>
      <c r="G144" s="5">
        <f>SUMIF(deals_closed!D:D, calculations!A144, deals_closed!C:C)</f>
        <v>945309</v>
      </c>
      <c r="H144" s="5">
        <f>VLOOKUP(D144,'2018_commission_structure'!$A$2:$I$4,9,FALSE)</f>
        <v>750000</v>
      </c>
      <c r="I144" s="9">
        <f t="shared" si="12"/>
        <v>937500</v>
      </c>
      <c r="J144" s="8">
        <f t="shared" si="13"/>
        <v>1125000</v>
      </c>
      <c r="K144" s="9">
        <f t="shared" si="14"/>
        <v>1500000</v>
      </c>
      <c r="L144" s="10">
        <f t="shared" si="15"/>
        <v>1.2604120000000001</v>
      </c>
      <c r="M144" t="str">
        <f t="shared" si="16"/>
        <v>125-150%</v>
      </c>
      <c r="N144" s="9">
        <f>MIN(H144, G144)*INDEX('2018_commission_structure'!$A$1:$I$4,
MATCH($D144, '2018_commission_structure'!$A$1:$A$4,0),
MATCH(N$1, '2018_commission_structure'!$A$1:$I$1,0))</f>
        <v>112500</v>
      </c>
      <c r="O144" s="11">
        <f>IF(G144&gt;H144, MIN(G144-H144, I144-H144)*
INDEX('2018_commission_structure'!$A$1:$I$4,
MATCH($D144, '2018_commission_structure'!$A$1:$A$4, 0),
MATCH(O$1, '2018_commission_structure'!$A$1:$I$1, 0)), 0)</f>
        <v>35625</v>
      </c>
      <c r="P144" s="11">
        <f>IF(G144&gt;H144, MIN(G144-H144, J144-H144)*
INDEX('2018_commission_structure'!$A$1:$I$4,
MATCH($D144, '2018_commission_structure'!$A$1:$A$4, 0),
MATCH(O$1, '2018_commission_structure'!$A$1:$I$1, 0)), 0)</f>
        <v>37108.71</v>
      </c>
      <c r="Q144" s="11">
        <f>IF(G144&gt;H144, MIN(G144-H144, I144-H144)*
INDEX('2018_commission_structure'!$A$1:$I$4,
MATCH($D144, '2018_commission_structure'!$A$1:$A$4, 0),
MATCH(P$1, '2018_commission_structure'!$A$1:$I$1, 0)), 0)</f>
        <v>43125</v>
      </c>
      <c r="R144" s="11">
        <f>IF(G144&gt;K144, (G144-K144) *
INDEX('2018_commission_structure'!$A$1:$I$4,
MATCH($D144, '2018_commission_structure'!$A$1:$A$4,0),
MATCH(R$1, '2018_commission_structure'!$A$1:$I$1,0)), 0)</f>
        <v>0</v>
      </c>
      <c r="S144" s="11">
        <f t="shared" si="17"/>
        <v>115858.70999999999</v>
      </c>
      <c r="T144" s="11" cm="1">
        <f t="array" ref="T144">SUM(E144+O144:Q144)</f>
        <v>490303.70999999996</v>
      </c>
    </row>
    <row r="145" spans="1:20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 xml:space="preserve"> COUNTIF(deals_closed!D:D,A145)</f>
        <v>13</v>
      </c>
      <c r="G145" s="5">
        <f>SUMIF(deals_closed!D:D, calculations!A145, deals_closed!C:C)</f>
        <v>499816</v>
      </c>
      <c r="H145" s="5">
        <f>VLOOKUP(D145,'2018_commission_structure'!$A$2:$I$4,9,FALSE)</f>
        <v>750000</v>
      </c>
      <c r="I145" s="9">
        <f t="shared" si="12"/>
        <v>937500</v>
      </c>
      <c r="J145" s="8">
        <f t="shared" si="13"/>
        <v>1125000</v>
      </c>
      <c r="K145" s="9">
        <f t="shared" si="14"/>
        <v>1500000</v>
      </c>
      <c r="L145" s="10">
        <f t="shared" si="15"/>
        <v>0.66642133333333331</v>
      </c>
      <c r="M145" t="str">
        <f t="shared" si="16"/>
        <v>0-100%</v>
      </c>
      <c r="N145" s="9">
        <f>MIN(H145, G145)*INDEX('2018_commission_structure'!$A$1:$I$4,
MATCH($D145, '2018_commission_structure'!$A$1:$A$4,0),
MATCH(N$1, '2018_commission_structure'!$A$1:$I$1,0))</f>
        <v>74972.399999999994</v>
      </c>
      <c r="O145" s="11">
        <f>IF(G145&gt;H145, MIN(G145-H145, I145-H145)*
INDEX('2018_commission_structure'!$A$1:$I$4,
MATCH($D145, '2018_commission_structure'!$A$1:$A$4, 0),
MATCH(O$1, '2018_commission_structure'!$A$1:$I$1, 0)), 0)</f>
        <v>0</v>
      </c>
      <c r="P145" s="11">
        <f>IF(G145&gt;H145, MIN(G145-H145, J145-H145)*
INDEX('2018_commission_structure'!$A$1:$I$4,
MATCH($D145, '2018_commission_structure'!$A$1:$A$4, 0),
MATCH(O$1, '2018_commission_structure'!$A$1:$I$1, 0)), 0)</f>
        <v>0</v>
      </c>
      <c r="Q145" s="11">
        <f>IF(G145&gt;H145, MIN(G145-H145, I145-H145)*
INDEX('2018_commission_structure'!$A$1:$I$4,
MATCH($D145, '2018_commission_structure'!$A$1:$A$4, 0),
MATCH(P$1, '2018_commission_structure'!$A$1:$I$1, 0)), 0)</f>
        <v>0</v>
      </c>
      <c r="R145" s="11">
        <f>IF(G145&gt;K145, (G145-K145) *
INDEX('2018_commission_structure'!$A$1:$I$4,
MATCH($D145, '2018_commission_structure'!$A$1:$A$4,0),
MATCH(R$1, '2018_commission_structure'!$A$1:$I$1,0)), 0)</f>
        <v>0</v>
      </c>
      <c r="S145" s="11">
        <f t="shared" si="17"/>
        <v>0</v>
      </c>
      <c r="T145" s="11" cm="1">
        <f t="array" ref="T145">SUM(E145+O145:Q145)</f>
        <v>307803</v>
      </c>
    </row>
    <row r="146" spans="1:20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 xml:space="preserve"> COUNTIF(deals_closed!D:D,A146)</f>
        <v>18</v>
      </c>
      <c r="G146" s="5">
        <f>SUMIF(deals_closed!D:D, calculations!A146, deals_closed!C:C)</f>
        <v>644768</v>
      </c>
      <c r="H146" s="5">
        <f>VLOOKUP(D146,'2018_commission_structure'!$A$2:$I$4,9,FALSE)</f>
        <v>500000</v>
      </c>
      <c r="I146" s="9">
        <f t="shared" si="12"/>
        <v>625000</v>
      </c>
      <c r="J146" s="8">
        <f t="shared" si="13"/>
        <v>750000</v>
      </c>
      <c r="K146" s="9">
        <f t="shared" si="14"/>
        <v>1000000</v>
      </c>
      <c r="L146" s="10">
        <f t="shared" si="15"/>
        <v>1.289536</v>
      </c>
      <c r="M146" t="str">
        <f t="shared" si="16"/>
        <v>125-150%</v>
      </c>
      <c r="N146" s="9">
        <f>MIN(H146, G146)*INDEX('2018_commission_structure'!$A$1:$I$4,
MATCH($D146, '2018_commission_structure'!$A$1:$A$4,0),
MATCH(N$1, '2018_commission_structure'!$A$1:$I$1,0))</f>
        <v>50000</v>
      </c>
      <c r="O146" s="11">
        <f>IF(G146&gt;H146, MIN(G146-H146, I146-H146)*
INDEX('2018_commission_structure'!$A$1:$I$4,
MATCH($D146, '2018_commission_structure'!$A$1:$A$4, 0),
MATCH(O$1, '2018_commission_structure'!$A$1:$I$1, 0)), 0)</f>
        <v>18750</v>
      </c>
      <c r="P146" s="11">
        <f>IF(G146&gt;H146, MIN(G146-H146, J146-H146)*
INDEX('2018_commission_structure'!$A$1:$I$4,
MATCH($D146, '2018_commission_structure'!$A$1:$A$4, 0),
MATCH(O$1, '2018_commission_structure'!$A$1:$I$1, 0)), 0)</f>
        <v>21715.200000000001</v>
      </c>
      <c r="Q146" s="11">
        <f>IF(G146&gt;H146, MIN(G146-H146, I146-H146)*
INDEX('2018_commission_structure'!$A$1:$I$4,
MATCH($D146, '2018_commission_structure'!$A$1:$A$4, 0),
MATCH(P$1, '2018_commission_structure'!$A$1:$I$1, 0)), 0)</f>
        <v>22500</v>
      </c>
      <c r="R146" s="11">
        <f>IF(G146&gt;K146, (G146-K146) *
INDEX('2018_commission_structure'!$A$1:$I$4,
MATCH($D146, '2018_commission_structure'!$A$1:$A$4,0),
MATCH(R$1, '2018_commission_structure'!$A$1:$I$1,0)), 0)</f>
        <v>0</v>
      </c>
      <c r="S146" s="11">
        <f t="shared" si="17"/>
        <v>62965.2</v>
      </c>
      <c r="T146" s="11" cm="1">
        <f t="array" ref="T146">SUM(E146+O146:Q146)</f>
        <v>196030.2</v>
      </c>
    </row>
    <row r="147" spans="1:20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 xml:space="preserve"> COUNTIF(deals_closed!D:D,A147)</f>
        <v>17</v>
      </c>
      <c r="G147" s="5">
        <f>SUMIF(deals_closed!D:D, calculations!A147, deals_closed!C:C)</f>
        <v>577152</v>
      </c>
      <c r="H147" s="5">
        <f>VLOOKUP(D147,'2018_commission_structure'!$A$2:$I$4,9,FALSE)</f>
        <v>750000</v>
      </c>
      <c r="I147" s="9">
        <f t="shared" si="12"/>
        <v>937500</v>
      </c>
      <c r="J147" s="8">
        <f t="shared" si="13"/>
        <v>1125000</v>
      </c>
      <c r="K147" s="9">
        <f t="shared" si="14"/>
        <v>1500000</v>
      </c>
      <c r="L147" s="10">
        <f t="shared" si="15"/>
        <v>0.769536</v>
      </c>
      <c r="M147" t="str">
        <f t="shared" si="16"/>
        <v>0-100%</v>
      </c>
      <c r="N147" s="9">
        <f>MIN(H147, G147)*INDEX('2018_commission_structure'!$A$1:$I$4,
MATCH($D147, '2018_commission_structure'!$A$1:$A$4,0),
MATCH(N$1, '2018_commission_structure'!$A$1:$I$1,0))</f>
        <v>86572.800000000003</v>
      </c>
      <c r="O147" s="11">
        <f>IF(G147&gt;H147, MIN(G147-H147, I147-H147)*
INDEX('2018_commission_structure'!$A$1:$I$4,
MATCH($D147, '2018_commission_structure'!$A$1:$A$4, 0),
MATCH(O$1, '2018_commission_structure'!$A$1:$I$1, 0)), 0)</f>
        <v>0</v>
      </c>
      <c r="P147" s="11">
        <f>IF(G147&gt;H147, MIN(G147-H147, J147-H147)*
INDEX('2018_commission_structure'!$A$1:$I$4,
MATCH($D147, '2018_commission_structure'!$A$1:$A$4, 0),
MATCH(O$1, '2018_commission_structure'!$A$1:$I$1, 0)), 0)</f>
        <v>0</v>
      </c>
      <c r="Q147" s="11">
        <f>IF(G147&gt;H147, MIN(G147-H147, I147-H147)*
INDEX('2018_commission_structure'!$A$1:$I$4,
MATCH($D147, '2018_commission_structure'!$A$1:$A$4, 0),
MATCH(P$1, '2018_commission_structure'!$A$1:$I$1, 0)), 0)</f>
        <v>0</v>
      </c>
      <c r="R147" s="11">
        <f>IF(G147&gt;K147, (G147-K147) *
INDEX('2018_commission_structure'!$A$1:$I$4,
MATCH($D147, '2018_commission_structure'!$A$1:$A$4,0),
MATCH(R$1, '2018_commission_structure'!$A$1:$I$1,0)), 0)</f>
        <v>0</v>
      </c>
      <c r="S147" s="11">
        <f t="shared" si="17"/>
        <v>0</v>
      </c>
      <c r="T147" s="11" cm="1">
        <f t="array" ref="T147">SUM(E147+O147:Q147)</f>
        <v>329751</v>
      </c>
    </row>
    <row r="148" spans="1:20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 xml:space="preserve"> COUNTIF(deals_closed!D:D,A148)</f>
        <v>22</v>
      </c>
      <c r="G148" s="5">
        <f>SUMIF(deals_closed!D:D, calculations!A148, deals_closed!C:C)</f>
        <v>823922</v>
      </c>
      <c r="H148" s="5">
        <f>VLOOKUP(D148,'2018_commission_structure'!$A$2:$I$4,9,FALSE)</f>
        <v>500000</v>
      </c>
      <c r="I148" s="9">
        <f t="shared" si="12"/>
        <v>625000</v>
      </c>
      <c r="J148" s="8">
        <f t="shared" si="13"/>
        <v>750000</v>
      </c>
      <c r="K148" s="9">
        <f t="shared" si="14"/>
        <v>1000000</v>
      </c>
      <c r="L148" s="10">
        <f t="shared" si="15"/>
        <v>1.6478440000000001</v>
      </c>
      <c r="M148" t="str">
        <f t="shared" si="16"/>
        <v>150-200%</v>
      </c>
      <c r="N148" s="9">
        <f>MIN(H148, G148)*INDEX('2018_commission_structure'!$A$1:$I$4,
MATCH($D148, '2018_commission_structure'!$A$1:$A$4,0),
MATCH(N$1, '2018_commission_structure'!$A$1:$I$1,0))</f>
        <v>50000</v>
      </c>
      <c r="O148" s="11">
        <f>IF(G148&gt;H148, MIN(G148-H148, I148-H148)*
INDEX('2018_commission_structure'!$A$1:$I$4,
MATCH($D148, '2018_commission_structure'!$A$1:$A$4, 0),
MATCH(O$1, '2018_commission_structure'!$A$1:$I$1, 0)), 0)</f>
        <v>18750</v>
      </c>
      <c r="P148" s="11">
        <f>IF(G148&gt;H148, MIN(G148-H148, J148-H148)*
INDEX('2018_commission_structure'!$A$1:$I$4,
MATCH($D148, '2018_commission_structure'!$A$1:$A$4, 0),
MATCH(O$1, '2018_commission_structure'!$A$1:$I$1, 0)), 0)</f>
        <v>37500</v>
      </c>
      <c r="Q148" s="11">
        <f>IF(G148&gt;H148, MIN(G148-H148, I148-H148)*
INDEX('2018_commission_structure'!$A$1:$I$4,
MATCH($D148, '2018_commission_structure'!$A$1:$A$4, 0),
MATCH(P$1, '2018_commission_structure'!$A$1:$I$1, 0)), 0)</f>
        <v>22500</v>
      </c>
      <c r="R148" s="11">
        <f>IF(G148&gt;K148, (G148-K148) *
INDEX('2018_commission_structure'!$A$1:$I$4,
MATCH($D148, '2018_commission_structure'!$A$1:$A$4,0),
MATCH(R$1, '2018_commission_structure'!$A$1:$I$1,0)), 0)</f>
        <v>0</v>
      </c>
      <c r="S148" s="11">
        <f t="shared" si="17"/>
        <v>78750</v>
      </c>
      <c r="T148" s="11" cm="1">
        <f t="array" ref="T148">SUM(E148+O148:Q148)</f>
        <v>176205</v>
      </c>
    </row>
    <row r="149" spans="1:20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 xml:space="preserve"> COUNTIF(deals_closed!D:D,A149)</f>
        <v>17</v>
      </c>
      <c r="G149" s="5">
        <f>SUMIF(deals_closed!D:D, calculations!A149, deals_closed!C:C)</f>
        <v>518120</v>
      </c>
      <c r="H149" s="5">
        <f>VLOOKUP(D149,'2018_commission_structure'!$A$2:$I$4,9,FALSE)</f>
        <v>600000</v>
      </c>
      <c r="I149" s="9">
        <f t="shared" si="12"/>
        <v>750000</v>
      </c>
      <c r="J149" s="8">
        <f t="shared" si="13"/>
        <v>900000</v>
      </c>
      <c r="K149" s="9">
        <f t="shared" si="14"/>
        <v>1200000</v>
      </c>
      <c r="L149" s="10">
        <f t="shared" si="15"/>
        <v>0.86353333333333337</v>
      </c>
      <c r="M149" t="str">
        <f t="shared" si="16"/>
        <v>0-100%</v>
      </c>
      <c r="N149" s="9">
        <f>MIN(H149, G149)*INDEX('2018_commission_structure'!$A$1:$I$4,
MATCH($D149, '2018_commission_structure'!$A$1:$A$4,0),
MATCH(N$1, '2018_commission_structure'!$A$1:$I$1,0))</f>
        <v>67355.600000000006</v>
      </c>
      <c r="O149" s="11">
        <f>IF(G149&gt;H149, MIN(G149-H149, I149-H149)*
INDEX('2018_commission_structure'!$A$1:$I$4,
MATCH($D149, '2018_commission_structure'!$A$1:$A$4, 0),
MATCH(O$1, '2018_commission_structure'!$A$1:$I$1, 0)), 0)</f>
        <v>0</v>
      </c>
      <c r="P149" s="11">
        <f>IF(G149&gt;H149, MIN(G149-H149, J149-H149)*
INDEX('2018_commission_structure'!$A$1:$I$4,
MATCH($D149, '2018_commission_structure'!$A$1:$A$4, 0),
MATCH(O$1, '2018_commission_structure'!$A$1:$I$1, 0)), 0)</f>
        <v>0</v>
      </c>
      <c r="Q149" s="11">
        <f>IF(G149&gt;H149, MIN(G149-H149, I149-H149)*
INDEX('2018_commission_structure'!$A$1:$I$4,
MATCH($D149, '2018_commission_structure'!$A$1:$A$4, 0),
MATCH(P$1, '2018_commission_structure'!$A$1:$I$1, 0)), 0)</f>
        <v>0</v>
      </c>
      <c r="R149" s="11">
        <f>IF(G149&gt;K149, (G149-K149) *
INDEX('2018_commission_structure'!$A$1:$I$4,
MATCH($D149, '2018_commission_structure'!$A$1:$A$4,0),
MATCH(R$1, '2018_commission_structure'!$A$1:$I$1,0)), 0)</f>
        <v>0</v>
      </c>
      <c r="S149" s="11">
        <f t="shared" si="17"/>
        <v>0</v>
      </c>
      <c r="T149" s="11" cm="1">
        <f t="array" ref="T149">SUM(E149+O149:Q149)</f>
        <v>210918</v>
      </c>
    </row>
    <row r="150" spans="1:20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 xml:space="preserve"> COUNTIF(deals_closed!D:D,A150)</f>
        <v>22</v>
      </c>
      <c r="G150" s="5">
        <f>SUMIF(deals_closed!D:D, calculations!A150, deals_closed!C:C)</f>
        <v>582051</v>
      </c>
      <c r="H150" s="5">
        <f>VLOOKUP(D150,'2018_commission_structure'!$A$2:$I$4,9,FALSE)</f>
        <v>750000</v>
      </c>
      <c r="I150" s="9">
        <f t="shared" si="12"/>
        <v>937500</v>
      </c>
      <c r="J150" s="8">
        <f t="shared" si="13"/>
        <v>1125000</v>
      </c>
      <c r="K150" s="9">
        <f t="shared" si="14"/>
        <v>1500000</v>
      </c>
      <c r="L150" s="10">
        <f t="shared" si="15"/>
        <v>0.77606799999999998</v>
      </c>
      <c r="M150" t="str">
        <f t="shared" si="16"/>
        <v>0-100%</v>
      </c>
      <c r="N150" s="9">
        <f>MIN(H150, G150)*INDEX('2018_commission_structure'!$A$1:$I$4,
MATCH($D150, '2018_commission_structure'!$A$1:$A$4,0),
MATCH(N$1, '2018_commission_structure'!$A$1:$I$1,0))</f>
        <v>87307.65</v>
      </c>
      <c r="O150" s="11">
        <f>IF(G150&gt;H150, MIN(G150-H150, I150-H150)*
INDEX('2018_commission_structure'!$A$1:$I$4,
MATCH($D150, '2018_commission_structure'!$A$1:$A$4, 0),
MATCH(O$1, '2018_commission_structure'!$A$1:$I$1, 0)), 0)</f>
        <v>0</v>
      </c>
      <c r="P150" s="11">
        <f>IF(G150&gt;H150, MIN(G150-H150, J150-H150)*
INDEX('2018_commission_structure'!$A$1:$I$4,
MATCH($D150, '2018_commission_structure'!$A$1:$A$4, 0),
MATCH(O$1, '2018_commission_structure'!$A$1:$I$1, 0)), 0)</f>
        <v>0</v>
      </c>
      <c r="Q150" s="11">
        <f>IF(G150&gt;H150, MIN(G150-H150, I150-H150)*
INDEX('2018_commission_structure'!$A$1:$I$4,
MATCH($D150, '2018_commission_structure'!$A$1:$A$4, 0),
MATCH(P$1, '2018_commission_structure'!$A$1:$I$1, 0)), 0)</f>
        <v>0</v>
      </c>
      <c r="R150" s="11">
        <f>IF(G150&gt;K150, (G150-K150) *
INDEX('2018_commission_structure'!$A$1:$I$4,
MATCH($D150, '2018_commission_structure'!$A$1:$A$4,0),
MATCH(R$1, '2018_commission_structure'!$A$1:$I$1,0)), 0)</f>
        <v>0</v>
      </c>
      <c r="S150" s="11">
        <f t="shared" si="17"/>
        <v>0</v>
      </c>
      <c r="T150" s="11" cm="1">
        <f t="array" ref="T150">SUM(E150+O150:Q150)</f>
        <v>374784</v>
      </c>
    </row>
    <row r="151" spans="1:20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 xml:space="preserve"> COUNTIF(deals_closed!D:D,A151)</f>
        <v>25</v>
      </c>
      <c r="G151" s="5">
        <f>SUMIF(deals_closed!D:D, calculations!A151, deals_closed!C:C)</f>
        <v>921122</v>
      </c>
      <c r="H151" s="5">
        <f>VLOOKUP(D151,'2018_commission_structure'!$A$2:$I$4,9,FALSE)</f>
        <v>750000</v>
      </c>
      <c r="I151" s="9">
        <f t="shared" si="12"/>
        <v>937500</v>
      </c>
      <c r="J151" s="8">
        <f t="shared" si="13"/>
        <v>1125000</v>
      </c>
      <c r="K151" s="9">
        <f t="shared" si="14"/>
        <v>1500000</v>
      </c>
      <c r="L151" s="10">
        <f t="shared" si="15"/>
        <v>1.2281626666666667</v>
      </c>
      <c r="M151" t="str">
        <f t="shared" si="16"/>
        <v>100-125%</v>
      </c>
      <c r="N151" s="9">
        <f>MIN(H151, G151)*INDEX('2018_commission_structure'!$A$1:$I$4,
MATCH($D151, '2018_commission_structure'!$A$1:$A$4,0),
MATCH(N$1, '2018_commission_structure'!$A$1:$I$1,0))</f>
        <v>112500</v>
      </c>
      <c r="O151" s="11">
        <f>IF(G151&gt;H151, MIN(G151-H151, I151-H151)*
INDEX('2018_commission_structure'!$A$1:$I$4,
MATCH($D151, '2018_commission_structure'!$A$1:$A$4, 0),
MATCH(O$1, '2018_commission_structure'!$A$1:$I$1, 0)), 0)</f>
        <v>32513.18</v>
      </c>
      <c r="P151" s="11">
        <f>IF(G151&gt;H151, MIN(G151-H151, J151-H151)*
INDEX('2018_commission_structure'!$A$1:$I$4,
MATCH($D151, '2018_commission_structure'!$A$1:$A$4, 0),
MATCH(O$1, '2018_commission_structure'!$A$1:$I$1, 0)), 0)</f>
        <v>32513.18</v>
      </c>
      <c r="Q151" s="11">
        <f>IF(G151&gt;H151, MIN(G151-H151, I151-H151)*
INDEX('2018_commission_structure'!$A$1:$I$4,
MATCH($D151, '2018_commission_structure'!$A$1:$A$4, 0),
MATCH(P$1, '2018_commission_structure'!$A$1:$I$1, 0)), 0)</f>
        <v>39358.060000000005</v>
      </c>
      <c r="R151" s="11">
        <f>IF(G151&gt;K151, (G151-K151) *
INDEX('2018_commission_structure'!$A$1:$I$4,
MATCH($D151, '2018_commission_structure'!$A$1:$A$4,0),
MATCH(R$1, '2018_commission_structure'!$A$1:$I$1,0)), 0)</f>
        <v>0</v>
      </c>
      <c r="S151" s="11">
        <f t="shared" si="17"/>
        <v>104384.42000000001</v>
      </c>
      <c r="T151" s="11" cm="1">
        <f t="array" ref="T151">SUM(E151+O151:Q151)</f>
        <v>448100.42</v>
      </c>
    </row>
    <row r="152" spans="1:20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 xml:space="preserve"> COUNTIF(deals_closed!D:D,A152)</f>
        <v>20</v>
      </c>
      <c r="G152" s="5">
        <f>SUMIF(deals_closed!D:D, calculations!A152, deals_closed!C:C)</f>
        <v>745121</v>
      </c>
      <c r="H152" s="5">
        <f>VLOOKUP(D152,'2018_commission_structure'!$A$2:$I$4,9,FALSE)</f>
        <v>750000</v>
      </c>
      <c r="I152" s="9">
        <f t="shared" si="12"/>
        <v>937500</v>
      </c>
      <c r="J152" s="8">
        <f t="shared" si="13"/>
        <v>1125000</v>
      </c>
      <c r="K152" s="9">
        <f t="shared" si="14"/>
        <v>1500000</v>
      </c>
      <c r="L152" s="10">
        <f t="shared" si="15"/>
        <v>0.99349466666666664</v>
      </c>
      <c r="M152" t="str">
        <f t="shared" si="16"/>
        <v>0-100%</v>
      </c>
      <c r="N152" s="9">
        <f>MIN(H152, G152)*INDEX('2018_commission_structure'!$A$1:$I$4,
MATCH($D152, '2018_commission_structure'!$A$1:$A$4,0),
MATCH(N$1, '2018_commission_structure'!$A$1:$I$1,0))</f>
        <v>111768.15</v>
      </c>
      <c r="O152" s="11">
        <f>IF(G152&gt;H152, MIN(G152-H152, I152-H152)*
INDEX('2018_commission_structure'!$A$1:$I$4,
MATCH($D152, '2018_commission_structure'!$A$1:$A$4, 0),
MATCH(O$1, '2018_commission_structure'!$A$1:$I$1, 0)), 0)</f>
        <v>0</v>
      </c>
      <c r="P152" s="11">
        <f>IF(G152&gt;H152, MIN(G152-H152, J152-H152)*
INDEX('2018_commission_structure'!$A$1:$I$4,
MATCH($D152, '2018_commission_structure'!$A$1:$A$4, 0),
MATCH(O$1, '2018_commission_structure'!$A$1:$I$1, 0)), 0)</f>
        <v>0</v>
      </c>
      <c r="Q152" s="11">
        <f>IF(G152&gt;H152, MIN(G152-H152, I152-H152)*
INDEX('2018_commission_structure'!$A$1:$I$4,
MATCH($D152, '2018_commission_structure'!$A$1:$A$4, 0),
MATCH(P$1, '2018_commission_structure'!$A$1:$I$1, 0)), 0)</f>
        <v>0</v>
      </c>
      <c r="R152" s="11">
        <f>IF(G152&gt;K152, (G152-K152) *
INDEX('2018_commission_structure'!$A$1:$I$4,
MATCH($D152, '2018_commission_structure'!$A$1:$A$4,0),
MATCH(R$1, '2018_commission_structure'!$A$1:$I$1,0)), 0)</f>
        <v>0</v>
      </c>
      <c r="S152" s="11">
        <f t="shared" si="17"/>
        <v>0</v>
      </c>
      <c r="T152" s="11" cm="1">
        <f t="array" ref="T152">SUM(E152+O152:Q152)</f>
        <v>354189</v>
      </c>
    </row>
    <row r="153" spans="1:20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 xml:space="preserve"> COUNTIF(deals_closed!D:D,A153)</f>
        <v>18</v>
      </c>
      <c r="G153" s="5">
        <f>SUMIF(deals_closed!D:D, calculations!A153, deals_closed!C:C)</f>
        <v>605464</v>
      </c>
      <c r="H153" s="5">
        <f>VLOOKUP(D153,'2018_commission_structure'!$A$2:$I$4,9,FALSE)</f>
        <v>750000</v>
      </c>
      <c r="I153" s="9">
        <f t="shared" si="12"/>
        <v>937500</v>
      </c>
      <c r="J153" s="8">
        <f t="shared" si="13"/>
        <v>1125000</v>
      </c>
      <c r="K153" s="9">
        <f t="shared" si="14"/>
        <v>1500000</v>
      </c>
      <c r="L153" s="10">
        <f t="shared" si="15"/>
        <v>0.8072853333333333</v>
      </c>
      <c r="M153" t="str">
        <f t="shared" si="16"/>
        <v>0-100%</v>
      </c>
      <c r="N153" s="9">
        <f>MIN(H153, G153)*INDEX('2018_commission_structure'!$A$1:$I$4,
MATCH($D153, '2018_commission_structure'!$A$1:$A$4,0),
MATCH(N$1, '2018_commission_structure'!$A$1:$I$1,0))</f>
        <v>90819.599999999991</v>
      </c>
      <c r="O153" s="11">
        <f>IF(G153&gt;H153, MIN(G153-H153, I153-H153)*
INDEX('2018_commission_structure'!$A$1:$I$4,
MATCH($D153, '2018_commission_structure'!$A$1:$A$4, 0),
MATCH(O$1, '2018_commission_structure'!$A$1:$I$1, 0)), 0)</f>
        <v>0</v>
      </c>
      <c r="P153" s="11">
        <f>IF(G153&gt;H153, MIN(G153-H153, J153-H153)*
INDEX('2018_commission_structure'!$A$1:$I$4,
MATCH($D153, '2018_commission_structure'!$A$1:$A$4, 0),
MATCH(O$1, '2018_commission_structure'!$A$1:$I$1, 0)), 0)</f>
        <v>0</v>
      </c>
      <c r="Q153" s="11">
        <f>IF(G153&gt;H153, MIN(G153-H153, I153-H153)*
INDEX('2018_commission_structure'!$A$1:$I$4,
MATCH($D153, '2018_commission_structure'!$A$1:$A$4, 0),
MATCH(P$1, '2018_commission_structure'!$A$1:$I$1, 0)), 0)</f>
        <v>0</v>
      </c>
      <c r="R153" s="11">
        <f>IF(G153&gt;K153, (G153-K153) *
INDEX('2018_commission_structure'!$A$1:$I$4,
MATCH($D153, '2018_commission_structure'!$A$1:$A$4,0),
MATCH(R$1, '2018_commission_structure'!$A$1:$I$1,0)), 0)</f>
        <v>0</v>
      </c>
      <c r="S153" s="11">
        <f t="shared" si="17"/>
        <v>0</v>
      </c>
      <c r="T153" s="11" cm="1">
        <f t="array" ref="T153">SUM(E153+O153:Q153)</f>
        <v>335556</v>
      </c>
    </row>
    <row r="154" spans="1:20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 xml:space="preserve"> COUNTIF(deals_closed!D:D,A154)</f>
        <v>19</v>
      </c>
      <c r="G154" s="5">
        <f>SUMIF(deals_closed!D:D, calculations!A154, deals_closed!C:C)</f>
        <v>703216</v>
      </c>
      <c r="H154" s="5">
        <f>VLOOKUP(D154,'2018_commission_structure'!$A$2:$I$4,9,FALSE)</f>
        <v>500000</v>
      </c>
      <c r="I154" s="9">
        <f t="shared" si="12"/>
        <v>625000</v>
      </c>
      <c r="J154" s="8">
        <f t="shared" si="13"/>
        <v>750000</v>
      </c>
      <c r="K154" s="9">
        <f t="shared" si="14"/>
        <v>1000000</v>
      </c>
      <c r="L154" s="10">
        <f t="shared" si="15"/>
        <v>1.4064319999999999</v>
      </c>
      <c r="M154" t="str">
        <f t="shared" si="16"/>
        <v>125-150%</v>
      </c>
      <c r="N154" s="9">
        <f>MIN(H154, G154)*INDEX('2018_commission_structure'!$A$1:$I$4,
MATCH($D154, '2018_commission_structure'!$A$1:$A$4,0),
MATCH(N$1, '2018_commission_structure'!$A$1:$I$1,0))</f>
        <v>50000</v>
      </c>
      <c r="O154" s="11">
        <f>IF(G154&gt;H154, MIN(G154-H154, I154-H154)*
INDEX('2018_commission_structure'!$A$1:$I$4,
MATCH($D154, '2018_commission_structure'!$A$1:$A$4, 0),
MATCH(O$1, '2018_commission_structure'!$A$1:$I$1, 0)), 0)</f>
        <v>18750</v>
      </c>
      <c r="P154" s="11">
        <f>IF(G154&gt;H154, MIN(G154-H154, J154-H154)*
INDEX('2018_commission_structure'!$A$1:$I$4,
MATCH($D154, '2018_commission_structure'!$A$1:$A$4, 0),
MATCH(O$1, '2018_commission_structure'!$A$1:$I$1, 0)), 0)</f>
        <v>30482.399999999998</v>
      </c>
      <c r="Q154" s="11">
        <f>IF(G154&gt;H154, MIN(G154-H154, I154-H154)*
INDEX('2018_commission_structure'!$A$1:$I$4,
MATCH($D154, '2018_commission_structure'!$A$1:$A$4, 0),
MATCH(P$1, '2018_commission_structure'!$A$1:$I$1, 0)), 0)</f>
        <v>22500</v>
      </c>
      <c r="R154" s="11">
        <f>IF(G154&gt;K154, (G154-K154) *
INDEX('2018_commission_structure'!$A$1:$I$4,
MATCH($D154, '2018_commission_structure'!$A$1:$A$4,0),
MATCH(R$1, '2018_commission_structure'!$A$1:$I$1,0)), 0)</f>
        <v>0</v>
      </c>
      <c r="S154" s="11">
        <f t="shared" si="17"/>
        <v>71732.399999999994</v>
      </c>
      <c r="T154" s="11" cm="1">
        <f t="array" ref="T154">SUM(E154+O154:Q154)</f>
        <v>204812.4</v>
      </c>
    </row>
    <row r="155" spans="1:20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 xml:space="preserve"> COUNTIF(deals_closed!D:D,A155)</f>
        <v>14</v>
      </c>
      <c r="G155" s="5">
        <f>SUMIF(deals_closed!D:D, calculations!A155, deals_closed!C:C)</f>
        <v>488220</v>
      </c>
      <c r="H155" s="5">
        <f>VLOOKUP(D155,'2018_commission_structure'!$A$2:$I$4,9,FALSE)</f>
        <v>750000</v>
      </c>
      <c r="I155" s="9">
        <f t="shared" si="12"/>
        <v>937500</v>
      </c>
      <c r="J155" s="8">
        <f t="shared" si="13"/>
        <v>1125000</v>
      </c>
      <c r="K155" s="9">
        <f t="shared" si="14"/>
        <v>1500000</v>
      </c>
      <c r="L155" s="10">
        <f t="shared" si="15"/>
        <v>0.65095999999999998</v>
      </c>
      <c r="M155" t="str">
        <f t="shared" si="16"/>
        <v>0-100%</v>
      </c>
      <c r="N155" s="9">
        <f>MIN(H155, G155)*INDEX('2018_commission_structure'!$A$1:$I$4,
MATCH($D155, '2018_commission_structure'!$A$1:$A$4,0),
MATCH(N$1, '2018_commission_structure'!$A$1:$I$1,0))</f>
        <v>73233</v>
      </c>
      <c r="O155" s="11">
        <f>IF(G155&gt;H155, MIN(G155-H155, I155-H155)*
INDEX('2018_commission_structure'!$A$1:$I$4,
MATCH($D155, '2018_commission_structure'!$A$1:$A$4, 0),
MATCH(O$1, '2018_commission_structure'!$A$1:$I$1, 0)), 0)</f>
        <v>0</v>
      </c>
      <c r="P155" s="11">
        <f>IF(G155&gt;H155, MIN(G155-H155, J155-H155)*
INDEX('2018_commission_structure'!$A$1:$I$4,
MATCH($D155, '2018_commission_structure'!$A$1:$A$4, 0),
MATCH(O$1, '2018_commission_structure'!$A$1:$I$1, 0)), 0)</f>
        <v>0</v>
      </c>
      <c r="Q155" s="11">
        <f>IF(G155&gt;H155, MIN(G155-H155, I155-H155)*
INDEX('2018_commission_structure'!$A$1:$I$4,
MATCH($D155, '2018_commission_structure'!$A$1:$A$4, 0),
MATCH(P$1, '2018_commission_structure'!$A$1:$I$1, 0)), 0)</f>
        <v>0</v>
      </c>
      <c r="R155" s="11">
        <f>IF(G155&gt;K155, (G155-K155) *
INDEX('2018_commission_structure'!$A$1:$I$4,
MATCH($D155, '2018_commission_structure'!$A$1:$A$4,0),
MATCH(R$1, '2018_commission_structure'!$A$1:$I$1,0)), 0)</f>
        <v>0</v>
      </c>
      <c r="S155" s="11">
        <f t="shared" si="17"/>
        <v>0</v>
      </c>
      <c r="T155" s="11" cm="1">
        <f t="array" ref="T155">SUM(E155+O155:Q155)</f>
        <v>277719</v>
      </c>
    </row>
    <row r="156" spans="1:20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 xml:space="preserve"> COUNTIF(deals_closed!D:D,A156)</f>
        <v>22</v>
      </c>
      <c r="G156" s="5">
        <f>SUMIF(deals_closed!D:D, calculations!A156, deals_closed!C:C)</f>
        <v>721111</v>
      </c>
      <c r="H156" s="5">
        <f>VLOOKUP(D156,'2018_commission_structure'!$A$2:$I$4,9,FALSE)</f>
        <v>750000</v>
      </c>
      <c r="I156" s="9">
        <f t="shared" si="12"/>
        <v>937500</v>
      </c>
      <c r="J156" s="8">
        <f t="shared" si="13"/>
        <v>1125000</v>
      </c>
      <c r="K156" s="9">
        <f t="shared" si="14"/>
        <v>1500000</v>
      </c>
      <c r="L156" s="10">
        <f t="shared" si="15"/>
        <v>0.9614813333333333</v>
      </c>
      <c r="M156" t="str">
        <f t="shared" si="16"/>
        <v>0-100%</v>
      </c>
      <c r="N156" s="9">
        <f>MIN(H156, G156)*INDEX('2018_commission_structure'!$A$1:$I$4,
MATCH($D156, '2018_commission_structure'!$A$1:$A$4,0),
MATCH(N$1, '2018_commission_structure'!$A$1:$I$1,0))</f>
        <v>108166.65</v>
      </c>
      <c r="O156" s="11">
        <f>IF(G156&gt;H156, MIN(G156-H156, I156-H156)*
INDEX('2018_commission_structure'!$A$1:$I$4,
MATCH($D156, '2018_commission_structure'!$A$1:$A$4, 0),
MATCH(O$1, '2018_commission_structure'!$A$1:$I$1, 0)), 0)</f>
        <v>0</v>
      </c>
      <c r="P156" s="11">
        <f>IF(G156&gt;H156, MIN(G156-H156, J156-H156)*
INDEX('2018_commission_structure'!$A$1:$I$4,
MATCH($D156, '2018_commission_structure'!$A$1:$A$4, 0),
MATCH(O$1, '2018_commission_structure'!$A$1:$I$1, 0)), 0)</f>
        <v>0</v>
      </c>
      <c r="Q156" s="11">
        <f>IF(G156&gt;H156, MIN(G156-H156, I156-H156)*
INDEX('2018_commission_structure'!$A$1:$I$4,
MATCH($D156, '2018_commission_structure'!$A$1:$A$4, 0),
MATCH(P$1, '2018_commission_structure'!$A$1:$I$1, 0)), 0)</f>
        <v>0</v>
      </c>
      <c r="R156" s="11">
        <f>IF(G156&gt;K156, (G156-K156) *
INDEX('2018_commission_structure'!$A$1:$I$4,
MATCH($D156, '2018_commission_structure'!$A$1:$A$4,0),
MATCH(R$1, '2018_commission_structure'!$A$1:$I$1,0)), 0)</f>
        <v>0</v>
      </c>
      <c r="S156" s="11">
        <f t="shared" si="17"/>
        <v>0</v>
      </c>
      <c r="T156" s="11" cm="1">
        <f t="array" ref="T156">SUM(E156+O156:Q156)</f>
        <v>325080</v>
      </c>
    </row>
    <row r="157" spans="1:20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 xml:space="preserve"> COUNTIF(deals_closed!D:D,A157)</f>
        <v>23</v>
      </c>
      <c r="G157" s="5">
        <f>SUMIF(deals_closed!D:D, calculations!A157, deals_closed!C:C)</f>
        <v>854322</v>
      </c>
      <c r="H157" s="5">
        <f>VLOOKUP(D157,'2018_commission_structure'!$A$2:$I$4,9,FALSE)</f>
        <v>500000</v>
      </c>
      <c r="I157" s="9">
        <f t="shared" si="12"/>
        <v>625000</v>
      </c>
      <c r="J157" s="8">
        <f t="shared" si="13"/>
        <v>750000</v>
      </c>
      <c r="K157" s="9">
        <f t="shared" si="14"/>
        <v>1000000</v>
      </c>
      <c r="L157" s="10">
        <f t="shared" si="15"/>
        <v>1.7086440000000001</v>
      </c>
      <c r="M157" t="str">
        <f t="shared" si="16"/>
        <v>150-200%</v>
      </c>
      <c r="N157" s="9">
        <f>MIN(H157, G157)*INDEX('2018_commission_structure'!$A$1:$I$4,
MATCH($D157, '2018_commission_structure'!$A$1:$A$4,0),
MATCH(N$1, '2018_commission_structure'!$A$1:$I$1,0))</f>
        <v>50000</v>
      </c>
      <c r="O157" s="11">
        <f>IF(G157&gt;H157, MIN(G157-H157, I157-H157)*
INDEX('2018_commission_structure'!$A$1:$I$4,
MATCH($D157, '2018_commission_structure'!$A$1:$A$4, 0),
MATCH(O$1, '2018_commission_structure'!$A$1:$I$1, 0)), 0)</f>
        <v>18750</v>
      </c>
      <c r="P157" s="11">
        <f>IF(G157&gt;H157, MIN(G157-H157, J157-H157)*
INDEX('2018_commission_structure'!$A$1:$I$4,
MATCH($D157, '2018_commission_structure'!$A$1:$A$4, 0),
MATCH(O$1, '2018_commission_structure'!$A$1:$I$1, 0)), 0)</f>
        <v>37500</v>
      </c>
      <c r="Q157" s="11">
        <f>IF(G157&gt;H157, MIN(G157-H157, I157-H157)*
INDEX('2018_commission_structure'!$A$1:$I$4,
MATCH($D157, '2018_commission_structure'!$A$1:$A$4, 0),
MATCH(P$1, '2018_commission_structure'!$A$1:$I$1, 0)), 0)</f>
        <v>22500</v>
      </c>
      <c r="R157" s="11">
        <f>IF(G157&gt;K157, (G157-K157) *
INDEX('2018_commission_structure'!$A$1:$I$4,
MATCH($D157, '2018_commission_structure'!$A$1:$A$4,0),
MATCH(R$1, '2018_commission_structure'!$A$1:$I$1,0)), 0)</f>
        <v>0</v>
      </c>
      <c r="S157" s="11">
        <f t="shared" si="17"/>
        <v>78750</v>
      </c>
      <c r="T157" s="11" cm="1">
        <f t="array" ref="T157">SUM(E157+O157:Q157)</f>
        <v>173199</v>
      </c>
    </row>
    <row r="158" spans="1:20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 xml:space="preserve"> COUNTIF(deals_closed!D:D,A158)</f>
        <v>21</v>
      </c>
      <c r="G158" s="5">
        <f>SUMIF(deals_closed!D:D, calculations!A158, deals_closed!C:C)</f>
        <v>741013</v>
      </c>
      <c r="H158" s="5">
        <f>VLOOKUP(D158,'2018_commission_structure'!$A$2:$I$4,9,FALSE)</f>
        <v>600000</v>
      </c>
      <c r="I158" s="9">
        <f t="shared" si="12"/>
        <v>750000</v>
      </c>
      <c r="J158" s="8">
        <f t="shared" si="13"/>
        <v>900000</v>
      </c>
      <c r="K158" s="9">
        <f t="shared" si="14"/>
        <v>1200000</v>
      </c>
      <c r="L158" s="10">
        <f t="shared" si="15"/>
        <v>1.2350216666666667</v>
      </c>
      <c r="M158" t="str">
        <f t="shared" si="16"/>
        <v>100-125%</v>
      </c>
      <c r="N158" s="9">
        <f>MIN(H158, G158)*INDEX('2018_commission_structure'!$A$1:$I$4,
MATCH($D158, '2018_commission_structure'!$A$1:$A$4,0),
MATCH(N$1, '2018_commission_structure'!$A$1:$I$1,0))</f>
        <v>78000</v>
      </c>
      <c r="O158" s="11">
        <f>IF(G158&gt;H158, MIN(G158-H158, I158-H158)*
INDEX('2018_commission_structure'!$A$1:$I$4,
MATCH($D158, '2018_commission_structure'!$A$1:$A$4, 0),
MATCH(O$1, '2018_commission_structure'!$A$1:$I$1, 0)), 0)</f>
        <v>23972.210000000003</v>
      </c>
      <c r="P158" s="11">
        <f>IF(G158&gt;H158, MIN(G158-H158, J158-H158)*
INDEX('2018_commission_structure'!$A$1:$I$4,
MATCH($D158, '2018_commission_structure'!$A$1:$A$4, 0),
MATCH(O$1, '2018_commission_structure'!$A$1:$I$1, 0)), 0)</f>
        <v>23972.210000000003</v>
      </c>
      <c r="Q158" s="11">
        <f>IF(G158&gt;H158, MIN(G158-H158, I158-H158)*
INDEX('2018_commission_structure'!$A$1:$I$4,
MATCH($D158, '2018_commission_structure'!$A$1:$A$4, 0),
MATCH(P$1, '2018_commission_structure'!$A$1:$I$1, 0)), 0)</f>
        <v>29612.73</v>
      </c>
      <c r="R158" s="11">
        <f>IF(G158&gt;K158, (G158-K158) *
INDEX('2018_commission_structure'!$A$1:$I$4,
MATCH($D158, '2018_commission_structure'!$A$1:$A$4,0),
MATCH(R$1, '2018_commission_structure'!$A$1:$I$1,0)), 0)</f>
        <v>0</v>
      </c>
      <c r="S158" s="11">
        <f t="shared" si="17"/>
        <v>77557.150000000009</v>
      </c>
      <c r="T158" s="11" cm="1">
        <f t="array" ref="T158">SUM(E158+O158:Q158)</f>
        <v>230350.15000000002</v>
      </c>
    </row>
    <row r="159" spans="1:20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 xml:space="preserve"> COUNTIF(deals_closed!D:D,A159)</f>
        <v>22</v>
      </c>
      <c r="G159" s="5">
        <f>SUMIF(deals_closed!D:D, calculations!A159, deals_closed!C:C)</f>
        <v>724036</v>
      </c>
      <c r="H159" s="5">
        <f>VLOOKUP(D159,'2018_commission_structure'!$A$2:$I$4,9,FALSE)</f>
        <v>600000</v>
      </c>
      <c r="I159" s="9">
        <f t="shared" si="12"/>
        <v>750000</v>
      </c>
      <c r="J159" s="8">
        <f t="shared" si="13"/>
        <v>900000</v>
      </c>
      <c r="K159" s="9">
        <f t="shared" si="14"/>
        <v>1200000</v>
      </c>
      <c r="L159" s="10">
        <f t="shared" si="15"/>
        <v>1.2067266666666667</v>
      </c>
      <c r="M159" t="str">
        <f t="shared" si="16"/>
        <v>100-125%</v>
      </c>
      <c r="N159" s="9">
        <f>MIN(H159, G159)*INDEX('2018_commission_structure'!$A$1:$I$4,
MATCH($D159, '2018_commission_structure'!$A$1:$A$4,0),
MATCH(N$1, '2018_commission_structure'!$A$1:$I$1,0))</f>
        <v>78000</v>
      </c>
      <c r="O159" s="11">
        <f>IF(G159&gt;H159, MIN(G159-H159, I159-H159)*
INDEX('2018_commission_structure'!$A$1:$I$4,
MATCH($D159, '2018_commission_structure'!$A$1:$A$4, 0),
MATCH(O$1, '2018_commission_structure'!$A$1:$I$1, 0)), 0)</f>
        <v>21086.120000000003</v>
      </c>
      <c r="P159" s="11">
        <f>IF(G159&gt;H159, MIN(G159-H159, J159-H159)*
INDEX('2018_commission_structure'!$A$1:$I$4,
MATCH($D159, '2018_commission_structure'!$A$1:$A$4, 0),
MATCH(O$1, '2018_commission_structure'!$A$1:$I$1, 0)), 0)</f>
        <v>21086.120000000003</v>
      </c>
      <c r="Q159" s="11">
        <f>IF(G159&gt;H159, MIN(G159-H159, I159-H159)*
INDEX('2018_commission_structure'!$A$1:$I$4,
MATCH($D159, '2018_commission_structure'!$A$1:$A$4, 0),
MATCH(P$1, '2018_commission_structure'!$A$1:$I$1, 0)), 0)</f>
        <v>26047.559999999998</v>
      </c>
      <c r="R159" s="11">
        <f>IF(G159&gt;K159, (G159-K159) *
INDEX('2018_commission_structure'!$A$1:$I$4,
MATCH($D159, '2018_commission_structure'!$A$1:$A$4,0),
MATCH(R$1, '2018_commission_structure'!$A$1:$I$1,0)), 0)</f>
        <v>0</v>
      </c>
      <c r="S159" s="11">
        <f t="shared" si="17"/>
        <v>68219.8</v>
      </c>
      <c r="T159" s="11" cm="1">
        <f t="array" ref="T159">SUM(E159+O159:Q159)</f>
        <v>262112.8</v>
      </c>
    </row>
    <row r="160" spans="1:20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 xml:space="preserve"> COUNTIF(deals_closed!D:D,A160)</f>
        <v>18</v>
      </c>
      <c r="G160" s="5">
        <f>SUMIF(deals_closed!D:D, calculations!A160, deals_closed!C:C)</f>
        <v>714034</v>
      </c>
      <c r="H160" s="5">
        <f>VLOOKUP(D160,'2018_commission_structure'!$A$2:$I$4,9,FALSE)</f>
        <v>500000</v>
      </c>
      <c r="I160" s="9">
        <f t="shared" si="12"/>
        <v>625000</v>
      </c>
      <c r="J160" s="8">
        <f t="shared" si="13"/>
        <v>750000</v>
      </c>
      <c r="K160" s="9">
        <f t="shared" si="14"/>
        <v>1000000</v>
      </c>
      <c r="L160" s="10">
        <f t="shared" si="15"/>
        <v>1.4280679999999999</v>
      </c>
      <c r="M160" t="str">
        <f t="shared" si="16"/>
        <v>125-150%</v>
      </c>
      <c r="N160" s="9">
        <f>MIN(H160, G160)*INDEX('2018_commission_structure'!$A$1:$I$4,
MATCH($D160, '2018_commission_structure'!$A$1:$A$4,0),
MATCH(N$1, '2018_commission_structure'!$A$1:$I$1,0))</f>
        <v>50000</v>
      </c>
      <c r="O160" s="11">
        <f>IF(G160&gt;H160, MIN(G160-H160, I160-H160)*
INDEX('2018_commission_structure'!$A$1:$I$4,
MATCH($D160, '2018_commission_structure'!$A$1:$A$4, 0),
MATCH(O$1, '2018_commission_structure'!$A$1:$I$1, 0)), 0)</f>
        <v>18750</v>
      </c>
      <c r="P160" s="11">
        <f>IF(G160&gt;H160, MIN(G160-H160, J160-H160)*
INDEX('2018_commission_structure'!$A$1:$I$4,
MATCH($D160, '2018_commission_structure'!$A$1:$A$4, 0),
MATCH(O$1, '2018_commission_structure'!$A$1:$I$1, 0)), 0)</f>
        <v>32105.1</v>
      </c>
      <c r="Q160" s="11">
        <f>IF(G160&gt;H160, MIN(G160-H160, I160-H160)*
INDEX('2018_commission_structure'!$A$1:$I$4,
MATCH($D160, '2018_commission_structure'!$A$1:$A$4, 0),
MATCH(P$1, '2018_commission_structure'!$A$1:$I$1, 0)), 0)</f>
        <v>22500</v>
      </c>
      <c r="R160" s="11">
        <f>IF(G160&gt;K160, (G160-K160) *
INDEX('2018_commission_structure'!$A$1:$I$4,
MATCH($D160, '2018_commission_structure'!$A$1:$A$4,0),
MATCH(R$1, '2018_commission_structure'!$A$1:$I$1,0)), 0)</f>
        <v>0</v>
      </c>
      <c r="S160" s="11">
        <f t="shared" si="17"/>
        <v>73355.100000000006</v>
      </c>
      <c r="T160" s="11" cm="1">
        <f t="array" ref="T160">SUM(E160+O160:Q160)</f>
        <v>212774.1</v>
      </c>
    </row>
    <row r="161" spans="1:20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 xml:space="preserve"> COUNTIF(deals_closed!D:D,A161)</f>
        <v>20</v>
      </c>
      <c r="G161" s="5">
        <f>SUMIF(deals_closed!D:D, calculations!A161, deals_closed!C:C)</f>
        <v>722942</v>
      </c>
      <c r="H161" s="5">
        <f>VLOOKUP(D161,'2018_commission_structure'!$A$2:$I$4,9,FALSE)</f>
        <v>600000</v>
      </c>
      <c r="I161" s="9">
        <f t="shared" si="12"/>
        <v>750000</v>
      </c>
      <c r="J161" s="8">
        <f t="shared" si="13"/>
        <v>900000</v>
      </c>
      <c r="K161" s="9">
        <f t="shared" si="14"/>
        <v>1200000</v>
      </c>
      <c r="L161" s="10">
        <f t="shared" si="15"/>
        <v>1.2049033333333334</v>
      </c>
      <c r="M161" t="str">
        <f t="shared" si="16"/>
        <v>100-125%</v>
      </c>
      <c r="N161" s="9">
        <f>MIN(H161, G161)*INDEX('2018_commission_structure'!$A$1:$I$4,
MATCH($D161, '2018_commission_structure'!$A$1:$A$4,0),
MATCH(N$1, '2018_commission_structure'!$A$1:$I$1,0))</f>
        <v>78000</v>
      </c>
      <c r="O161" s="11">
        <f>IF(G161&gt;H161, MIN(G161-H161, I161-H161)*
INDEX('2018_commission_structure'!$A$1:$I$4,
MATCH($D161, '2018_commission_structure'!$A$1:$A$4, 0),
MATCH(O$1, '2018_commission_structure'!$A$1:$I$1, 0)), 0)</f>
        <v>20900.140000000003</v>
      </c>
      <c r="P161" s="11">
        <f>IF(G161&gt;H161, MIN(G161-H161, J161-H161)*
INDEX('2018_commission_structure'!$A$1:$I$4,
MATCH($D161, '2018_commission_structure'!$A$1:$A$4, 0),
MATCH(O$1, '2018_commission_structure'!$A$1:$I$1, 0)), 0)</f>
        <v>20900.140000000003</v>
      </c>
      <c r="Q161" s="11">
        <f>IF(G161&gt;H161, MIN(G161-H161, I161-H161)*
INDEX('2018_commission_structure'!$A$1:$I$4,
MATCH($D161, '2018_commission_structure'!$A$1:$A$4, 0),
MATCH(P$1, '2018_commission_structure'!$A$1:$I$1, 0)), 0)</f>
        <v>25817.82</v>
      </c>
      <c r="R161" s="11">
        <f>IF(G161&gt;K161, (G161-K161) *
INDEX('2018_commission_structure'!$A$1:$I$4,
MATCH($D161, '2018_commission_structure'!$A$1:$A$4,0),
MATCH(R$1, '2018_commission_structure'!$A$1:$I$1,0)), 0)</f>
        <v>0</v>
      </c>
      <c r="S161" s="11">
        <f t="shared" si="17"/>
        <v>67618.100000000006</v>
      </c>
      <c r="T161" s="11" cm="1">
        <f t="array" ref="T161">SUM(E161+O161:Q161)</f>
        <v>276058.09999999998</v>
      </c>
    </row>
    <row r="162" spans="1:20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 xml:space="preserve"> COUNTIF(deals_closed!D:D,A162)</f>
        <v>23</v>
      </c>
      <c r="G162" s="5">
        <f>SUMIF(deals_closed!D:D, calculations!A162, deals_closed!C:C)</f>
        <v>906546</v>
      </c>
      <c r="H162" s="5">
        <f>VLOOKUP(D162,'2018_commission_structure'!$A$2:$I$4,9,FALSE)</f>
        <v>500000</v>
      </c>
      <c r="I162" s="9">
        <f t="shared" si="12"/>
        <v>625000</v>
      </c>
      <c r="J162" s="8">
        <f t="shared" si="13"/>
        <v>750000</v>
      </c>
      <c r="K162" s="9">
        <f t="shared" si="14"/>
        <v>1000000</v>
      </c>
      <c r="L162" s="10">
        <f t="shared" si="15"/>
        <v>1.8130919999999999</v>
      </c>
      <c r="M162" t="str">
        <f t="shared" si="16"/>
        <v>150-200%</v>
      </c>
      <c r="N162" s="9">
        <f>MIN(H162, G162)*INDEX('2018_commission_structure'!$A$1:$I$4,
MATCH($D162, '2018_commission_structure'!$A$1:$A$4,0),
MATCH(N$1, '2018_commission_structure'!$A$1:$I$1,0))</f>
        <v>50000</v>
      </c>
      <c r="O162" s="11">
        <f>IF(G162&gt;H162, MIN(G162-H162, I162-H162)*
INDEX('2018_commission_structure'!$A$1:$I$4,
MATCH($D162, '2018_commission_structure'!$A$1:$A$4, 0),
MATCH(O$1, '2018_commission_structure'!$A$1:$I$1, 0)), 0)</f>
        <v>18750</v>
      </c>
      <c r="P162" s="11">
        <f>IF(G162&gt;H162, MIN(G162-H162, J162-H162)*
INDEX('2018_commission_structure'!$A$1:$I$4,
MATCH($D162, '2018_commission_structure'!$A$1:$A$4, 0),
MATCH(O$1, '2018_commission_structure'!$A$1:$I$1, 0)), 0)</f>
        <v>37500</v>
      </c>
      <c r="Q162" s="11">
        <f>IF(G162&gt;H162, MIN(G162-H162, I162-H162)*
INDEX('2018_commission_structure'!$A$1:$I$4,
MATCH($D162, '2018_commission_structure'!$A$1:$A$4, 0),
MATCH(P$1, '2018_commission_structure'!$A$1:$I$1, 0)), 0)</f>
        <v>22500</v>
      </c>
      <c r="R162" s="11">
        <f>IF(G162&gt;K162, (G162-K162) *
INDEX('2018_commission_structure'!$A$1:$I$4,
MATCH($D162, '2018_commission_structure'!$A$1:$A$4,0),
MATCH(R$1, '2018_commission_structure'!$A$1:$I$1,0)), 0)</f>
        <v>0</v>
      </c>
      <c r="S162" s="11">
        <f t="shared" si="17"/>
        <v>78750</v>
      </c>
      <c r="T162" s="11" cm="1">
        <f t="array" ref="T162">SUM(E162+O162:Q162)</f>
        <v>197250</v>
      </c>
    </row>
    <row r="163" spans="1:20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 xml:space="preserve"> COUNTIF(deals_closed!D:D,A163)</f>
        <v>23</v>
      </c>
      <c r="G163" s="5">
        <f>SUMIF(deals_closed!D:D, calculations!A163, deals_closed!C:C)</f>
        <v>847352</v>
      </c>
      <c r="H163" s="5">
        <f>VLOOKUP(D163,'2018_commission_structure'!$A$2:$I$4,9,FALSE)</f>
        <v>600000</v>
      </c>
      <c r="I163" s="9">
        <f t="shared" si="12"/>
        <v>750000</v>
      </c>
      <c r="J163" s="8">
        <f t="shared" si="13"/>
        <v>900000</v>
      </c>
      <c r="K163" s="9">
        <f t="shared" si="14"/>
        <v>1200000</v>
      </c>
      <c r="L163" s="10">
        <f t="shared" si="15"/>
        <v>1.4122533333333334</v>
      </c>
      <c r="M163" t="str">
        <f t="shared" si="16"/>
        <v>125-150%</v>
      </c>
      <c r="N163" s="9">
        <f>MIN(H163, G163)*INDEX('2018_commission_structure'!$A$1:$I$4,
MATCH($D163, '2018_commission_structure'!$A$1:$A$4,0),
MATCH(N$1, '2018_commission_structure'!$A$1:$I$1,0))</f>
        <v>78000</v>
      </c>
      <c r="O163" s="11">
        <f>IF(G163&gt;H163, MIN(G163-H163, I163-H163)*
INDEX('2018_commission_structure'!$A$1:$I$4,
MATCH($D163, '2018_commission_structure'!$A$1:$A$4, 0),
MATCH(O$1, '2018_commission_structure'!$A$1:$I$1, 0)), 0)</f>
        <v>25500.000000000004</v>
      </c>
      <c r="P163" s="11">
        <f>IF(G163&gt;H163, MIN(G163-H163, J163-H163)*
INDEX('2018_commission_structure'!$A$1:$I$4,
MATCH($D163, '2018_commission_structure'!$A$1:$A$4, 0),
MATCH(O$1, '2018_commission_structure'!$A$1:$I$1, 0)), 0)</f>
        <v>42049.840000000004</v>
      </c>
      <c r="Q163" s="11">
        <f>IF(G163&gt;H163, MIN(G163-H163, I163-H163)*
INDEX('2018_commission_structure'!$A$1:$I$4,
MATCH($D163, '2018_commission_structure'!$A$1:$A$4, 0),
MATCH(P$1, '2018_commission_structure'!$A$1:$I$1, 0)), 0)</f>
        <v>31500</v>
      </c>
      <c r="R163" s="11">
        <f>IF(G163&gt;K163, (G163-K163) *
INDEX('2018_commission_structure'!$A$1:$I$4,
MATCH($D163, '2018_commission_structure'!$A$1:$A$4,0),
MATCH(R$1, '2018_commission_structure'!$A$1:$I$1,0)), 0)</f>
        <v>0</v>
      </c>
      <c r="S163" s="11">
        <f t="shared" si="17"/>
        <v>99049.840000000011</v>
      </c>
      <c r="T163" s="11" cm="1">
        <f t="array" ref="T163">SUM(E163+O163:Q163)</f>
        <v>266029.83999999997</v>
      </c>
    </row>
    <row r="164" spans="1:20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 xml:space="preserve"> COUNTIF(deals_closed!D:D,A164)</f>
        <v>20</v>
      </c>
      <c r="G164" s="5">
        <f>SUMIF(deals_closed!D:D, calculations!A164, deals_closed!C:C)</f>
        <v>692731</v>
      </c>
      <c r="H164" s="5">
        <f>VLOOKUP(D164,'2018_commission_structure'!$A$2:$I$4,9,FALSE)</f>
        <v>750000</v>
      </c>
      <c r="I164" s="9">
        <f t="shared" si="12"/>
        <v>937500</v>
      </c>
      <c r="J164" s="8">
        <f t="shared" si="13"/>
        <v>1125000</v>
      </c>
      <c r="K164" s="9">
        <f t="shared" si="14"/>
        <v>1500000</v>
      </c>
      <c r="L164" s="10">
        <f t="shared" si="15"/>
        <v>0.92364133333333331</v>
      </c>
      <c r="M164" t="str">
        <f t="shared" si="16"/>
        <v>0-100%</v>
      </c>
      <c r="N164" s="9">
        <f>MIN(H164, G164)*INDEX('2018_commission_structure'!$A$1:$I$4,
MATCH($D164, '2018_commission_structure'!$A$1:$A$4,0),
MATCH(N$1, '2018_commission_structure'!$A$1:$I$1,0))</f>
        <v>103909.65</v>
      </c>
      <c r="O164" s="11">
        <f>IF(G164&gt;H164, MIN(G164-H164, I164-H164)*
INDEX('2018_commission_structure'!$A$1:$I$4,
MATCH($D164, '2018_commission_structure'!$A$1:$A$4, 0),
MATCH(O$1, '2018_commission_structure'!$A$1:$I$1, 0)), 0)</f>
        <v>0</v>
      </c>
      <c r="P164" s="11">
        <f>IF(G164&gt;H164, MIN(G164-H164, J164-H164)*
INDEX('2018_commission_structure'!$A$1:$I$4,
MATCH($D164, '2018_commission_structure'!$A$1:$A$4, 0),
MATCH(O$1, '2018_commission_structure'!$A$1:$I$1, 0)), 0)</f>
        <v>0</v>
      </c>
      <c r="Q164" s="11">
        <f>IF(G164&gt;H164, MIN(G164-H164, I164-H164)*
INDEX('2018_commission_structure'!$A$1:$I$4,
MATCH($D164, '2018_commission_structure'!$A$1:$A$4, 0),
MATCH(P$1, '2018_commission_structure'!$A$1:$I$1, 0)), 0)</f>
        <v>0</v>
      </c>
      <c r="R164" s="11">
        <f>IF(G164&gt;K164, (G164-K164) *
INDEX('2018_commission_structure'!$A$1:$I$4,
MATCH($D164, '2018_commission_structure'!$A$1:$A$4,0),
MATCH(R$1, '2018_commission_structure'!$A$1:$I$1,0)), 0)</f>
        <v>0</v>
      </c>
      <c r="S164" s="11">
        <f t="shared" si="17"/>
        <v>0</v>
      </c>
      <c r="T164" s="11" cm="1">
        <f t="array" ref="T164">SUM(E164+O164:Q164)</f>
        <v>320643</v>
      </c>
    </row>
    <row r="165" spans="1:20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 xml:space="preserve"> COUNTIF(deals_closed!D:D,A165)</f>
        <v>20</v>
      </c>
      <c r="G165" s="5">
        <f>SUMIF(deals_closed!D:D, calculations!A165, deals_closed!C:C)</f>
        <v>730595</v>
      </c>
      <c r="H165" s="5">
        <f>VLOOKUP(D165,'2018_commission_structure'!$A$2:$I$4,9,FALSE)</f>
        <v>500000</v>
      </c>
      <c r="I165" s="9">
        <f t="shared" si="12"/>
        <v>625000</v>
      </c>
      <c r="J165" s="8">
        <f t="shared" si="13"/>
        <v>750000</v>
      </c>
      <c r="K165" s="9">
        <f t="shared" si="14"/>
        <v>1000000</v>
      </c>
      <c r="L165" s="10">
        <f t="shared" si="15"/>
        <v>1.46119</v>
      </c>
      <c r="M165" t="str">
        <f t="shared" si="16"/>
        <v>125-150%</v>
      </c>
      <c r="N165" s="9">
        <f>MIN(H165, G165)*INDEX('2018_commission_structure'!$A$1:$I$4,
MATCH($D165, '2018_commission_structure'!$A$1:$A$4,0),
MATCH(N$1, '2018_commission_structure'!$A$1:$I$1,0))</f>
        <v>50000</v>
      </c>
      <c r="O165" s="11">
        <f>IF(G165&gt;H165, MIN(G165-H165, I165-H165)*
INDEX('2018_commission_structure'!$A$1:$I$4,
MATCH($D165, '2018_commission_structure'!$A$1:$A$4, 0),
MATCH(O$1, '2018_commission_structure'!$A$1:$I$1, 0)), 0)</f>
        <v>18750</v>
      </c>
      <c r="P165" s="11">
        <f>IF(G165&gt;H165, MIN(G165-H165, J165-H165)*
INDEX('2018_commission_structure'!$A$1:$I$4,
MATCH($D165, '2018_commission_structure'!$A$1:$A$4, 0),
MATCH(O$1, '2018_commission_structure'!$A$1:$I$1, 0)), 0)</f>
        <v>34589.25</v>
      </c>
      <c r="Q165" s="11">
        <f>IF(G165&gt;H165, MIN(G165-H165, I165-H165)*
INDEX('2018_commission_structure'!$A$1:$I$4,
MATCH($D165, '2018_commission_structure'!$A$1:$A$4, 0),
MATCH(P$1, '2018_commission_structure'!$A$1:$I$1, 0)), 0)</f>
        <v>22500</v>
      </c>
      <c r="R165" s="11">
        <f>IF(G165&gt;K165, (G165-K165) *
INDEX('2018_commission_structure'!$A$1:$I$4,
MATCH($D165, '2018_commission_structure'!$A$1:$A$4,0),
MATCH(R$1, '2018_commission_structure'!$A$1:$I$1,0)), 0)</f>
        <v>0</v>
      </c>
      <c r="S165" s="11">
        <f t="shared" si="17"/>
        <v>75839.25</v>
      </c>
      <c r="T165" s="11" cm="1">
        <f t="array" ref="T165">SUM(E165+O165:Q165)</f>
        <v>267275.25</v>
      </c>
    </row>
    <row r="166" spans="1:20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 xml:space="preserve"> COUNTIF(deals_closed!D:D,A166)</f>
        <v>21</v>
      </c>
      <c r="G166" s="5">
        <f>SUMIF(deals_closed!D:D, calculations!A166, deals_closed!C:C)</f>
        <v>758216</v>
      </c>
      <c r="H166" s="5">
        <f>VLOOKUP(D166,'2018_commission_structure'!$A$2:$I$4,9,FALSE)</f>
        <v>500000</v>
      </c>
      <c r="I166" s="9">
        <f t="shared" si="12"/>
        <v>625000</v>
      </c>
      <c r="J166" s="8">
        <f t="shared" si="13"/>
        <v>750000</v>
      </c>
      <c r="K166" s="9">
        <f t="shared" si="14"/>
        <v>1000000</v>
      </c>
      <c r="L166" s="10">
        <f t="shared" si="15"/>
        <v>1.516432</v>
      </c>
      <c r="M166" t="str">
        <f t="shared" si="16"/>
        <v>150-200%</v>
      </c>
      <c r="N166" s="9">
        <f>MIN(H166, G166)*INDEX('2018_commission_structure'!$A$1:$I$4,
MATCH($D166, '2018_commission_structure'!$A$1:$A$4,0),
MATCH(N$1, '2018_commission_structure'!$A$1:$I$1,0))</f>
        <v>50000</v>
      </c>
      <c r="O166" s="11">
        <f>IF(G166&gt;H166, MIN(G166-H166, I166-H166)*
INDEX('2018_commission_structure'!$A$1:$I$4,
MATCH($D166, '2018_commission_structure'!$A$1:$A$4, 0),
MATCH(O$1, '2018_commission_structure'!$A$1:$I$1, 0)), 0)</f>
        <v>18750</v>
      </c>
      <c r="P166" s="11">
        <f>IF(G166&gt;H166, MIN(G166-H166, J166-H166)*
INDEX('2018_commission_structure'!$A$1:$I$4,
MATCH($D166, '2018_commission_structure'!$A$1:$A$4, 0),
MATCH(O$1, '2018_commission_structure'!$A$1:$I$1, 0)), 0)</f>
        <v>37500</v>
      </c>
      <c r="Q166" s="11">
        <f>IF(G166&gt;H166, MIN(G166-H166, I166-H166)*
INDEX('2018_commission_structure'!$A$1:$I$4,
MATCH($D166, '2018_commission_structure'!$A$1:$A$4, 0),
MATCH(P$1, '2018_commission_structure'!$A$1:$I$1, 0)), 0)</f>
        <v>22500</v>
      </c>
      <c r="R166" s="11">
        <f>IF(G166&gt;K166, (G166-K166) *
INDEX('2018_commission_structure'!$A$1:$I$4,
MATCH($D166, '2018_commission_structure'!$A$1:$A$4,0),
MATCH(R$1, '2018_commission_structure'!$A$1:$I$1,0)), 0)</f>
        <v>0</v>
      </c>
      <c r="S166" s="11">
        <f t="shared" si="17"/>
        <v>78750</v>
      </c>
      <c r="T166" s="11" cm="1">
        <f t="array" ref="T166">SUM(E166+O166:Q166)</f>
        <v>265596</v>
      </c>
    </row>
    <row r="167" spans="1:20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 xml:space="preserve"> COUNTIF(deals_closed!D:D,A167)</f>
        <v>21</v>
      </c>
      <c r="G167" s="5">
        <f>SUMIF(deals_closed!D:D, calculations!A167, deals_closed!C:C)</f>
        <v>781397</v>
      </c>
      <c r="H167" s="5">
        <f>VLOOKUP(D167,'2018_commission_structure'!$A$2:$I$4,9,FALSE)</f>
        <v>750000</v>
      </c>
      <c r="I167" s="9">
        <f t="shared" si="12"/>
        <v>937500</v>
      </c>
      <c r="J167" s="8">
        <f t="shared" si="13"/>
        <v>1125000</v>
      </c>
      <c r="K167" s="9">
        <f t="shared" si="14"/>
        <v>1500000</v>
      </c>
      <c r="L167" s="10">
        <f t="shared" si="15"/>
        <v>1.0418626666666666</v>
      </c>
      <c r="M167" t="str">
        <f t="shared" si="16"/>
        <v>100-125%</v>
      </c>
      <c r="N167" s="9">
        <f>MIN(H167, G167)*INDEX('2018_commission_structure'!$A$1:$I$4,
MATCH($D167, '2018_commission_structure'!$A$1:$A$4,0),
MATCH(N$1, '2018_commission_structure'!$A$1:$I$1,0))</f>
        <v>112500</v>
      </c>
      <c r="O167" s="11">
        <f>IF(G167&gt;H167, MIN(G167-H167, I167-H167)*
INDEX('2018_commission_structure'!$A$1:$I$4,
MATCH($D167, '2018_commission_structure'!$A$1:$A$4, 0),
MATCH(O$1, '2018_commission_structure'!$A$1:$I$1, 0)), 0)</f>
        <v>5965.43</v>
      </c>
      <c r="P167" s="11">
        <f>IF(G167&gt;H167, MIN(G167-H167, J167-H167)*
INDEX('2018_commission_structure'!$A$1:$I$4,
MATCH($D167, '2018_commission_structure'!$A$1:$A$4, 0),
MATCH(O$1, '2018_commission_structure'!$A$1:$I$1, 0)), 0)</f>
        <v>5965.43</v>
      </c>
      <c r="Q167" s="11">
        <f>IF(G167&gt;H167, MIN(G167-H167, I167-H167)*
INDEX('2018_commission_structure'!$A$1:$I$4,
MATCH($D167, '2018_commission_structure'!$A$1:$A$4, 0),
MATCH(P$1, '2018_commission_structure'!$A$1:$I$1, 0)), 0)</f>
        <v>7221.31</v>
      </c>
      <c r="R167" s="11">
        <f>IF(G167&gt;K167, (G167-K167) *
INDEX('2018_commission_structure'!$A$1:$I$4,
MATCH($D167, '2018_commission_structure'!$A$1:$A$4,0),
MATCH(R$1, '2018_commission_structure'!$A$1:$I$1,0)), 0)</f>
        <v>0</v>
      </c>
      <c r="S167" s="11">
        <f t="shared" si="17"/>
        <v>19152.170000000002</v>
      </c>
      <c r="T167" s="11" cm="1">
        <f t="array" ref="T167">SUM(E167+O167:Q167)</f>
        <v>246273.16999999998</v>
      </c>
    </row>
    <row r="168" spans="1:20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 xml:space="preserve"> COUNTIF(deals_closed!D:D,A168)</f>
        <v>23</v>
      </c>
      <c r="G168" s="5">
        <f>SUMIF(deals_closed!D:D, calculations!A168, deals_closed!C:C)</f>
        <v>854570</v>
      </c>
      <c r="H168" s="5">
        <f>VLOOKUP(D168,'2018_commission_structure'!$A$2:$I$4,9,FALSE)</f>
        <v>500000</v>
      </c>
      <c r="I168" s="9">
        <f t="shared" si="12"/>
        <v>625000</v>
      </c>
      <c r="J168" s="8">
        <f t="shared" si="13"/>
        <v>750000</v>
      </c>
      <c r="K168" s="9">
        <f t="shared" si="14"/>
        <v>1000000</v>
      </c>
      <c r="L168" s="10">
        <f t="shared" si="15"/>
        <v>1.7091400000000001</v>
      </c>
      <c r="M168" t="str">
        <f t="shared" si="16"/>
        <v>150-200%</v>
      </c>
      <c r="N168" s="9">
        <f>MIN(H168, G168)*INDEX('2018_commission_structure'!$A$1:$I$4,
MATCH($D168, '2018_commission_structure'!$A$1:$A$4,0),
MATCH(N$1, '2018_commission_structure'!$A$1:$I$1,0))</f>
        <v>50000</v>
      </c>
      <c r="O168" s="11">
        <f>IF(G168&gt;H168, MIN(G168-H168, I168-H168)*
INDEX('2018_commission_structure'!$A$1:$I$4,
MATCH($D168, '2018_commission_structure'!$A$1:$A$4, 0),
MATCH(O$1, '2018_commission_structure'!$A$1:$I$1, 0)), 0)</f>
        <v>18750</v>
      </c>
      <c r="P168" s="11">
        <f>IF(G168&gt;H168, MIN(G168-H168, J168-H168)*
INDEX('2018_commission_structure'!$A$1:$I$4,
MATCH($D168, '2018_commission_structure'!$A$1:$A$4, 0),
MATCH(O$1, '2018_commission_structure'!$A$1:$I$1, 0)), 0)</f>
        <v>37500</v>
      </c>
      <c r="Q168" s="11">
        <f>IF(G168&gt;H168, MIN(G168-H168, I168-H168)*
INDEX('2018_commission_structure'!$A$1:$I$4,
MATCH($D168, '2018_commission_structure'!$A$1:$A$4, 0),
MATCH(P$1, '2018_commission_structure'!$A$1:$I$1, 0)), 0)</f>
        <v>22500</v>
      </c>
      <c r="R168" s="11">
        <f>IF(G168&gt;K168, (G168-K168) *
INDEX('2018_commission_structure'!$A$1:$I$4,
MATCH($D168, '2018_commission_structure'!$A$1:$A$4,0),
MATCH(R$1, '2018_commission_structure'!$A$1:$I$1,0)), 0)</f>
        <v>0</v>
      </c>
      <c r="S168" s="11">
        <f t="shared" si="17"/>
        <v>78750</v>
      </c>
      <c r="T168" s="11" cm="1">
        <f t="array" ref="T168">SUM(E168+O168:Q168)</f>
        <v>228627</v>
      </c>
    </row>
    <row r="169" spans="1:20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 xml:space="preserve"> COUNTIF(deals_closed!D:D,A169)</f>
        <v>22</v>
      </c>
      <c r="G169" s="5">
        <f>SUMIF(deals_closed!D:D, calculations!A169, deals_closed!C:C)</f>
        <v>735952</v>
      </c>
      <c r="H169" s="5">
        <f>VLOOKUP(D169,'2018_commission_structure'!$A$2:$I$4,9,FALSE)</f>
        <v>600000</v>
      </c>
      <c r="I169" s="9">
        <f t="shared" si="12"/>
        <v>750000</v>
      </c>
      <c r="J169" s="8">
        <f t="shared" si="13"/>
        <v>900000</v>
      </c>
      <c r="K169" s="9">
        <f t="shared" si="14"/>
        <v>1200000</v>
      </c>
      <c r="L169" s="10">
        <f t="shared" si="15"/>
        <v>1.2265866666666667</v>
      </c>
      <c r="M169" t="str">
        <f t="shared" si="16"/>
        <v>100-125%</v>
      </c>
      <c r="N169" s="9">
        <f>MIN(H169, G169)*INDEX('2018_commission_structure'!$A$1:$I$4,
MATCH($D169, '2018_commission_structure'!$A$1:$A$4,0),
MATCH(N$1, '2018_commission_structure'!$A$1:$I$1,0))</f>
        <v>78000</v>
      </c>
      <c r="O169" s="11">
        <f>IF(G169&gt;H169, MIN(G169-H169, I169-H169)*
INDEX('2018_commission_structure'!$A$1:$I$4,
MATCH($D169, '2018_commission_structure'!$A$1:$A$4, 0),
MATCH(O$1, '2018_commission_structure'!$A$1:$I$1, 0)), 0)</f>
        <v>23111.84</v>
      </c>
      <c r="P169" s="11">
        <f>IF(G169&gt;H169, MIN(G169-H169, J169-H169)*
INDEX('2018_commission_structure'!$A$1:$I$4,
MATCH($D169, '2018_commission_structure'!$A$1:$A$4, 0),
MATCH(O$1, '2018_commission_structure'!$A$1:$I$1, 0)), 0)</f>
        <v>23111.84</v>
      </c>
      <c r="Q169" s="11">
        <f>IF(G169&gt;H169, MIN(G169-H169, I169-H169)*
INDEX('2018_commission_structure'!$A$1:$I$4,
MATCH($D169, '2018_commission_structure'!$A$1:$A$4, 0),
MATCH(P$1, '2018_commission_structure'!$A$1:$I$1, 0)), 0)</f>
        <v>28549.919999999998</v>
      </c>
      <c r="R169" s="11">
        <f>IF(G169&gt;K169, (G169-K169) *
INDEX('2018_commission_structure'!$A$1:$I$4,
MATCH($D169, '2018_commission_structure'!$A$1:$A$4,0),
MATCH(R$1, '2018_commission_structure'!$A$1:$I$1,0)), 0)</f>
        <v>0</v>
      </c>
      <c r="S169" s="11">
        <f t="shared" si="17"/>
        <v>74773.600000000006</v>
      </c>
      <c r="T169" s="11" cm="1">
        <f t="array" ref="T169">SUM(E169+O169:Q169)</f>
        <v>246376.59999999998</v>
      </c>
    </row>
    <row r="170" spans="1:20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 xml:space="preserve"> COUNTIF(deals_closed!D:D,A170)</f>
        <v>13</v>
      </c>
      <c r="G170" s="5">
        <f>SUMIF(deals_closed!D:D, calculations!A170, deals_closed!C:C)</f>
        <v>397375</v>
      </c>
      <c r="H170" s="5">
        <f>VLOOKUP(D170,'2018_commission_structure'!$A$2:$I$4,9,FALSE)</f>
        <v>600000</v>
      </c>
      <c r="I170" s="9">
        <f t="shared" si="12"/>
        <v>750000</v>
      </c>
      <c r="J170" s="8">
        <f t="shared" si="13"/>
        <v>900000</v>
      </c>
      <c r="K170" s="9">
        <f t="shared" si="14"/>
        <v>1200000</v>
      </c>
      <c r="L170" s="10">
        <f t="shared" si="15"/>
        <v>0.66229166666666661</v>
      </c>
      <c r="M170" t="str">
        <f t="shared" si="16"/>
        <v>0-100%</v>
      </c>
      <c r="N170" s="9">
        <f>MIN(H170, G170)*INDEX('2018_commission_structure'!$A$1:$I$4,
MATCH($D170, '2018_commission_structure'!$A$1:$A$4,0),
MATCH(N$1, '2018_commission_structure'!$A$1:$I$1,0))</f>
        <v>51658.75</v>
      </c>
      <c r="O170" s="11">
        <f>IF(G170&gt;H170, MIN(G170-H170, I170-H170)*
INDEX('2018_commission_structure'!$A$1:$I$4,
MATCH($D170, '2018_commission_structure'!$A$1:$A$4, 0),
MATCH(O$1, '2018_commission_structure'!$A$1:$I$1, 0)), 0)</f>
        <v>0</v>
      </c>
      <c r="P170" s="11">
        <f>IF(G170&gt;H170, MIN(G170-H170, J170-H170)*
INDEX('2018_commission_structure'!$A$1:$I$4,
MATCH($D170, '2018_commission_structure'!$A$1:$A$4, 0),
MATCH(O$1, '2018_commission_structure'!$A$1:$I$1, 0)), 0)</f>
        <v>0</v>
      </c>
      <c r="Q170" s="11">
        <f>IF(G170&gt;H170, MIN(G170-H170, I170-H170)*
INDEX('2018_commission_structure'!$A$1:$I$4,
MATCH($D170, '2018_commission_structure'!$A$1:$A$4, 0),
MATCH(P$1, '2018_commission_structure'!$A$1:$I$1, 0)), 0)</f>
        <v>0</v>
      </c>
      <c r="R170" s="11">
        <f>IF(G170&gt;K170, (G170-K170) *
INDEX('2018_commission_structure'!$A$1:$I$4,
MATCH($D170, '2018_commission_structure'!$A$1:$A$4,0),
MATCH(R$1, '2018_commission_structure'!$A$1:$I$1,0)), 0)</f>
        <v>0</v>
      </c>
      <c r="S170" s="11">
        <f t="shared" si="17"/>
        <v>0</v>
      </c>
      <c r="T170" s="11" cm="1">
        <f t="array" ref="T170">SUM(E170+O170:Q170)</f>
        <v>185115</v>
      </c>
    </row>
    <row r="171" spans="1:20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 xml:space="preserve"> COUNTIF(deals_closed!D:D,A171)</f>
        <v>18</v>
      </c>
      <c r="G171" s="5">
        <f>SUMIF(deals_closed!D:D, calculations!A171, deals_closed!C:C)</f>
        <v>554263</v>
      </c>
      <c r="H171" s="5">
        <f>VLOOKUP(D171,'2018_commission_structure'!$A$2:$I$4,9,FALSE)</f>
        <v>600000</v>
      </c>
      <c r="I171" s="9">
        <f t="shared" si="12"/>
        <v>750000</v>
      </c>
      <c r="J171" s="8">
        <f t="shared" si="13"/>
        <v>900000</v>
      </c>
      <c r="K171" s="9">
        <f t="shared" si="14"/>
        <v>1200000</v>
      </c>
      <c r="L171" s="10">
        <f t="shared" si="15"/>
        <v>0.92377166666666666</v>
      </c>
      <c r="M171" t="str">
        <f t="shared" si="16"/>
        <v>0-100%</v>
      </c>
      <c r="N171" s="9">
        <f>MIN(H171, G171)*INDEX('2018_commission_structure'!$A$1:$I$4,
MATCH($D171, '2018_commission_structure'!$A$1:$A$4,0),
MATCH(N$1, '2018_commission_structure'!$A$1:$I$1,0))</f>
        <v>72054.19</v>
      </c>
      <c r="O171" s="11">
        <f>IF(G171&gt;H171, MIN(G171-H171, I171-H171)*
INDEX('2018_commission_structure'!$A$1:$I$4,
MATCH($D171, '2018_commission_structure'!$A$1:$A$4, 0),
MATCH(O$1, '2018_commission_structure'!$A$1:$I$1, 0)), 0)</f>
        <v>0</v>
      </c>
      <c r="P171" s="11">
        <f>IF(G171&gt;H171, MIN(G171-H171, J171-H171)*
INDEX('2018_commission_structure'!$A$1:$I$4,
MATCH($D171, '2018_commission_structure'!$A$1:$A$4, 0),
MATCH(O$1, '2018_commission_structure'!$A$1:$I$1, 0)), 0)</f>
        <v>0</v>
      </c>
      <c r="Q171" s="11">
        <f>IF(G171&gt;H171, MIN(G171-H171, I171-H171)*
INDEX('2018_commission_structure'!$A$1:$I$4,
MATCH($D171, '2018_commission_structure'!$A$1:$A$4, 0),
MATCH(P$1, '2018_commission_structure'!$A$1:$I$1, 0)), 0)</f>
        <v>0</v>
      </c>
      <c r="R171" s="11">
        <f>IF(G171&gt;K171, (G171-K171) *
INDEX('2018_commission_structure'!$A$1:$I$4,
MATCH($D171, '2018_commission_structure'!$A$1:$A$4,0),
MATCH(R$1, '2018_commission_structure'!$A$1:$I$1,0)), 0)</f>
        <v>0</v>
      </c>
      <c r="S171" s="11">
        <f t="shared" si="17"/>
        <v>0</v>
      </c>
      <c r="T171" s="11" cm="1">
        <f t="array" ref="T171">SUM(E171+O171:Q171)</f>
        <v>210594</v>
      </c>
    </row>
    <row r="172" spans="1:20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 xml:space="preserve"> COUNTIF(deals_closed!D:D,A172)</f>
        <v>23</v>
      </c>
      <c r="G172" s="5">
        <f>SUMIF(deals_closed!D:D, calculations!A172, deals_closed!C:C)</f>
        <v>762296</v>
      </c>
      <c r="H172" s="5">
        <f>VLOOKUP(D172,'2018_commission_structure'!$A$2:$I$4,9,FALSE)</f>
        <v>600000</v>
      </c>
      <c r="I172" s="9">
        <f t="shared" si="12"/>
        <v>750000</v>
      </c>
      <c r="J172" s="8">
        <f t="shared" si="13"/>
        <v>900000</v>
      </c>
      <c r="K172" s="9">
        <f t="shared" si="14"/>
        <v>1200000</v>
      </c>
      <c r="L172" s="10">
        <f t="shared" si="15"/>
        <v>1.2704933333333333</v>
      </c>
      <c r="M172" t="str">
        <f t="shared" si="16"/>
        <v>125-150%</v>
      </c>
      <c r="N172" s="9">
        <f>MIN(H172, G172)*INDEX('2018_commission_structure'!$A$1:$I$4,
MATCH($D172, '2018_commission_structure'!$A$1:$A$4,0),
MATCH(N$1, '2018_commission_structure'!$A$1:$I$1,0))</f>
        <v>78000</v>
      </c>
      <c r="O172" s="11">
        <f>IF(G172&gt;H172, MIN(G172-H172, I172-H172)*
INDEX('2018_commission_structure'!$A$1:$I$4,
MATCH($D172, '2018_commission_structure'!$A$1:$A$4, 0),
MATCH(O$1, '2018_commission_structure'!$A$1:$I$1, 0)), 0)</f>
        <v>25500.000000000004</v>
      </c>
      <c r="P172" s="11">
        <f>IF(G172&gt;H172, MIN(G172-H172, J172-H172)*
INDEX('2018_commission_structure'!$A$1:$I$4,
MATCH($D172, '2018_commission_structure'!$A$1:$A$4, 0),
MATCH(O$1, '2018_commission_structure'!$A$1:$I$1, 0)), 0)</f>
        <v>27590.320000000003</v>
      </c>
      <c r="Q172" s="11">
        <f>IF(G172&gt;H172, MIN(G172-H172, I172-H172)*
INDEX('2018_commission_structure'!$A$1:$I$4,
MATCH($D172, '2018_commission_structure'!$A$1:$A$4, 0),
MATCH(P$1, '2018_commission_structure'!$A$1:$I$1, 0)), 0)</f>
        <v>31500</v>
      </c>
      <c r="R172" s="11">
        <f>IF(G172&gt;K172, (G172-K172) *
INDEX('2018_commission_structure'!$A$1:$I$4,
MATCH($D172, '2018_commission_structure'!$A$1:$A$4,0),
MATCH(R$1, '2018_commission_structure'!$A$1:$I$1,0)), 0)</f>
        <v>0</v>
      </c>
      <c r="S172" s="11">
        <f t="shared" si="17"/>
        <v>84590.32</v>
      </c>
      <c r="T172" s="11" cm="1">
        <f t="array" ref="T172">SUM(E172+O172:Q172)</f>
        <v>318476.32</v>
      </c>
    </row>
    <row r="173" spans="1:20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 xml:space="preserve"> COUNTIF(deals_closed!D:D,A173)</f>
        <v>15</v>
      </c>
      <c r="G173" s="5">
        <f>SUMIF(deals_closed!D:D, calculations!A173, deals_closed!C:C)</f>
        <v>400606</v>
      </c>
      <c r="H173" s="5">
        <f>VLOOKUP(D173,'2018_commission_structure'!$A$2:$I$4,9,FALSE)</f>
        <v>750000</v>
      </c>
      <c r="I173" s="9">
        <f t="shared" si="12"/>
        <v>937500</v>
      </c>
      <c r="J173" s="8">
        <f t="shared" si="13"/>
        <v>1125000</v>
      </c>
      <c r="K173" s="9">
        <f t="shared" si="14"/>
        <v>1500000</v>
      </c>
      <c r="L173" s="10">
        <f t="shared" si="15"/>
        <v>0.53414133333333336</v>
      </c>
      <c r="M173" t="str">
        <f t="shared" si="16"/>
        <v>0-100%</v>
      </c>
      <c r="N173" s="9">
        <f>MIN(H173, G173)*INDEX('2018_commission_structure'!$A$1:$I$4,
MATCH($D173, '2018_commission_structure'!$A$1:$A$4,0),
MATCH(N$1, '2018_commission_structure'!$A$1:$I$1,0))</f>
        <v>60090.899999999994</v>
      </c>
      <c r="O173" s="11">
        <f>IF(G173&gt;H173, MIN(G173-H173, I173-H173)*
INDEX('2018_commission_structure'!$A$1:$I$4,
MATCH($D173, '2018_commission_structure'!$A$1:$A$4, 0),
MATCH(O$1, '2018_commission_structure'!$A$1:$I$1, 0)), 0)</f>
        <v>0</v>
      </c>
      <c r="P173" s="11">
        <f>IF(G173&gt;H173, MIN(G173-H173, J173-H173)*
INDEX('2018_commission_structure'!$A$1:$I$4,
MATCH($D173, '2018_commission_structure'!$A$1:$A$4, 0),
MATCH(O$1, '2018_commission_structure'!$A$1:$I$1, 0)), 0)</f>
        <v>0</v>
      </c>
      <c r="Q173" s="11">
        <f>IF(G173&gt;H173, MIN(G173-H173, I173-H173)*
INDEX('2018_commission_structure'!$A$1:$I$4,
MATCH($D173, '2018_commission_structure'!$A$1:$A$4, 0),
MATCH(P$1, '2018_commission_structure'!$A$1:$I$1, 0)), 0)</f>
        <v>0</v>
      </c>
      <c r="R173" s="11">
        <f>IF(G173&gt;K173, (G173-K173) *
INDEX('2018_commission_structure'!$A$1:$I$4,
MATCH($D173, '2018_commission_structure'!$A$1:$A$4,0),
MATCH(R$1, '2018_commission_structure'!$A$1:$I$1,0)), 0)</f>
        <v>0</v>
      </c>
      <c r="S173" s="11">
        <f t="shared" si="17"/>
        <v>0</v>
      </c>
      <c r="T173" s="11" cm="1">
        <f t="array" ref="T173">SUM(E173+O173:Q173)</f>
        <v>280536</v>
      </c>
    </row>
    <row r="174" spans="1:20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 xml:space="preserve"> COUNTIF(deals_closed!D:D,A174)</f>
        <v>19</v>
      </c>
      <c r="G174" s="5">
        <f>SUMIF(deals_closed!D:D, calculations!A174, deals_closed!C:C)</f>
        <v>725008</v>
      </c>
      <c r="H174" s="5">
        <f>VLOOKUP(D174,'2018_commission_structure'!$A$2:$I$4,9,FALSE)</f>
        <v>500000</v>
      </c>
      <c r="I174" s="9">
        <f t="shared" si="12"/>
        <v>625000</v>
      </c>
      <c r="J174" s="8">
        <f t="shared" si="13"/>
        <v>750000</v>
      </c>
      <c r="K174" s="9">
        <f t="shared" si="14"/>
        <v>1000000</v>
      </c>
      <c r="L174" s="10">
        <f t="shared" si="15"/>
        <v>1.450016</v>
      </c>
      <c r="M174" t="str">
        <f t="shared" si="16"/>
        <v>125-150%</v>
      </c>
      <c r="N174" s="9">
        <f>MIN(H174, G174)*INDEX('2018_commission_structure'!$A$1:$I$4,
MATCH($D174, '2018_commission_structure'!$A$1:$A$4,0),
MATCH(N$1, '2018_commission_structure'!$A$1:$I$1,0))</f>
        <v>50000</v>
      </c>
      <c r="O174" s="11">
        <f>IF(G174&gt;H174, MIN(G174-H174, I174-H174)*
INDEX('2018_commission_structure'!$A$1:$I$4,
MATCH($D174, '2018_commission_structure'!$A$1:$A$4, 0),
MATCH(O$1, '2018_commission_structure'!$A$1:$I$1, 0)), 0)</f>
        <v>18750</v>
      </c>
      <c r="P174" s="11">
        <f>IF(G174&gt;H174, MIN(G174-H174, J174-H174)*
INDEX('2018_commission_structure'!$A$1:$I$4,
MATCH($D174, '2018_commission_structure'!$A$1:$A$4, 0),
MATCH(O$1, '2018_commission_structure'!$A$1:$I$1, 0)), 0)</f>
        <v>33751.199999999997</v>
      </c>
      <c r="Q174" s="11">
        <f>IF(G174&gt;H174, MIN(G174-H174, I174-H174)*
INDEX('2018_commission_structure'!$A$1:$I$4,
MATCH($D174, '2018_commission_structure'!$A$1:$A$4, 0),
MATCH(P$1, '2018_commission_structure'!$A$1:$I$1, 0)), 0)</f>
        <v>22500</v>
      </c>
      <c r="R174" s="11">
        <f>IF(G174&gt;K174, (G174-K174) *
INDEX('2018_commission_structure'!$A$1:$I$4,
MATCH($D174, '2018_commission_structure'!$A$1:$A$4,0),
MATCH(R$1, '2018_commission_structure'!$A$1:$I$1,0)), 0)</f>
        <v>0</v>
      </c>
      <c r="S174" s="11">
        <f t="shared" si="17"/>
        <v>75001.2</v>
      </c>
      <c r="T174" s="11" cm="1">
        <f t="array" ref="T174">SUM(E174+O174:Q174)</f>
        <v>214411.2</v>
      </c>
    </row>
    <row r="175" spans="1:20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 xml:space="preserve"> COUNTIF(deals_closed!D:D,A175)</f>
        <v>23</v>
      </c>
      <c r="G175" s="5">
        <f>SUMIF(deals_closed!D:D, calculations!A175, deals_closed!C:C)</f>
        <v>924403</v>
      </c>
      <c r="H175" s="5">
        <f>VLOOKUP(D175,'2018_commission_structure'!$A$2:$I$4,9,FALSE)</f>
        <v>750000</v>
      </c>
      <c r="I175" s="9">
        <f t="shared" si="12"/>
        <v>937500</v>
      </c>
      <c r="J175" s="8">
        <f t="shared" si="13"/>
        <v>1125000</v>
      </c>
      <c r="K175" s="9">
        <f t="shared" si="14"/>
        <v>1500000</v>
      </c>
      <c r="L175" s="10">
        <f t="shared" si="15"/>
        <v>1.2325373333333334</v>
      </c>
      <c r="M175" t="str">
        <f t="shared" si="16"/>
        <v>100-125%</v>
      </c>
      <c r="N175" s="9">
        <f>MIN(H175, G175)*INDEX('2018_commission_structure'!$A$1:$I$4,
MATCH($D175, '2018_commission_structure'!$A$1:$A$4,0),
MATCH(N$1, '2018_commission_structure'!$A$1:$I$1,0))</f>
        <v>112500</v>
      </c>
      <c r="O175" s="11">
        <f>IF(G175&gt;H175, MIN(G175-H175, I175-H175)*
INDEX('2018_commission_structure'!$A$1:$I$4,
MATCH($D175, '2018_commission_structure'!$A$1:$A$4, 0),
MATCH(O$1, '2018_commission_structure'!$A$1:$I$1, 0)), 0)</f>
        <v>33136.57</v>
      </c>
      <c r="P175" s="11">
        <f>IF(G175&gt;H175, MIN(G175-H175, J175-H175)*
INDEX('2018_commission_structure'!$A$1:$I$4,
MATCH($D175, '2018_commission_structure'!$A$1:$A$4, 0),
MATCH(O$1, '2018_commission_structure'!$A$1:$I$1, 0)), 0)</f>
        <v>33136.57</v>
      </c>
      <c r="Q175" s="11">
        <f>IF(G175&gt;H175, MIN(G175-H175, I175-H175)*
INDEX('2018_commission_structure'!$A$1:$I$4,
MATCH($D175, '2018_commission_structure'!$A$1:$A$4, 0),
MATCH(P$1, '2018_commission_structure'!$A$1:$I$1, 0)), 0)</f>
        <v>40112.69</v>
      </c>
      <c r="R175" s="11">
        <f>IF(G175&gt;K175, (G175-K175) *
INDEX('2018_commission_structure'!$A$1:$I$4,
MATCH($D175, '2018_commission_structure'!$A$1:$A$4,0),
MATCH(R$1, '2018_commission_structure'!$A$1:$I$1,0)), 0)</f>
        <v>0</v>
      </c>
      <c r="S175" s="11">
        <f t="shared" si="17"/>
        <v>106385.83</v>
      </c>
      <c r="T175" s="11" cm="1">
        <f t="array" ref="T175">SUM(E175+O175:Q175)</f>
        <v>354800.83</v>
      </c>
    </row>
    <row r="176" spans="1:20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 xml:space="preserve"> COUNTIF(deals_closed!D:D,A176)</f>
        <v>22</v>
      </c>
      <c r="G176" s="5">
        <f>SUMIF(deals_closed!D:D, calculations!A176, deals_closed!C:C)</f>
        <v>826224</v>
      </c>
      <c r="H176" s="5">
        <f>VLOOKUP(D176,'2018_commission_structure'!$A$2:$I$4,9,FALSE)</f>
        <v>750000</v>
      </c>
      <c r="I176" s="9">
        <f t="shared" si="12"/>
        <v>937500</v>
      </c>
      <c r="J176" s="8">
        <f t="shared" si="13"/>
        <v>1125000</v>
      </c>
      <c r="K176" s="9">
        <f t="shared" si="14"/>
        <v>1500000</v>
      </c>
      <c r="L176" s="10">
        <f t="shared" si="15"/>
        <v>1.1016319999999999</v>
      </c>
      <c r="M176" t="str">
        <f t="shared" si="16"/>
        <v>100-125%</v>
      </c>
      <c r="N176" s="9">
        <f>MIN(H176, G176)*INDEX('2018_commission_structure'!$A$1:$I$4,
MATCH($D176, '2018_commission_structure'!$A$1:$A$4,0),
MATCH(N$1, '2018_commission_structure'!$A$1:$I$1,0))</f>
        <v>112500</v>
      </c>
      <c r="O176" s="11">
        <f>IF(G176&gt;H176, MIN(G176-H176, I176-H176)*
INDEX('2018_commission_structure'!$A$1:$I$4,
MATCH($D176, '2018_commission_structure'!$A$1:$A$4, 0),
MATCH(O$1, '2018_commission_structure'!$A$1:$I$1, 0)), 0)</f>
        <v>14482.56</v>
      </c>
      <c r="P176" s="11">
        <f>IF(G176&gt;H176, MIN(G176-H176, J176-H176)*
INDEX('2018_commission_structure'!$A$1:$I$4,
MATCH($D176, '2018_commission_structure'!$A$1:$A$4, 0),
MATCH(O$1, '2018_commission_structure'!$A$1:$I$1, 0)), 0)</f>
        <v>14482.56</v>
      </c>
      <c r="Q176" s="11">
        <f>IF(G176&gt;H176, MIN(G176-H176, I176-H176)*
INDEX('2018_commission_structure'!$A$1:$I$4,
MATCH($D176, '2018_commission_structure'!$A$1:$A$4, 0),
MATCH(P$1, '2018_commission_structure'!$A$1:$I$1, 0)), 0)</f>
        <v>17531.52</v>
      </c>
      <c r="R176" s="11">
        <f>IF(G176&gt;K176, (G176-K176) *
INDEX('2018_commission_structure'!$A$1:$I$4,
MATCH($D176, '2018_commission_structure'!$A$1:$A$4,0),
MATCH(R$1, '2018_commission_structure'!$A$1:$I$1,0)), 0)</f>
        <v>0</v>
      </c>
      <c r="S176" s="11">
        <f t="shared" si="17"/>
        <v>46496.639999999999</v>
      </c>
      <c r="T176" s="11" cm="1">
        <f t="array" ref="T176">SUM(E176+O176:Q176)</f>
        <v>314972.64</v>
      </c>
    </row>
    <row r="177" spans="1:20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 xml:space="preserve"> COUNTIF(deals_closed!D:D,A177)</f>
        <v>21</v>
      </c>
      <c r="G177" s="5">
        <f>SUMIF(deals_closed!D:D, calculations!A177, deals_closed!C:C)</f>
        <v>665283</v>
      </c>
      <c r="H177" s="5">
        <f>VLOOKUP(D177,'2018_commission_structure'!$A$2:$I$4,9,FALSE)</f>
        <v>500000</v>
      </c>
      <c r="I177" s="9">
        <f t="shared" si="12"/>
        <v>625000</v>
      </c>
      <c r="J177" s="8">
        <f t="shared" si="13"/>
        <v>750000</v>
      </c>
      <c r="K177" s="9">
        <f t="shared" si="14"/>
        <v>1000000</v>
      </c>
      <c r="L177" s="10">
        <f t="shared" si="15"/>
        <v>1.3305659999999999</v>
      </c>
      <c r="M177" t="str">
        <f t="shared" si="16"/>
        <v>125-150%</v>
      </c>
      <c r="N177" s="9">
        <f>MIN(H177, G177)*INDEX('2018_commission_structure'!$A$1:$I$4,
MATCH($D177, '2018_commission_structure'!$A$1:$A$4,0),
MATCH(N$1, '2018_commission_structure'!$A$1:$I$1,0))</f>
        <v>50000</v>
      </c>
      <c r="O177" s="11">
        <f>IF(G177&gt;H177, MIN(G177-H177, I177-H177)*
INDEX('2018_commission_structure'!$A$1:$I$4,
MATCH($D177, '2018_commission_structure'!$A$1:$A$4, 0),
MATCH(O$1, '2018_commission_structure'!$A$1:$I$1, 0)), 0)</f>
        <v>18750</v>
      </c>
      <c r="P177" s="11">
        <f>IF(G177&gt;H177, MIN(G177-H177, J177-H177)*
INDEX('2018_commission_structure'!$A$1:$I$4,
MATCH($D177, '2018_commission_structure'!$A$1:$A$4, 0),
MATCH(O$1, '2018_commission_structure'!$A$1:$I$1, 0)), 0)</f>
        <v>24792.45</v>
      </c>
      <c r="Q177" s="11">
        <f>IF(G177&gt;H177, MIN(G177-H177, I177-H177)*
INDEX('2018_commission_structure'!$A$1:$I$4,
MATCH($D177, '2018_commission_structure'!$A$1:$A$4, 0),
MATCH(P$1, '2018_commission_structure'!$A$1:$I$1, 0)), 0)</f>
        <v>22500</v>
      </c>
      <c r="R177" s="11">
        <f>IF(G177&gt;K177, (G177-K177) *
INDEX('2018_commission_structure'!$A$1:$I$4,
MATCH($D177, '2018_commission_structure'!$A$1:$A$4,0),
MATCH(R$1, '2018_commission_structure'!$A$1:$I$1,0)), 0)</f>
        <v>0</v>
      </c>
      <c r="S177" s="11">
        <f t="shared" si="17"/>
        <v>66042.45</v>
      </c>
      <c r="T177" s="11" cm="1">
        <f t="array" ref="T177">SUM(E177+O177:Q177)</f>
        <v>181035.45</v>
      </c>
    </row>
    <row r="178" spans="1:20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 xml:space="preserve"> COUNTIF(deals_closed!D:D,A178)</f>
        <v>22</v>
      </c>
      <c r="G178" s="5">
        <f>SUMIF(deals_closed!D:D, calculations!A178, deals_closed!C:C)</f>
        <v>767904</v>
      </c>
      <c r="H178" s="5">
        <f>VLOOKUP(D178,'2018_commission_structure'!$A$2:$I$4,9,FALSE)</f>
        <v>750000</v>
      </c>
      <c r="I178" s="9">
        <f t="shared" si="12"/>
        <v>937500</v>
      </c>
      <c r="J178" s="8">
        <f t="shared" si="13"/>
        <v>1125000</v>
      </c>
      <c r="K178" s="9">
        <f t="shared" si="14"/>
        <v>1500000</v>
      </c>
      <c r="L178" s="10">
        <f t="shared" si="15"/>
        <v>1.0238719999999999</v>
      </c>
      <c r="M178" t="str">
        <f t="shared" si="16"/>
        <v>100-125%</v>
      </c>
      <c r="N178" s="9">
        <f>MIN(H178, G178)*INDEX('2018_commission_structure'!$A$1:$I$4,
MATCH($D178, '2018_commission_structure'!$A$1:$A$4,0),
MATCH(N$1, '2018_commission_structure'!$A$1:$I$1,0))</f>
        <v>112500</v>
      </c>
      <c r="O178" s="11">
        <f>IF(G178&gt;H178, MIN(G178-H178, I178-H178)*
INDEX('2018_commission_structure'!$A$1:$I$4,
MATCH($D178, '2018_commission_structure'!$A$1:$A$4, 0),
MATCH(O$1, '2018_commission_structure'!$A$1:$I$1, 0)), 0)</f>
        <v>3401.76</v>
      </c>
      <c r="P178" s="11">
        <f>IF(G178&gt;H178, MIN(G178-H178, J178-H178)*
INDEX('2018_commission_structure'!$A$1:$I$4,
MATCH($D178, '2018_commission_structure'!$A$1:$A$4, 0),
MATCH(O$1, '2018_commission_structure'!$A$1:$I$1, 0)), 0)</f>
        <v>3401.76</v>
      </c>
      <c r="Q178" s="11">
        <f>IF(G178&gt;H178, MIN(G178-H178, I178-H178)*
INDEX('2018_commission_structure'!$A$1:$I$4,
MATCH($D178, '2018_commission_structure'!$A$1:$A$4, 0),
MATCH(P$1, '2018_commission_structure'!$A$1:$I$1, 0)), 0)</f>
        <v>4117.92</v>
      </c>
      <c r="R178" s="11">
        <f>IF(G178&gt;K178, (G178-K178) *
INDEX('2018_commission_structure'!$A$1:$I$4,
MATCH($D178, '2018_commission_structure'!$A$1:$A$4,0),
MATCH(R$1, '2018_commission_structure'!$A$1:$I$1,0)), 0)</f>
        <v>0</v>
      </c>
      <c r="S178" s="11">
        <f t="shared" si="17"/>
        <v>10921.44</v>
      </c>
      <c r="T178" s="11" cm="1">
        <f t="array" ref="T178">SUM(E178+O178:Q178)</f>
        <v>353965.44</v>
      </c>
    </row>
    <row r="179" spans="1:20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 xml:space="preserve"> COUNTIF(deals_closed!D:D,A179)</f>
        <v>25</v>
      </c>
      <c r="G179" s="5">
        <f>SUMIF(deals_closed!D:D, calculations!A179, deals_closed!C:C)</f>
        <v>851032</v>
      </c>
      <c r="H179" s="5">
        <f>VLOOKUP(D179,'2018_commission_structure'!$A$2:$I$4,9,FALSE)</f>
        <v>750000</v>
      </c>
      <c r="I179" s="9">
        <f t="shared" si="12"/>
        <v>937500</v>
      </c>
      <c r="J179" s="8">
        <f t="shared" si="13"/>
        <v>1125000</v>
      </c>
      <c r="K179" s="9">
        <f t="shared" si="14"/>
        <v>1500000</v>
      </c>
      <c r="L179" s="10">
        <f t="shared" si="15"/>
        <v>1.1347093333333333</v>
      </c>
      <c r="M179" t="str">
        <f t="shared" si="16"/>
        <v>100-125%</v>
      </c>
      <c r="N179" s="9">
        <f>MIN(H179, G179)*INDEX('2018_commission_structure'!$A$1:$I$4,
MATCH($D179, '2018_commission_structure'!$A$1:$A$4,0),
MATCH(N$1, '2018_commission_structure'!$A$1:$I$1,0))</f>
        <v>112500</v>
      </c>
      <c r="O179" s="11">
        <f>IF(G179&gt;H179, MIN(G179-H179, I179-H179)*
INDEX('2018_commission_structure'!$A$1:$I$4,
MATCH($D179, '2018_commission_structure'!$A$1:$A$4, 0),
MATCH(O$1, '2018_commission_structure'!$A$1:$I$1, 0)), 0)</f>
        <v>19196.080000000002</v>
      </c>
      <c r="P179" s="11">
        <f>IF(G179&gt;H179, MIN(G179-H179, J179-H179)*
INDEX('2018_commission_structure'!$A$1:$I$4,
MATCH($D179, '2018_commission_structure'!$A$1:$A$4, 0),
MATCH(O$1, '2018_commission_structure'!$A$1:$I$1, 0)), 0)</f>
        <v>19196.080000000002</v>
      </c>
      <c r="Q179" s="11">
        <f>IF(G179&gt;H179, MIN(G179-H179, I179-H179)*
INDEX('2018_commission_structure'!$A$1:$I$4,
MATCH($D179, '2018_commission_structure'!$A$1:$A$4, 0),
MATCH(P$1, '2018_commission_structure'!$A$1:$I$1, 0)), 0)</f>
        <v>23237.360000000001</v>
      </c>
      <c r="R179" s="11">
        <f>IF(G179&gt;K179, (G179-K179) *
INDEX('2018_commission_structure'!$A$1:$I$4,
MATCH($D179, '2018_commission_structure'!$A$1:$A$4,0),
MATCH(R$1, '2018_commission_structure'!$A$1:$I$1,0)), 0)</f>
        <v>0</v>
      </c>
      <c r="S179" s="11">
        <f t="shared" si="17"/>
        <v>61629.520000000004</v>
      </c>
      <c r="T179" s="11" cm="1">
        <f t="array" ref="T179">SUM(E179+O179:Q179)</f>
        <v>328731.52000000002</v>
      </c>
    </row>
    <row r="180" spans="1:20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 xml:space="preserve"> COUNTIF(deals_closed!D:D,A180)</f>
        <v>16</v>
      </c>
      <c r="G180" s="5">
        <f>SUMIF(deals_closed!D:D, calculations!A180, deals_closed!C:C)</f>
        <v>540953</v>
      </c>
      <c r="H180" s="5">
        <f>VLOOKUP(D180,'2018_commission_structure'!$A$2:$I$4,9,FALSE)</f>
        <v>750000</v>
      </c>
      <c r="I180" s="9">
        <f t="shared" si="12"/>
        <v>937500</v>
      </c>
      <c r="J180" s="8">
        <f t="shared" si="13"/>
        <v>1125000</v>
      </c>
      <c r="K180" s="9">
        <f t="shared" si="14"/>
        <v>1500000</v>
      </c>
      <c r="L180" s="10">
        <f t="shared" si="15"/>
        <v>0.72127066666666662</v>
      </c>
      <c r="M180" t="str">
        <f t="shared" si="16"/>
        <v>0-100%</v>
      </c>
      <c r="N180" s="9">
        <f>MIN(H180, G180)*INDEX('2018_commission_structure'!$A$1:$I$4,
MATCH($D180, '2018_commission_structure'!$A$1:$A$4,0),
MATCH(N$1, '2018_commission_structure'!$A$1:$I$1,0))</f>
        <v>81142.95</v>
      </c>
      <c r="O180" s="11">
        <f>IF(G180&gt;H180, MIN(G180-H180, I180-H180)*
INDEX('2018_commission_structure'!$A$1:$I$4,
MATCH($D180, '2018_commission_structure'!$A$1:$A$4, 0),
MATCH(O$1, '2018_commission_structure'!$A$1:$I$1, 0)), 0)</f>
        <v>0</v>
      </c>
      <c r="P180" s="11">
        <f>IF(G180&gt;H180, MIN(G180-H180, J180-H180)*
INDEX('2018_commission_structure'!$A$1:$I$4,
MATCH($D180, '2018_commission_structure'!$A$1:$A$4, 0),
MATCH(O$1, '2018_commission_structure'!$A$1:$I$1, 0)), 0)</f>
        <v>0</v>
      </c>
      <c r="Q180" s="11">
        <f>IF(G180&gt;H180, MIN(G180-H180, I180-H180)*
INDEX('2018_commission_structure'!$A$1:$I$4,
MATCH($D180, '2018_commission_structure'!$A$1:$A$4, 0),
MATCH(P$1, '2018_commission_structure'!$A$1:$I$1, 0)), 0)</f>
        <v>0</v>
      </c>
      <c r="R180" s="11">
        <f>IF(G180&gt;K180, (G180-K180) *
INDEX('2018_commission_structure'!$A$1:$I$4,
MATCH($D180, '2018_commission_structure'!$A$1:$A$4,0),
MATCH(R$1, '2018_commission_structure'!$A$1:$I$1,0)), 0)</f>
        <v>0</v>
      </c>
      <c r="S180" s="11">
        <f t="shared" si="17"/>
        <v>0</v>
      </c>
      <c r="T180" s="11" cm="1">
        <f t="array" ref="T180">SUM(E180+O180:Q180)</f>
        <v>253725</v>
      </c>
    </row>
    <row r="181" spans="1:20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 xml:space="preserve"> COUNTIF(deals_closed!D:D,A181)</f>
        <v>23</v>
      </c>
      <c r="G181" s="5">
        <f>SUMIF(deals_closed!D:D, calculations!A181, deals_closed!C:C)</f>
        <v>908049</v>
      </c>
      <c r="H181" s="5">
        <f>VLOOKUP(D181,'2018_commission_structure'!$A$2:$I$4,9,FALSE)</f>
        <v>600000</v>
      </c>
      <c r="I181" s="9">
        <f t="shared" si="12"/>
        <v>750000</v>
      </c>
      <c r="J181" s="8">
        <f t="shared" si="13"/>
        <v>900000</v>
      </c>
      <c r="K181" s="9">
        <f t="shared" si="14"/>
        <v>1200000</v>
      </c>
      <c r="L181" s="10">
        <f t="shared" si="15"/>
        <v>1.513415</v>
      </c>
      <c r="M181" t="str">
        <f t="shared" si="16"/>
        <v>150-200%</v>
      </c>
      <c r="N181" s="9">
        <f>MIN(H181, G181)*INDEX('2018_commission_structure'!$A$1:$I$4,
MATCH($D181, '2018_commission_structure'!$A$1:$A$4,0),
MATCH(N$1, '2018_commission_structure'!$A$1:$I$1,0))</f>
        <v>78000</v>
      </c>
      <c r="O181" s="11">
        <f>IF(G181&gt;H181, MIN(G181-H181, I181-H181)*
INDEX('2018_commission_structure'!$A$1:$I$4,
MATCH($D181, '2018_commission_structure'!$A$1:$A$4, 0),
MATCH(O$1, '2018_commission_structure'!$A$1:$I$1, 0)), 0)</f>
        <v>25500.000000000004</v>
      </c>
      <c r="P181" s="11">
        <f>IF(G181&gt;H181, MIN(G181-H181, J181-H181)*
INDEX('2018_commission_structure'!$A$1:$I$4,
MATCH($D181, '2018_commission_structure'!$A$1:$A$4, 0),
MATCH(O$1, '2018_commission_structure'!$A$1:$I$1, 0)), 0)</f>
        <v>51000.000000000007</v>
      </c>
      <c r="Q181" s="11">
        <f>IF(G181&gt;H181, MIN(G181-H181, I181-H181)*
INDEX('2018_commission_structure'!$A$1:$I$4,
MATCH($D181, '2018_commission_structure'!$A$1:$A$4, 0),
MATCH(P$1, '2018_commission_structure'!$A$1:$I$1, 0)), 0)</f>
        <v>31500</v>
      </c>
      <c r="R181" s="11">
        <f>IF(G181&gt;K181, (G181-K181) *
INDEX('2018_commission_structure'!$A$1:$I$4,
MATCH($D181, '2018_commission_structure'!$A$1:$A$4,0),
MATCH(R$1, '2018_commission_structure'!$A$1:$I$1,0)), 0)</f>
        <v>0</v>
      </c>
      <c r="S181" s="11">
        <f t="shared" si="17"/>
        <v>108000.00000000001</v>
      </c>
      <c r="T181" s="11" cm="1">
        <f t="array" ref="T181">SUM(E181+O181:Q181)</f>
        <v>287037</v>
      </c>
    </row>
    <row r="182" spans="1:20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 xml:space="preserve"> COUNTIF(deals_closed!D:D,A182)</f>
        <v>12</v>
      </c>
      <c r="G182" s="5">
        <f>SUMIF(deals_closed!D:D, calculations!A182, deals_closed!C:C)</f>
        <v>336646</v>
      </c>
      <c r="H182" s="5">
        <f>VLOOKUP(D182,'2018_commission_structure'!$A$2:$I$4,9,FALSE)</f>
        <v>600000</v>
      </c>
      <c r="I182" s="9">
        <f t="shared" si="12"/>
        <v>750000</v>
      </c>
      <c r="J182" s="8">
        <f t="shared" si="13"/>
        <v>900000</v>
      </c>
      <c r="K182" s="9">
        <f t="shared" si="14"/>
        <v>1200000</v>
      </c>
      <c r="L182" s="10">
        <f t="shared" si="15"/>
        <v>0.56107666666666667</v>
      </c>
      <c r="M182" t="str">
        <f t="shared" si="16"/>
        <v>0-100%</v>
      </c>
      <c r="N182" s="9">
        <f>MIN(H182, G182)*INDEX('2018_commission_structure'!$A$1:$I$4,
MATCH($D182, '2018_commission_structure'!$A$1:$A$4,0),
MATCH(N$1, '2018_commission_structure'!$A$1:$I$1,0))</f>
        <v>43763.98</v>
      </c>
      <c r="O182" s="11">
        <f>IF(G182&gt;H182, MIN(G182-H182, I182-H182)*
INDEX('2018_commission_structure'!$A$1:$I$4,
MATCH($D182, '2018_commission_structure'!$A$1:$A$4, 0),
MATCH(O$1, '2018_commission_structure'!$A$1:$I$1, 0)), 0)</f>
        <v>0</v>
      </c>
      <c r="P182" s="11">
        <f>IF(G182&gt;H182, MIN(G182-H182, J182-H182)*
INDEX('2018_commission_structure'!$A$1:$I$4,
MATCH($D182, '2018_commission_structure'!$A$1:$A$4, 0),
MATCH(O$1, '2018_commission_structure'!$A$1:$I$1, 0)), 0)</f>
        <v>0</v>
      </c>
      <c r="Q182" s="11">
        <f>IF(G182&gt;H182, MIN(G182-H182, I182-H182)*
INDEX('2018_commission_structure'!$A$1:$I$4,
MATCH($D182, '2018_commission_structure'!$A$1:$A$4, 0),
MATCH(P$1, '2018_commission_structure'!$A$1:$I$1, 0)), 0)</f>
        <v>0</v>
      </c>
      <c r="R182" s="11">
        <f>IF(G182&gt;K182, (G182-K182) *
INDEX('2018_commission_structure'!$A$1:$I$4,
MATCH($D182, '2018_commission_structure'!$A$1:$A$4,0),
MATCH(R$1, '2018_commission_structure'!$A$1:$I$1,0)), 0)</f>
        <v>0</v>
      </c>
      <c r="S182" s="11">
        <f t="shared" si="17"/>
        <v>0</v>
      </c>
      <c r="T182" s="11" cm="1">
        <f t="array" ref="T182">SUM(E182+O182:Q182)</f>
        <v>166707</v>
      </c>
    </row>
    <row r="183" spans="1:20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 xml:space="preserve"> COUNTIF(deals_closed!D:D,A183)</f>
        <v>19</v>
      </c>
      <c r="G183" s="5">
        <f>SUMIF(deals_closed!D:D, calculations!A183, deals_closed!C:C)</f>
        <v>677823</v>
      </c>
      <c r="H183" s="5">
        <f>VLOOKUP(D183,'2018_commission_structure'!$A$2:$I$4,9,FALSE)</f>
        <v>600000</v>
      </c>
      <c r="I183" s="9">
        <f t="shared" si="12"/>
        <v>750000</v>
      </c>
      <c r="J183" s="8">
        <f t="shared" si="13"/>
        <v>900000</v>
      </c>
      <c r="K183" s="9">
        <f t="shared" si="14"/>
        <v>1200000</v>
      </c>
      <c r="L183" s="10">
        <f t="shared" si="15"/>
        <v>1.129705</v>
      </c>
      <c r="M183" t="str">
        <f t="shared" si="16"/>
        <v>100-125%</v>
      </c>
      <c r="N183" s="9">
        <f>MIN(H183, G183)*INDEX('2018_commission_structure'!$A$1:$I$4,
MATCH($D183, '2018_commission_structure'!$A$1:$A$4,0),
MATCH(N$1, '2018_commission_structure'!$A$1:$I$1,0))</f>
        <v>78000</v>
      </c>
      <c r="O183" s="11">
        <f>IF(G183&gt;H183, MIN(G183-H183, I183-H183)*
INDEX('2018_commission_structure'!$A$1:$I$4,
MATCH($D183, '2018_commission_structure'!$A$1:$A$4, 0),
MATCH(O$1, '2018_commission_structure'!$A$1:$I$1, 0)), 0)</f>
        <v>13229.910000000002</v>
      </c>
      <c r="P183" s="11">
        <f>IF(G183&gt;H183, MIN(G183-H183, J183-H183)*
INDEX('2018_commission_structure'!$A$1:$I$4,
MATCH($D183, '2018_commission_structure'!$A$1:$A$4, 0),
MATCH(O$1, '2018_commission_structure'!$A$1:$I$1, 0)), 0)</f>
        <v>13229.910000000002</v>
      </c>
      <c r="Q183" s="11">
        <f>IF(G183&gt;H183, MIN(G183-H183, I183-H183)*
INDEX('2018_commission_structure'!$A$1:$I$4,
MATCH($D183, '2018_commission_structure'!$A$1:$A$4, 0),
MATCH(P$1, '2018_commission_structure'!$A$1:$I$1, 0)), 0)</f>
        <v>16342.83</v>
      </c>
      <c r="R183" s="11">
        <f>IF(G183&gt;K183, (G183-K183) *
INDEX('2018_commission_structure'!$A$1:$I$4,
MATCH($D183, '2018_commission_structure'!$A$1:$A$4,0),
MATCH(R$1, '2018_commission_structure'!$A$1:$I$1,0)), 0)</f>
        <v>0</v>
      </c>
      <c r="S183" s="11">
        <f t="shared" si="17"/>
        <v>42802.65</v>
      </c>
      <c r="T183" s="11" cm="1">
        <f t="array" ref="T183">SUM(E183+O183:Q183)</f>
        <v>194899.65000000002</v>
      </c>
    </row>
    <row r="184" spans="1:20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 xml:space="preserve"> COUNTIF(deals_closed!D:D,A184)</f>
        <v>26</v>
      </c>
      <c r="G184" s="5">
        <f>SUMIF(deals_closed!D:D, calculations!A184, deals_closed!C:C)</f>
        <v>1100641</v>
      </c>
      <c r="H184" s="5">
        <f>VLOOKUP(D184,'2018_commission_structure'!$A$2:$I$4,9,FALSE)</f>
        <v>500000</v>
      </c>
      <c r="I184" s="9">
        <f t="shared" si="12"/>
        <v>625000</v>
      </c>
      <c r="J184" s="8">
        <f t="shared" si="13"/>
        <v>750000</v>
      </c>
      <c r="K184" s="9">
        <f t="shared" si="14"/>
        <v>1000000</v>
      </c>
      <c r="L184" s="10">
        <f t="shared" si="15"/>
        <v>2.201282</v>
      </c>
      <c r="M184" t="str">
        <f t="shared" si="16"/>
        <v>&gt;200%</v>
      </c>
      <c r="N184" s="9">
        <f>MIN(H184, G184)*INDEX('2018_commission_structure'!$A$1:$I$4,
MATCH($D184, '2018_commission_structure'!$A$1:$A$4,0),
MATCH(N$1, '2018_commission_structure'!$A$1:$I$1,0))</f>
        <v>50000</v>
      </c>
      <c r="O184" s="11">
        <f>IF(G184&gt;H184, MIN(G184-H184, I184-H184)*
INDEX('2018_commission_structure'!$A$1:$I$4,
MATCH($D184, '2018_commission_structure'!$A$1:$A$4, 0),
MATCH(O$1, '2018_commission_structure'!$A$1:$I$1, 0)), 0)</f>
        <v>18750</v>
      </c>
      <c r="P184" s="11">
        <f>IF(G184&gt;H184, MIN(G184-H184, J184-H184)*
INDEX('2018_commission_structure'!$A$1:$I$4,
MATCH($D184, '2018_commission_structure'!$A$1:$A$4, 0),
MATCH(O$1, '2018_commission_structure'!$A$1:$I$1, 0)), 0)</f>
        <v>37500</v>
      </c>
      <c r="Q184" s="11">
        <f>IF(G184&gt;H184, MIN(G184-H184, I184-H184)*
INDEX('2018_commission_structure'!$A$1:$I$4,
MATCH($D184, '2018_commission_structure'!$A$1:$A$4, 0),
MATCH(P$1, '2018_commission_structure'!$A$1:$I$1, 0)), 0)</f>
        <v>22500</v>
      </c>
      <c r="R184" s="11">
        <f>IF(G184&gt;K184, (G184-K184) *
INDEX('2018_commission_structure'!$A$1:$I$4,
MATCH($D184, '2018_commission_structure'!$A$1:$A$4,0),
MATCH(R$1, '2018_commission_structure'!$A$1:$I$1,0)), 0)</f>
        <v>10064.1</v>
      </c>
      <c r="S184" s="11">
        <f t="shared" si="17"/>
        <v>78750</v>
      </c>
      <c r="T184" s="11" cm="1">
        <f t="array" ref="T184">SUM(E184+O184:Q184)</f>
        <v>212076</v>
      </c>
    </row>
    <row r="185" spans="1:20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 xml:space="preserve"> COUNTIF(deals_closed!D:D,A185)</f>
        <v>29</v>
      </c>
      <c r="G185" s="5">
        <f>SUMIF(deals_closed!D:D, calculations!A185, deals_closed!C:C)</f>
        <v>995076</v>
      </c>
      <c r="H185" s="5">
        <f>VLOOKUP(D185,'2018_commission_structure'!$A$2:$I$4,9,FALSE)</f>
        <v>750000</v>
      </c>
      <c r="I185" s="9">
        <f t="shared" si="12"/>
        <v>937500</v>
      </c>
      <c r="J185" s="8">
        <f t="shared" si="13"/>
        <v>1125000</v>
      </c>
      <c r="K185" s="9">
        <f t="shared" si="14"/>
        <v>1500000</v>
      </c>
      <c r="L185" s="10">
        <f t="shared" si="15"/>
        <v>1.3267679999999999</v>
      </c>
      <c r="M185" t="str">
        <f t="shared" si="16"/>
        <v>125-150%</v>
      </c>
      <c r="N185" s="9">
        <f>MIN(H185, G185)*INDEX('2018_commission_structure'!$A$1:$I$4,
MATCH($D185, '2018_commission_structure'!$A$1:$A$4,0),
MATCH(N$1, '2018_commission_structure'!$A$1:$I$1,0))</f>
        <v>112500</v>
      </c>
      <c r="O185" s="11">
        <f>IF(G185&gt;H185, MIN(G185-H185, I185-H185)*
INDEX('2018_commission_structure'!$A$1:$I$4,
MATCH($D185, '2018_commission_structure'!$A$1:$A$4, 0),
MATCH(O$1, '2018_commission_structure'!$A$1:$I$1, 0)), 0)</f>
        <v>35625</v>
      </c>
      <c r="P185" s="11">
        <f>IF(G185&gt;H185, MIN(G185-H185, J185-H185)*
INDEX('2018_commission_structure'!$A$1:$I$4,
MATCH($D185, '2018_commission_structure'!$A$1:$A$4, 0),
MATCH(O$1, '2018_commission_structure'!$A$1:$I$1, 0)), 0)</f>
        <v>46564.44</v>
      </c>
      <c r="Q185" s="11">
        <f>IF(G185&gt;H185, MIN(G185-H185, I185-H185)*
INDEX('2018_commission_structure'!$A$1:$I$4,
MATCH($D185, '2018_commission_structure'!$A$1:$A$4, 0),
MATCH(P$1, '2018_commission_structure'!$A$1:$I$1, 0)), 0)</f>
        <v>43125</v>
      </c>
      <c r="R185" s="11">
        <f>IF(G185&gt;K185, (G185-K185) *
INDEX('2018_commission_structure'!$A$1:$I$4,
MATCH($D185, '2018_commission_structure'!$A$1:$A$4,0),
MATCH(R$1, '2018_commission_structure'!$A$1:$I$1,0)), 0)</f>
        <v>0</v>
      </c>
      <c r="S185" s="11">
        <f t="shared" si="17"/>
        <v>125314.44</v>
      </c>
      <c r="T185" s="11" cm="1">
        <f t="array" ref="T185">SUM(E185+O185:Q185)</f>
        <v>430786.44</v>
      </c>
    </row>
    <row r="186" spans="1:20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 xml:space="preserve"> COUNTIF(deals_closed!D:D,A186)</f>
        <v>22</v>
      </c>
      <c r="G186" s="5">
        <f>SUMIF(deals_closed!D:D, calculations!A186, deals_closed!C:C)</f>
        <v>895634</v>
      </c>
      <c r="H186" s="5">
        <f>VLOOKUP(D186,'2018_commission_structure'!$A$2:$I$4,9,FALSE)</f>
        <v>600000</v>
      </c>
      <c r="I186" s="9">
        <f t="shared" si="12"/>
        <v>750000</v>
      </c>
      <c r="J186" s="8">
        <f t="shared" si="13"/>
        <v>900000</v>
      </c>
      <c r="K186" s="9">
        <f t="shared" si="14"/>
        <v>1200000</v>
      </c>
      <c r="L186" s="10">
        <f t="shared" si="15"/>
        <v>1.4927233333333334</v>
      </c>
      <c r="M186" t="str">
        <f t="shared" si="16"/>
        <v>125-150%</v>
      </c>
      <c r="N186" s="9">
        <f>MIN(H186, G186)*INDEX('2018_commission_structure'!$A$1:$I$4,
MATCH($D186, '2018_commission_structure'!$A$1:$A$4,0),
MATCH(N$1, '2018_commission_structure'!$A$1:$I$1,0))</f>
        <v>78000</v>
      </c>
      <c r="O186" s="11">
        <f>IF(G186&gt;H186, MIN(G186-H186, I186-H186)*
INDEX('2018_commission_structure'!$A$1:$I$4,
MATCH($D186, '2018_commission_structure'!$A$1:$A$4, 0),
MATCH(O$1, '2018_commission_structure'!$A$1:$I$1, 0)), 0)</f>
        <v>25500.000000000004</v>
      </c>
      <c r="P186" s="11">
        <f>IF(G186&gt;H186, MIN(G186-H186, J186-H186)*
INDEX('2018_commission_structure'!$A$1:$I$4,
MATCH($D186, '2018_commission_structure'!$A$1:$A$4, 0),
MATCH(O$1, '2018_commission_structure'!$A$1:$I$1, 0)), 0)</f>
        <v>50257.780000000006</v>
      </c>
      <c r="Q186" s="11">
        <f>IF(G186&gt;H186, MIN(G186-H186, I186-H186)*
INDEX('2018_commission_structure'!$A$1:$I$4,
MATCH($D186, '2018_commission_structure'!$A$1:$A$4, 0),
MATCH(P$1, '2018_commission_structure'!$A$1:$I$1, 0)), 0)</f>
        <v>31500</v>
      </c>
      <c r="R186" s="11">
        <f>IF(G186&gt;K186, (G186-K186) *
INDEX('2018_commission_structure'!$A$1:$I$4,
MATCH($D186, '2018_commission_structure'!$A$1:$A$4,0),
MATCH(R$1, '2018_commission_structure'!$A$1:$I$1,0)), 0)</f>
        <v>0</v>
      </c>
      <c r="S186" s="11">
        <f t="shared" si="17"/>
        <v>107257.78000000001</v>
      </c>
      <c r="T186" s="11" cm="1">
        <f t="array" ref="T186">SUM(E186+O186:Q186)</f>
        <v>279502.78000000003</v>
      </c>
    </row>
    <row r="187" spans="1:20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 xml:space="preserve"> COUNTIF(deals_closed!D:D,A187)</f>
        <v>19</v>
      </c>
      <c r="G187" s="5">
        <f>SUMIF(deals_closed!D:D, calculations!A187, deals_closed!C:C)</f>
        <v>543496</v>
      </c>
      <c r="H187" s="5">
        <f>VLOOKUP(D187,'2018_commission_structure'!$A$2:$I$4,9,FALSE)</f>
        <v>500000</v>
      </c>
      <c r="I187" s="9">
        <f t="shared" si="12"/>
        <v>625000</v>
      </c>
      <c r="J187" s="8">
        <f t="shared" si="13"/>
        <v>750000</v>
      </c>
      <c r="K187" s="9">
        <f t="shared" si="14"/>
        <v>1000000</v>
      </c>
      <c r="L187" s="10">
        <f t="shared" si="15"/>
        <v>1.086992</v>
      </c>
      <c r="M187" t="str">
        <f t="shared" si="16"/>
        <v>100-125%</v>
      </c>
      <c r="N187" s="9">
        <f>MIN(H187, G187)*INDEX('2018_commission_structure'!$A$1:$I$4,
MATCH($D187, '2018_commission_structure'!$A$1:$A$4,0),
MATCH(N$1, '2018_commission_structure'!$A$1:$I$1,0))</f>
        <v>50000</v>
      </c>
      <c r="O187" s="11">
        <f>IF(G187&gt;H187, MIN(G187-H187, I187-H187)*
INDEX('2018_commission_structure'!$A$1:$I$4,
MATCH($D187, '2018_commission_structure'!$A$1:$A$4, 0),
MATCH(O$1, '2018_commission_structure'!$A$1:$I$1, 0)), 0)</f>
        <v>6524.4</v>
      </c>
      <c r="P187" s="11">
        <f>IF(G187&gt;H187, MIN(G187-H187, J187-H187)*
INDEX('2018_commission_structure'!$A$1:$I$4,
MATCH($D187, '2018_commission_structure'!$A$1:$A$4, 0),
MATCH(O$1, '2018_commission_structure'!$A$1:$I$1, 0)), 0)</f>
        <v>6524.4</v>
      </c>
      <c r="Q187" s="11">
        <f>IF(G187&gt;H187, MIN(G187-H187, I187-H187)*
INDEX('2018_commission_structure'!$A$1:$I$4,
MATCH($D187, '2018_commission_structure'!$A$1:$A$4, 0),
MATCH(P$1, '2018_commission_structure'!$A$1:$I$1, 0)), 0)</f>
        <v>7829.28</v>
      </c>
      <c r="R187" s="11">
        <f>IF(G187&gt;K187, (G187-K187) *
INDEX('2018_commission_structure'!$A$1:$I$4,
MATCH($D187, '2018_commission_structure'!$A$1:$A$4,0),
MATCH(R$1, '2018_commission_structure'!$A$1:$I$1,0)), 0)</f>
        <v>0</v>
      </c>
      <c r="S187" s="11">
        <f t="shared" si="17"/>
        <v>20878.079999999998</v>
      </c>
      <c r="T187" s="11" cm="1">
        <f t="array" ref="T187">SUM(E187+O187:Q187)</f>
        <v>163471.08000000002</v>
      </c>
    </row>
    <row r="188" spans="1:20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 xml:space="preserve"> COUNTIF(deals_closed!D:D,A188)</f>
        <v>20</v>
      </c>
      <c r="G188" s="5">
        <f>SUMIF(deals_closed!D:D, calculations!A188, deals_closed!C:C)</f>
        <v>625865</v>
      </c>
      <c r="H188" s="5">
        <f>VLOOKUP(D188,'2018_commission_structure'!$A$2:$I$4,9,FALSE)</f>
        <v>500000</v>
      </c>
      <c r="I188" s="9">
        <f t="shared" si="12"/>
        <v>625000</v>
      </c>
      <c r="J188" s="8">
        <f t="shared" si="13"/>
        <v>750000</v>
      </c>
      <c r="K188" s="9">
        <f t="shared" si="14"/>
        <v>1000000</v>
      </c>
      <c r="L188" s="10">
        <f t="shared" si="15"/>
        <v>1.25173</v>
      </c>
      <c r="M188" t="str">
        <f t="shared" si="16"/>
        <v>125-150%</v>
      </c>
      <c r="N188" s="9">
        <f>MIN(H188, G188)*INDEX('2018_commission_structure'!$A$1:$I$4,
MATCH($D188, '2018_commission_structure'!$A$1:$A$4,0),
MATCH(N$1, '2018_commission_structure'!$A$1:$I$1,0))</f>
        <v>50000</v>
      </c>
      <c r="O188" s="11">
        <f>IF(G188&gt;H188, MIN(G188-H188, I188-H188)*
INDEX('2018_commission_structure'!$A$1:$I$4,
MATCH($D188, '2018_commission_structure'!$A$1:$A$4, 0),
MATCH(O$1, '2018_commission_structure'!$A$1:$I$1, 0)), 0)</f>
        <v>18750</v>
      </c>
      <c r="P188" s="11">
        <f>IF(G188&gt;H188, MIN(G188-H188, J188-H188)*
INDEX('2018_commission_structure'!$A$1:$I$4,
MATCH($D188, '2018_commission_structure'!$A$1:$A$4, 0),
MATCH(O$1, '2018_commission_structure'!$A$1:$I$1, 0)), 0)</f>
        <v>18879.75</v>
      </c>
      <c r="Q188" s="11">
        <f>IF(G188&gt;H188, MIN(G188-H188, I188-H188)*
INDEX('2018_commission_structure'!$A$1:$I$4,
MATCH($D188, '2018_commission_structure'!$A$1:$A$4, 0),
MATCH(P$1, '2018_commission_structure'!$A$1:$I$1, 0)), 0)</f>
        <v>22500</v>
      </c>
      <c r="R188" s="11">
        <f>IF(G188&gt;K188, (G188-K188) *
INDEX('2018_commission_structure'!$A$1:$I$4,
MATCH($D188, '2018_commission_structure'!$A$1:$A$4,0),
MATCH(R$1, '2018_commission_structure'!$A$1:$I$1,0)), 0)</f>
        <v>0</v>
      </c>
      <c r="S188" s="11">
        <f t="shared" si="17"/>
        <v>60129.75</v>
      </c>
      <c r="T188" s="11" cm="1">
        <f t="array" ref="T188">SUM(E188+O188:Q188)</f>
        <v>184155.75</v>
      </c>
    </row>
    <row r="189" spans="1:20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 xml:space="preserve"> COUNTIF(deals_closed!D:D,A189)</f>
        <v>23</v>
      </c>
      <c r="G189" s="5">
        <f>SUMIF(deals_closed!D:D, calculations!A189, deals_closed!C:C)</f>
        <v>795625</v>
      </c>
      <c r="H189" s="5">
        <f>VLOOKUP(D189,'2018_commission_structure'!$A$2:$I$4,9,FALSE)</f>
        <v>500000</v>
      </c>
      <c r="I189" s="9">
        <f t="shared" si="12"/>
        <v>625000</v>
      </c>
      <c r="J189" s="8">
        <f t="shared" si="13"/>
        <v>750000</v>
      </c>
      <c r="K189" s="9">
        <f t="shared" si="14"/>
        <v>1000000</v>
      </c>
      <c r="L189" s="10">
        <f t="shared" si="15"/>
        <v>1.5912500000000001</v>
      </c>
      <c r="M189" t="str">
        <f t="shared" si="16"/>
        <v>150-200%</v>
      </c>
      <c r="N189" s="9">
        <f>MIN(H189, G189)*INDEX('2018_commission_structure'!$A$1:$I$4,
MATCH($D189, '2018_commission_structure'!$A$1:$A$4,0),
MATCH(N$1, '2018_commission_structure'!$A$1:$I$1,0))</f>
        <v>50000</v>
      </c>
      <c r="O189" s="11">
        <f>IF(G189&gt;H189, MIN(G189-H189, I189-H189)*
INDEX('2018_commission_structure'!$A$1:$I$4,
MATCH($D189, '2018_commission_structure'!$A$1:$A$4, 0),
MATCH(O$1, '2018_commission_structure'!$A$1:$I$1, 0)), 0)</f>
        <v>18750</v>
      </c>
      <c r="P189" s="11">
        <f>IF(G189&gt;H189, MIN(G189-H189, J189-H189)*
INDEX('2018_commission_structure'!$A$1:$I$4,
MATCH($D189, '2018_commission_structure'!$A$1:$A$4, 0),
MATCH(O$1, '2018_commission_structure'!$A$1:$I$1, 0)), 0)</f>
        <v>37500</v>
      </c>
      <c r="Q189" s="11">
        <f>IF(G189&gt;H189, MIN(G189-H189, I189-H189)*
INDEX('2018_commission_structure'!$A$1:$I$4,
MATCH($D189, '2018_commission_structure'!$A$1:$A$4, 0),
MATCH(P$1, '2018_commission_structure'!$A$1:$I$1, 0)), 0)</f>
        <v>22500</v>
      </c>
      <c r="R189" s="11">
        <f>IF(G189&gt;K189, (G189-K189) *
INDEX('2018_commission_structure'!$A$1:$I$4,
MATCH($D189, '2018_commission_structure'!$A$1:$A$4,0),
MATCH(R$1, '2018_commission_structure'!$A$1:$I$1,0)), 0)</f>
        <v>0</v>
      </c>
      <c r="S189" s="11">
        <f t="shared" si="17"/>
        <v>78750</v>
      </c>
      <c r="T189" s="11" cm="1">
        <f t="array" ref="T189">SUM(E189+O189:Q189)</f>
        <v>253011</v>
      </c>
    </row>
    <row r="190" spans="1:20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 xml:space="preserve"> COUNTIF(deals_closed!D:D,A190)</f>
        <v>18</v>
      </c>
      <c r="G190" s="5">
        <f>SUMIF(deals_closed!D:D, calculations!A190, deals_closed!C:C)</f>
        <v>659526</v>
      </c>
      <c r="H190" s="5">
        <f>VLOOKUP(D190,'2018_commission_structure'!$A$2:$I$4,9,FALSE)</f>
        <v>750000</v>
      </c>
      <c r="I190" s="9">
        <f t="shared" si="12"/>
        <v>937500</v>
      </c>
      <c r="J190" s="8">
        <f t="shared" si="13"/>
        <v>1125000</v>
      </c>
      <c r="K190" s="9">
        <f t="shared" si="14"/>
        <v>1500000</v>
      </c>
      <c r="L190" s="10">
        <f t="shared" si="15"/>
        <v>0.87936800000000004</v>
      </c>
      <c r="M190" t="str">
        <f t="shared" si="16"/>
        <v>0-100%</v>
      </c>
      <c r="N190" s="9">
        <f>MIN(H190, G190)*INDEX('2018_commission_structure'!$A$1:$I$4,
MATCH($D190, '2018_commission_structure'!$A$1:$A$4,0),
MATCH(N$1, '2018_commission_structure'!$A$1:$I$1,0))</f>
        <v>98928.9</v>
      </c>
      <c r="O190" s="11">
        <f>IF(G190&gt;H190, MIN(G190-H190, I190-H190)*
INDEX('2018_commission_structure'!$A$1:$I$4,
MATCH($D190, '2018_commission_structure'!$A$1:$A$4, 0),
MATCH(O$1, '2018_commission_structure'!$A$1:$I$1, 0)), 0)</f>
        <v>0</v>
      </c>
      <c r="P190" s="11">
        <f>IF(G190&gt;H190, MIN(G190-H190, J190-H190)*
INDEX('2018_commission_structure'!$A$1:$I$4,
MATCH($D190, '2018_commission_structure'!$A$1:$A$4, 0),
MATCH(O$1, '2018_commission_structure'!$A$1:$I$1, 0)), 0)</f>
        <v>0</v>
      </c>
      <c r="Q190" s="11">
        <f>IF(G190&gt;H190, MIN(G190-H190, I190-H190)*
INDEX('2018_commission_structure'!$A$1:$I$4,
MATCH($D190, '2018_commission_structure'!$A$1:$A$4, 0),
MATCH(P$1, '2018_commission_structure'!$A$1:$I$1, 0)), 0)</f>
        <v>0</v>
      </c>
      <c r="R190" s="11">
        <f>IF(G190&gt;K190, (G190-K190) *
INDEX('2018_commission_structure'!$A$1:$I$4,
MATCH($D190, '2018_commission_structure'!$A$1:$A$4,0),
MATCH(R$1, '2018_commission_structure'!$A$1:$I$1,0)), 0)</f>
        <v>0</v>
      </c>
      <c r="S190" s="11">
        <f t="shared" si="17"/>
        <v>0</v>
      </c>
      <c r="T190" s="11" cm="1">
        <f t="array" ref="T190">SUM(E190+O190:Q190)</f>
        <v>308133</v>
      </c>
    </row>
    <row r="191" spans="1:20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 xml:space="preserve"> COUNTIF(deals_closed!D:D,A191)</f>
        <v>14</v>
      </c>
      <c r="G191" s="5">
        <f>SUMIF(deals_closed!D:D, calculations!A191, deals_closed!C:C)</f>
        <v>506627</v>
      </c>
      <c r="H191" s="5">
        <f>VLOOKUP(D191,'2018_commission_structure'!$A$2:$I$4,9,FALSE)</f>
        <v>750000</v>
      </c>
      <c r="I191" s="9">
        <f t="shared" si="12"/>
        <v>937500</v>
      </c>
      <c r="J191" s="8">
        <f t="shared" si="13"/>
        <v>1125000</v>
      </c>
      <c r="K191" s="9">
        <f t="shared" si="14"/>
        <v>1500000</v>
      </c>
      <c r="L191" s="10">
        <f t="shared" si="15"/>
        <v>0.6755026666666667</v>
      </c>
      <c r="M191" t="str">
        <f t="shared" si="16"/>
        <v>0-100%</v>
      </c>
      <c r="N191" s="9">
        <f>MIN(H191, G191)*INDEX('2018_commission_structure'!$A$1:$I$4,
MATCH($D191, '2018_commission_structure'!$A$1:$A$4,0),
MATCH(N$1, '2018_commission_structure'!$A$1:$I$1,0))</f>
        <v>75994.05</v>
      </c>
      <c r="O191" s="11">
        <f>IF(G191&gt;H191, MIN(G191-H191, I191-H191)*
INDEX('2018_commission_structure'!$A$1:$I$4,
MATCH($D191, '2018_commission_structure'!$A$1:$A$4, 0),
MATCH(O$1, '2018_commission_structure'!$A$1:$I$1, 0)), 0)</f>
        <v>0</v>
      </c>
      <c r="P191" s="11">
        <f>IF(G191&gt;H191, MIN(G191-H191, J191-H191)*
INDEX('2018_commission_structure'!$A$1:$I$4,
MATCH($D191, '2018_commission_structure'!$A$1:$A$4, 0),
MATCH(O$1, '2018_commission_structure'!$A$1:$I$1, 0)), 0)</f>
        <v>0</v>
      </c>
      <c r="Q191" s="11">
        <f>IF(G191&gt;H191, MIN(G191-H191, I191-H191)*
INDEX('2018_commission_structure'!$A$1:$I$4,
MATCH($D191, '2018_commission_structure'!$A$1:$A$4, 0),
MATCH(P$1, '2018_commission_structure'!$A$1:$I$1, 0)), 0)</f>
        <v>0</v>
      </c>
      <c r="R191" s="11">
        <f>IF(G191&gt;K191, (G191-K191) *
INDEX('2018_commission_structure'!$A$1:$I$4,
MATCH($D191, '2018_commission_structure'!$A$1:$A$4,0),
MATCH(R$1, '2018_commission_structure'!$A$1:$I$1,0)), 0)</f>
        <v>0</v>
      </c>
      <c r="S191" s="11">
        <f t="shared" si="17"/>
        <v>0</v>
      </c>
      <c r="T191" s="11" cm="1">
        <f t="array" ref="T191">SUM(E191+O191:Q191)</f>
        <v>236313</v>
      </c>
    </row>
    <row r="192" spans="1:20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 xml:space="preserve"> COUNTIF(deals_closed!D:D,A192)</f>
        <v>21</v>
      </c>
      <c r="G192" s="5">
        <f>SUMIF(deals_closed!D:D, calculations!A192, deals_closed!C:C)</f>
        <v>777563</v>
      </c>
      <c r="H192" s="5">
        <f>VLOOKUP(D192,'2018_commission_structure'!$A$2:$I$4,9,FALSE)</f>
        <v>750000</v>
      </c>
      <c r="I192" s="9">
        <f t="shared" si="12"/>
        <v>937500</v>
      </c>
      <c r="J192" s="8">
        <f t="shared" si="13"/>
        <v>1125000</v>
      </c>
      <c r="K192" s="9">
        <f t="shared" si="14"/>
        <v>1500000</v>
      </c>
      <c r="L192" s="10">
        <f t="shared" si="15"/>
        <v>1.0367506666666666</v>
      </c>
      <c r="M192" t="str">
        <f t="shared" si="16"/>
        <v>100-125%</v>
      </c>
      <c r="N192" s="9">
        <f>MIN(H192, G192)*INDEX('2018_commission_structure'!$A$1:$I$4,
MATCH($D192, '2018_commission_structure'!$A$1:$A$4,0),
MATCH(N$1, '2018_commission_structure'!$A$1:$I$1,0))</f>
        <v>112500</v>
      </c>
      <c r="O192" s="11">
        <f>IF(G192&gt;H192, MIN(G192-H192, I192-H192)*
INDEX('2018_commission_structure'!$A$1:$I$4,
MATCH($D192, '2018_commission_structure'!$A$1:$A$4, 0),
MATCH(O$1, '2018_commission_structure'!$A$1:$I$1, 0)), 0)</f>
        <v>5236.97</v>
      </c>
      <c r="P192" s="11">
        <f>IF(G192&gt;H192, MIN(G192-H192, J192-H192)*
INDEX('2018_commission_structure'!$A$1:$I$4,
MATCH($D192, '2018_commission_structure'!$A$1:$A$4, 0),
MATCH(O$1, '2018_commission_structure'!$A$1:$I$1, 0)), 0)</f>
        <v>5236.97</v>
      </c>
      <c r="Q192" s="11">
        <f>IF(G192&gt;H192, MIN(G192-H192, I192-H192)*
INDEX('2018_commission_structure'!$A$1:$I$4,
MATCH($D192, '2018_commission_structure'!$A$1:$A$4, 0),
MATCH(P$1, '2018_commission_structure'!$A$1:$I$1, 0)), 0)</f>
        <v>6339.4900000000007</v>
      </c>
      <c r="R192" s="11">
        <f>IF(G192&gt;K192, (G192-K192) *
INDEX('2018_commission_structure'!$A$1:$I$4,
MATCH($D192, '2018_commission_structure'!$A$1:$A$4,0),
MATCH(R$1, '2018_commission_structure'!$A$1:$I$1,0)), 0)</f>
        <v>0</v>
      </c>
      <c r="S192" s="11">
        <f t="shared" si="17"/>
        <v>16813.43</v>
      </c>
      <c r="T192" s="11" cm="1">
        <f t="array" ref="T192">SUM(E192+O192:Q192)</f>
        <v>348055.43</v>
      </c>
    </row>
    <row r="193" spans="1:20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 xml:space="preserve"> COUNTIF(deals_closed!D:D,A193)</f>
        <v>21</v>
      </c>
      <c r="G193" s="5">
        <f>SUMIF(deals_closed!D:D, calculations!A193, deals_closed!C:C)</f>
        <v>750884</v>
      </c>
      <c r="H193" s="5">
        <f>VLOOKUP(D193,'2018_commission_structure'!$A$2:$I$4,9,FALSE)</f>
        <v>500000</v>
      </c>
      <c r="I193" s="9">
        <f t="shared" si="12"/>
        <v>625000</v>
      </c>
      <c r="J193" s="8">
        <f t="shared" si="13"/>
        <v>750000</v>
      </c>
      <c r="K193" s="9">
        <f t="shared" si="14"/>
        <v>1000000</v>
      </c>
      <c r="L193" s="10">
        <f t="shared" si="15"/>
        <v>1.501768</v>
      </c>
      <c r="M193" t="str">
        <f t="shared" si="16"/>
        <v>150-200%</v>
      </c>
      <c r="N193" s="9">
        <f>MIN(H193, G193)*INDEX('2018_commission_structure'!$A$1:$I$4,
MATCH($D193, '2018_commission_structure'!$A$1:$A$4,0),
MATCH(N$1, '2018_commission_structure'!$A$1:$I$1,0))</f>
        <v>50000</v>
      </c>
      <c r="O193" s="11">
        <f>IF(G193&gt;H193, MIN(G193-H193, I193-H193)*
INDEX('2018_commission_structure'!$A$1:$I$4,
MATCH($D193, '2018_commission_structure'!$A$1:$A$4, 0),
MATCH(O$1, '2018_commission_structure'!$A$1:$I$1, 0)), 0)</f>
        <v>18750</v>
      </c>
      <c r="P193" s="11">
        <f>IF(G193&gt;H193, MIN(G193-H193, J193-H193)*
INDEX('2018_commission_structure'!$A$1:$I$4,
MATCH($D193, '2018_commission_structure'!$A$1:$A$4, 0),
MATCH(O$1, '2018_commission_structure'!$A$1:$I$1, 0)), 0)</f>
        <v>37500</v>
      </c>
      <c r="Q193" s="11">
        <f>IF(G193&gt;H193, MIN(G193-H193, I193-H193)*
INDEX('2018_commission_structure'!$A$1:$I$4,
MATCH($D193, '2018_commission_structure'!$A$1:$A$4, 0),
MATCH(P$1, '2018_commission_structure'!$A$1:$I$1, 0)), 0)</f>
        <v>22500</v>
      </c>
      <c r="R193" s="11">
        <f>IF(G193&gt;K193, (G193-K193) *
INDEX('2018_commission_structure'!$A$1:$I$4,
MATCH($D193, '2018_commission_structure'!$A$1:$A$4,0),
MATCH(R$1, '2018_commission_structure'!$A$1:$I$1,0)), 0)</f>
        <v>0</v>
      </c>
      <c r="S193" s="11">
        <f t="shared" si="17"/>
        <v>78750</v>
      </c>
      <c r="T193" s="11" cm="1">
        <f t="array" ref="T193">SUM(E193+O193:Q193)</f>
        <v>215286</v>
      </c>
    </row>
    <row r="194" spans="1:20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 xml:space="preserve"> COUNTIF(deals_closed!D:D,A194)</f>
        <v>16</v>
      </c>
      <c r="G194" s="5">
        <f>SUMIF(deals_closed!D:D, calculations!A194, deals_closed!C:C)</f>
        <v>550598</v>
      </c>
      <c r="H194" s="5">
        <f>VLOOKUP(D194,'2018_commission_structure'!$A$2:$I$4,9,FALSE)</f>
        <v>600000</v>
      </c>
      <c r="I194" s="9">
        <f t="shared" si="12"/>
        <v>750000</v>
      </c>
      <c r="J194" s="8">
        <f t="shared" si="13"/>
        <v>900000</v>
      </c>
      <c r="K194" s="9">
        <f t="shared" si="14"/>
        <v>1200000</v>
      </c>
      <c r="L194" s="10">
        <f t="shared" si="15"/>
        <v>0.91766333333333339</v>
      </c>
      <c r="M194" t="str">
        <f t="shared" si="16"/>
        <v>0-100%</v>
      </c>
      <c r="N194" s="9">
        <f>MIN(H194, G194)*INDEX('2018_commission_structure'!$A$1:$I$4,
MATCH($D194, '2018_commission_structure'!$A$1:$A$4,0),
MATCH(N$1, '2018_commission_structure'!$A$1:$I$1,0))</f>
        <v>71577.740000000005</v>
      </c>
      <c r="O194" s="11">
        <f>IF(G194&gt;H194, MIN(G194-H194, I194-H194)*
INDEX('2018_commission_structure'!$A$1:$I$4,
MATCH($D194, '2018_commission_structure'!$A$1:$A$4, 0),
MATCH(O$1, '2018_commission_structure'!$A$1:$I$1, 0)), 0)</f>
        <v>0</v>
      </c>
      <c r="P194" s="11">
        <f>IF(G194&gt;H194, MIN(G194-H194, J194-H194)*
INDEX('2018_commission_structure'!$A$1:$I$4,
MATCH($D194, '2018_commission_structure'!$A$1:$A$4, 0),
MATCH(O$1, '2018_commission_structure'!$A$1:$I$1, 0)), 0)</f>
        <v>0</v>
      </c>
      <c r="Q194" s="11">
        <f>IF(G194&gt;H194, MIN(G194-H194, I194-H194)*
INDEX('2018_commission_structure'!$A$1:$I$4,
MATCH($D194, '2018_commission_structure'!$A$1:$A$4, 0),
MATCH(P$1, '2018_commission_structure'!$A$1:$I$1, 0)), 0)</f>
        <v>0</v>
      </c>
      <c r="R194" s="11">
        <f>IF(G194&gt;K194, (G194-K194) *
INDEX('2018_commission_structure'!$A$1:$I$4,
MATCH($D194, '2018_commission_structure'!$A$1:$A$4,0),
MATCH(R$1, '2018_commission_structure'!$A$1:$I$1,0)), 0)</f>
        <v>0</v>
      </c>
      <c r="S194" s="11">
        <f t="shared" si="17"/>
        <v>0</v>
      </c>
      <c r="T194" s="11" cm="1">
        <f t="array" ref="T194">SUM(E194+O194:Q194)</f>
        <v>200688</v>
      </c>
    </row>
    <row r="195" spans="1:20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 xml:space="preserve"> COUNTIF(deals_closed!D:D,A195)</f>
        <v>22</v>
      </c>
      <c r="G195" s="5">
        <f>SUMIF(deals_closed!D:D, calculations!A195, deals_closed!C:C)</f>
        <v>776116</v>
      </c>
      <c r="H195" s="5">
        <f>VLOOKUP(D195,'2018_commission_structure'!$A$2:$I$4,9,FALSE)</f>
        <v>750000</v>
      </c>
      <c r="I195" s="9">
        <f t="shared" ref="I195:I258" si="18">H195*1.25</f>
        <v>937500</v>
      </c>
      <c r="J195" s="8">
        <f t="shared" ref="J195:J258" si="19">H195*1.5</f>
        <v>1125000</v>
      </c>
      <c r="K195" s="9">
        <f t="shared" ref="K195:K258" si="20">H195*2</f>
        <v>1500000</v>
      </c>
      <c r="L195" s="10">
        <f t="shared" ref="L195:L258" si="21">G195/H195</f>
        <v>1.0348213333333334</v>
      </c>
      <c r="M195" t="str">
        <f t="shared" ref="M195:M258" si="22">IF(L195&lt;=1, "0-100%",
IF(L195&lt;=1.25, "100-125%",
IF(L195&lt;=1.5, "125-150%",
IF(L195&lt;2, "150-200%", "&gt;200%"))))</f>
        <v>100-125%</v>
      </c>
      <c r="N195" s="9">
        <f>MIN(H195, G195)*INDEX('2018_commission_structure'!$A$1:$I$4,
MATCH($D195, '2018_commission_structure'!$A$1:$A$4,0),
MATCH(N$1, '2018_commission_structure'!$A$1:$I$1,0))</f>
        <v>112500</v>
      </c>
      <c r="O195" s="11">
        <f>IF(G195&gt;H195, MIN(G195-H195, I195-H195)*
INDEX('2018_commission_structure'!$A$1:$I$4,
MATCH($D195, '2018_commission_structure'!$A$1:$A$4, 0),
MATCH(O$1, '2018_commission_structure'!$A$1:$I$1, 0)), 0)</f>
        <v>4962.04</v>
      </c>
      <c r="P195" s="11">
        <f>IF(G195&gt;H195, MIN(G195-H195, J195-H195)*
INDEX('2018_commission_structure'!$A$1:$I$4,
MATCH($D195, '2018_commission_structure'!$A$1:$A$4, 0),
MATCH(O$1, '2018_commission_structure'!$A$1:$I$1, 0)), 0)</f>
        <v>4962.04</v>
      </c>
      <c r="Q195" s="11">
        <f>IF(G195&gt;H195, MIN(G195-H195, I195-H195)*
INDEX('2018_commission_structure'!$A$1:$I$4,
MATCH($D195, '2018_commission_structure'!$A$1:$A$4, 0),
MATCH(P$1, '2018_commission_structure'!$A$1:$I$1, 0)), 0)</f>
        <v>6006.68</v>
      </c>
      <c r="R195" s="11">
        <f>IF(G195&gt;K195, (G195-K195) *
INDEX('2018_commission_structure'!$A$1:$I$4,
MATCH($D195, '2018_commission_structure'!$A$1:$A$4,0),
MATCH(R$1, '2018_commission_structure'!$A$1:$I$1,0)), 0)</f>
        <v>0</v>
      </c>
      <c r="S195" s="11">
        <f t="shared" ref="S195:S258" si="23">SUM(O195:Q195)</f>
        <v>15930.76</v>
      </c>
      <c r="T195" s="11" cm="1">
        <f t="array" ref="T195">SUM(E195+O195:Q195)</f>
        <v>256059.75999999998</v>
      </c>
    </row>
    <row r="196" spans="1:20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 xml:space="preserve"> COUNTIF(deals_closed!D:D,A196)</f>
        <v>21</v>
      </c>
      <c r="G196" s="5">
        <f>SUMIF(deals_closed!D:D, calculations!A196, deals_closed!C:C)</f>
        <v>808131</v>
      </c>
      <c r="H196" s="5">
        <f>VLOOKUP(D196,'2018_commission_structure'!$A$2:$I$4,9,FALSE)</f>
        <v>600000</v>
      </c>
      <c r="I196" s="9">
        <f t="shared" si="18"/>
        <v>750000</v>
      </c>
      <c r="J196" s="8">
        <f t="shared" si="19"/>
        <v>900000</v>
      </c>
      <c r="K196" s="9">
        <f t="shared" si="20"/>
        <v>1200000</v>
      </c>
      <c r="L196" s="10">
        <f t="shared" si="21"/>
        <v>1.3468850000000001</v>
      </c>
      <c r="M196" t="str">
        <f t="shared" si="22"/>
        <v>125-150%</v>
      </c>
      <c r="N196" s="9">
        <f>MIN(H196, G196)*INDEX('2018_commission_structure'!$A$1:$I$4,
MATCH($D196, '2018_commission_structure'!$A$1:$A$4,0),
MATCH(N$1, '2018_commission_structure'!$A$1:$I$1,0))</f>
        <v>78000</v>
      </c>
      <c r="O196" s="11">
        <f>IF(G196&gt;H196, MIN(G196-H196, I196-H196)*
INDEX('2018_commission_structure'!$A$1:$I$4,
MATCH($D196, '2018_commission_structure'!$A$1:$A$4, 0),
MATCH(O$1, '2018_commission_structure'!$A$1:$I$1, 0)), 0)</f>
        <v>25500.000000000004</v>
      </c>
      <c r="P196" s="11">
        <f>IF(G196&gt;H196, MIN(G196-H196, J196-H196)*
INDEX('2018_commission_structure'!$A$1:$I$4,
MATCH($D196, '2018_commission_structure'!$A$1:$A$4, 0),
MATCH(O$1, '2018_commission_structure'!$A$1:$I$1, 0)), 0)</f>
        <v>35382.270000000004</v>
      </c>
      <c r="Q196" s="11">
        <f>IF(G196&gt;H196, MIN(G196-H196, I196-H196)*
INDEX('2018_commission_structure'!$A$1:$I$4,
MATCH($D196, '2018_commission_structure'!$A$1:$A$4, 0),
MATCH(P$1, '2018_commission_structure'!$A$1:$I$1, 0)), 0)</f>
        <v>31500</v>
      </c>
      <c r="R196" s="11">
        <f>IF(G196&gt;K196, (G196-K196) *
INDEX('2018_commission_structure'!$A$1:$I$4,
MATCH($D196, '2018_commission_structure'!$A$1:$A$4,0),
MATCH(R$1, '2018_commission_structure'!$A$1:$I$1,0)), 0)</f>
        <v>0</v>
      </c>
      <c r="S196" s="11">
        <f t="shared" si="23"/>
        <v>92382.27</v>
      </c>
      <c r="T196" s="11" cm="1">
        <f t="array" ref="T196">SUM(E196+O196:Q196)</f>
        <v>315897.27</v>
      </c>
    </row>
    <row r="197" spans="1:20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 xml:space="preserve"> COUNTIF(deals_closed!D:D,A197)</f>
        <v>21</v>
      </c>
      <c r="G197" s="5">
        <f>SUMIF(deals_closed!D:D, calculations!A197, deals_closed!C:C)</f>
        <v>704311</v>
      </c>
      <c r="H197" s="5">
        <f>VLOOKUP(D197,'2018_commission_structure'!$A$2:$I$4,9,FALSE)</f>
        <v>600000</v>
      </c>
      <c r="I197" s="9">
        <f t="shared" si="18"/>
        <v>750000</v>
      </c>
      <c r="J197" s="8">
        <f t="shared" si="19"/>
        <v>900000</v>
      </c>
      <c r="K197" s="9">
        <f t="shared" si="20"/>
        <v>1200000</v>
      </c>
      <c r="L197" s="10">
        <f t="shared" si="21"/>
        <v>1.1738516666666667</v>
      </c>
      <c r="M197" t="str">
        <f t="shared" si="22"/>
        <v>100-125%</v>
      </c>
      <c r="N197" s="9">
        <f>MIN(H197, G197)*INDEX('2018_commission_structure'!$A$1:$I$4,
MATCH($D197, '2018_commission_structure'!$A$1:$A$4,0),
MATCH(N$1, '2018_commission_structure'!$A$1:$I$1,0))</f>
        <v>78000</v>
      </c>
      <c r="O197" s="11">
        <f>IF(G197&gt;H197, MIN(G197-H197, I197-H197)*
INDEX('2018_commission_structure'!$A$1:$I$4,
MATCH($D197, '2018_commission_structure'!$A$1:$A$4, 0),
MATCH(O$1, '2018_commission_structure'!$A$1:$I$1, 0)), 0)</f>
        <v>17732.870000000003</v>
      </c>
      <c r="P197" s="11">
        <f>IF(G197&gt;H197, MIN(G197-H197, J197-H197)*
INDEX('2018_commission_structure'!$A$1:$I$4,
MATCH($D197, '2018_commission_structure'!$A$1:$A$4, 0),
MATCH(O$1, '2018_commission_structure'!$A$1:$I$1, 0)), 0)</f>
        <v>17732.870000000003</v>
      </c>
      <c r="Q197" s="11">
        <f>IF(G197&gt;H197, MIN(G197-H197, I197-H197)*
INDEX('2018_commission_structure'!$A$1:$I$4,
MATCH($D197, '2018_commission_structure'!$A$1:$A$4, 0),
MATCH(P$1, '2018_commission_structure'!$A$1:$I$1, 0)), 0)</f>
        <v>21905.309999999998</v>
      </c>
      <c r="R197" s="11">
        <f>IF(G197&gt;K197, (G197-K197) *
INDEX('2018_commission_structure'!$A$1:$I$4,
MATCH($D197, '2018_commission_structure'!$A$1:$A$4,0),
MATCH(R$1, '2018_commission_structure'!$A$1:$I$1,0)), 0)</f>
        <v>0</v>
      </c>
      <c r="S197" s="11">
        <f t="shared" si="23"/>
        <v>57371.05</v>
      </c>
      <c r="T197" s="11" cm="1">
        <f t="array" ref="T197">SUM(E197+O197:Q197)</f>
        <v>289790.05</v>
      </c>
    </row>
    <row r="198" spans="1:20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 xml:space="preserve"> COUNTIF(deals_closed!D:D,A198)</f>
        <v>24</v>
      </c>
      <c r="G198" s="5">
        <f>SUMIF(deals_closed!D:D, calculations!A198, deals_closed!C:C)</f>
        <v>895817</v>
      </c>
      <c r="H198" s="5">
        <f>VLOOKUP(D198,'2018_commission_structure'!$A$2:$I$4,9,FALSE)</f>
        <v>500000</v>
      </c>
      <c r="I198" s="9">
        <f t="shared" si="18"/>
        <v>625000</v>
      </c>
      <c r="J198" s="8">
        <f t="shared" si="19"/>
        <v>750000</v>
      </c>
      <c r="K198" s="9">
        <f t="shared" si="20"/>
        <v>1000000</v>
      </c>
      <c r="L198" s="10">
        <f t="shared" si="21"/>
        <v>1.7916339999999999</v>
      </c>
      <c r="M198" t="str">
        <f t="shared" si="22"/>
        <v>150-200%</v>
      </c>
      <c r="N198" s="9">
        <f>MIN(H198, G198)*INDEX('2018_commission_structure'!$A$1:$I$4,
MATCH($D198, '2018_commission_structure'!$A$1:$A$4,0),
MATCH(N$1, '2018_commission_structure'!$A$1:$I$1,0))</f>
        <v>50000</v>
      </c>
      <c r="O198" s="11">
        <f>IF(G198&gt;H198, MIN(G198-H198, I198-H198)*
INDEX('2018_commission_structure'!$A$1:$I$4,
MATCH($D198, '2018_commission_structure'!$A$1:$A$4, 0),
MATCH(O$1, '2018_commission_structure'!$A$1:$I$1, 0)), 0)</f>
        <v>18750</v>
      </c>
      <c r="P198" s="11">
        <f>IF(G198&gt;H198, MIN(G198-H198, J198-H198)*
INDEX('2018_commission_structure'!$A$1:$I$4,
MATCH($D198, '2018_commission_structure'!$A$1:$A$4, 0),
MATCH(O$1, '2018_commission_structure'!$A$1:$I$1, 0)), 0)</f>
        <v>37500</v>
      </c>
      <c r="Q198" s="11">
        <f>IF(G198&gt;H198, MIN(G198-H198, I198-H198)*
INDEX('2018_commission_structure'!$A$1:$I$4,
MATCH($D198, '2018_commission_structure'!$A$1:$A$4, 0),
MATCH(P$1, '2018_commission_structure'!$A$1:$I$1, 0)), 0)</f>
        <v>22500</v>
      </c>
      <c r="R198" s="11">
        <f>IF(G198&gt;K198, (G198-K198) *
INDEX('2018_commission_structure'!$A$1:$I$4,
MATCH($D198, '2018_commission_structure'!$A$1:$A$4,0),
MATCH(R$1, '2018_commission_structure'!$A$1:$I$1,0)), 0)</f>
        <v>0</v>
      </c>
      <c r="S198" s="11">
        <f t="shared" si="23"/>
        <v>78750</v>
      </c>
      <c r="T198" s="11" cm="1">
        <f t="array" ref="T198">SUM(E198+O198:Q198)</f>
        <v>231270</v>
      </c>
    </row>
    <row r="199" spans="1:20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 xml:space="preserve"> COUNTIF(deals_closed!D:D,A199)</f>
        <v>17</v>
      </c>
      <c r="G199" s="5">
        <f>SUMIF(deals_closed!D:D, calculations!A199, deals_closed!C:C)</f>
        <v>596801</v>
      </c>
      <c r="H199" s="5">
        <f>VLOOKUP(D199,'2018_commission_structure'!$A$2:$I$4,9,FALSE)</f>
        <v>500000</v>
      </c>
      <c r="I199" s="9">
        <f t="shared" si="18"/>
        <v>625000</v>
      </c>
      <c r="J199" s="8">
        <f t="shared" si="19"/>
        <v>750000</v>
      </c>
      <c r="K199" s="9">
        <f t="shared" si="20"/>
        <v>1000000</v>
      </c>
      <c r="L199" s="10">
        <f t="shared" si="21"/>
        <v>1.1936020000000001</v>
      </c>
      <c r="M199" t="str">
        <f t="shared" si="22"/>
        <v>100-125%</v>
      </c>
      <c r="N199" s="9">
        <f>MIN(H199, G199)*INDEX('2018_commission_structure'!$A$1:$I$4,
MATCH($D199, '2018_commission_structure'!$A$1:$A$4,0),
MATCH(N$1, '2018_commission_structure'!$A$1:$I$1,0))</f>
        <v>50000</v>
      </c>
      <c r="O199" s="11">
        <f>IF(G199&gt;H199, MIN(G199-H199, I199-H199)*
INDEX('2018_commission_structure'!$A$1:$I$4,
MATCH($D199, '2018_commission_structure'!$A$1:$A$4, 0),
MATCH(O$1, '2018_commission_structure'!$A$1:$I$1, 0)), 0)</f>
        <v>14520.15</v>
      </c>
      <c r="P199" s="11">
        <f>IF(G199&gt;H199, MIN(G199-H199, J199-H199)*
INDEX('2018_commission_structure'!$A$1:$I$4,
MATCH($D199, '2018_commission_structure'!$A$1:$A$4, 0),
MATCH(O$1, '2018_commission_structure'!$A$1:$I$1, 0)), 0)</f>
        <v>14520.15</v>
      </c>
      <c r="Q199" s="11">
        <f>IF(G199&gt;H199, MIN(G199-H199, I199-H199)*
INDEX('2018_commission_structure'!$A$1:$I$4,
MATCH($D199, '2018_commission_structure'!$A$1:$A$4, 0),
MATCH(P$1, '2018_commission_structure'!$A$1:$I$1, 0)), 0)</f>
        <v>17424.18</v>
      </c>
      <c r="R199" s="11">
        <f>IF(G199&gt;K199, (G199-K199) *
INDEX('2018_commission_structure'!$A$1:$I$4,
MATCH($D199, '2018_commission_structure'!$A$1:$A$4,0),
MATCH(R$1, '2018_commission_structure'!$A$1:$I$1,0)), 0)</f>
        <v>0</v>
      </c>
      <c r="S199" s="11">
        <f t="shared" si="23"/>
        <v>46464.479999999996</v>
      </c>
      <c r="T199" s="11" cm="1">
        <f t="array" ref="T199">SUM(E199+O199:Q199)</f>
        <v>204216.47999999998</v>
      </c>
    </row>
    <row r="200" spans="1:20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 xml:space="preserve"> COUNTIF(deals_closed!D:D,A200)</f>
        <v>23</v>
      </c>
      <c r="G200" s="5">
        <f>SUMIF(deals_closed!D:D, calculations!A200, deals_closed!C:C)</f>
        <v>868613</v>
      </c>
      <c r="H200" s="5">
        <f>VLOOKUP(D200,'2018_commission_structure'!$A$2:$I$4,9,FALSE)</f>
        <v>600000</v>
      </c>
      <c r="I200" s="9">
        <f t="shared" si="18"/>
        <v>750000</v>
      </c>
      <c r="J200" s="8">
        <f t="shared" si="19"/>
        <v>900000</v>
      </c>
      <c r="K200" s="9">
        <f t="shared" si="20"/>
        <v>1200000</v>
      </c>
      <c r="L200" s="10">
        <f t="shared" si="21"/>
        <v>1.4476883333333332</v>
      </c>
      <c r="M200" t="str">
        <f t="shared" si="22"/>
        <v>125-150%</v>
      </c>
      <c r="N200" s="9">
        <f>MIN(H200, G200)*INDEX('2018_commission_structure'!$A$1:$I$4,
MATCH($D200, '2018_commission_structure'!$A$1:$A$4,0),
MATCH(N$1, '2018_commission_structure'!$A$1:$I$1,0))</f>
        <v>78000</v>
      </c>
      <c r="O200" s="11">
        <f>IF(G200&gt;H200, MIN(G200-H200, I200-H200)*
INDEX('2018_commission_structure'!$A$1:$I$4,
MATCH($D200, '2018_commission_structure'!$A$1:$A$4, 0),
MATCH(O$1, '2018_commission_structure'!$A$1:$I$1, 0)), 0)</f>
        <v>25500.000000000004</v>
      </c>
      <c r="P200" s="11">
        <f>IF(G200&gt;H200, MIN(G200-H200, J200-H200)*
INDEX('2018_commission_structure'!$A$1:$I$4,
MATCH($D200, '2018_commission_structure'!$A$1:$A$4, 0),
MATCH(O$1, '2018_commission_structure'!$A$1:$I$1, 0)), 0)</f>
        <v>45664.210000000006</v>
      </c>
      <c r="Q200" s="11">
        <f>IF(G200&gt;H200, MIN(G200-H200, I200-H200)*
INDEX('2018_commission_structure'!$A$1:$I$4,
MATCH($D200, '2018_commission_structure'!$A$1:$A$4, 0),
MATCH(P$1, '2018_commission_structure'!$A$1:$I$1, 0)), 0)</f>
        <v>31500</v>
      </c>
      <c r="R200" s="11">
        <f>IF(G200&gt;K200, (G200-K200) *
INDEX('2018_commission_structure'!$A$1:$I$4,
MATCH($D200, '2018_commission_structure'!$A$1:$A$4,0),
MATCH(R$1, '2018_commission_structure'!$A$1:$I$1,0)), 0)</f>
        <v>0</v>
      </c>
      <c r="S200" s="11">
        <f t="shared" si="23"/>
        <v>102664.21</v>
      </c>
      <c r="T200" s="11" cm="1">
        <f t="array" ref="T200">SUM(E200+O200:Q200)</f>
        <v>270409.21000000002</v>
      </c>
    </row>
    <row r="201" spans="1:20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 xml:space="preserve"> COUNTIF(deals_closed!D:D,A201)</f>
        <v>22</v>
      </c>
      <c r="G201" s="5">
        <f>SUMIF(deals_closed!D:D, calculations!A201, deals_closed!C:C)</f>
        <v>810883</v>
      </c>
      <c r="H201" s="5">
        <f>VLOOKUP(D201,'2018_commission_structure'!$A$2:$I$4,9,FALSE)</f>
        <v>500000</v>
      </c>
      <c r="I201" s="9">
        <f t="shared" si="18"/>
        <v>625000</v>
      </c>
      <c r="J201" s="8">
        <f t="shared" si="19"/>
        <v>750000</v>
      </c>
      <c r="K201" s="9">
        <f t="shared" si="20"/>
        <v>1000000</v>
      </c>
      <c r="L201" s="10">
        <f t="shared" si="21"/>
        <v>1.621766</v>
      </c>
      <c r="M201" t="str">
        <f t="shared" si="22"/>
        <v>150-200%</v>
      </c>
      <c r="N201" s="9">
        <f>MIN(H201, G201)*INDEX('2018_commission_structure'!$A$1:$I$4,
MATCH($D201, '2018_commission_structure'!$A$1:$A$4,0),
MATCH(N$1, '2018_commission_structure'!$A$1:$I$1,0))</f>
        <v>50000</v>
      </c>
      <c r="O201" s="11">
        <f>IF(G201&gt;H201, MIN(G201-H201, I201-H201)*
INDEX('2018_commission_structure'!$A$1:$I$4,
MATCH($D201, '2018_commission_structure'!$A$1:$A$4, 0),
MATCH(O$1, '2018_commission_structure'!$A$1:$I$1, 0)), 0)</f>
        <v>18750</v>
      </c>
      <c r="P201" s="11">
        <f>IF(G201&gt;H201, MIN(G201-H201, J201-H201)*
INDEX('2018_commission_structure'!$A$1:$I$4,
MATCH($D201, '2018_commission_structure'!$A$1:$A$4, 0),
MATCH(O$1, '2018_commission_structure'!$A$1:$I$1, 0)), 0)</f>
        <v>37500</v>
      </c>
      <c r="Q201" s="11">
        <f>IF(G201&gt;H201, MIN(G201-H201, I201-H201)*
INDEX('2018_commission_structure'!$A$1:$I$4,
MATCH($D201, '2018_commission_structure'!$A$1:$A$4, 0),
MATCH(P$1, '2018_commission_structure'!$A$1:$I$1, 0)), 0)</f>
        <v>22500</v>
      </c>
      <c r="R201" s="11">
        <f>IF(G201&gt;K201, (G201-K201) *
INDEX('2018_commission_structure'!$A$1:$I$4,
MATCH($D201, '2018_commission_structure'!$A$1:$A$4,0),
MATCH(R$1, '2018_commission_structure'!$A$1:$I$1,0)), 0)</f>
        <v>0</v>
      </c>
      <c r="S201" s="11">
        <f t="shared" si="23"/>
        <v>78750</v>
      </c>
      <c r="T201" s="11" cm="1">
        <f t="array" ref="T201">SUM(E201+O201:Q201)</f>
        <v>191763</v>
      </c>
    </row>
    <row r="202" spans="1:20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 xml:space="preserve"> COUNTIF(deals_closed!D:D,A202)</f>
        <v>32</v>
      </c>
      <c r="G202" s="5">
        <f>SUMIF(deals_closed!D:D, calculations!A202, deals_closed!C:C)</f>
        <v>1116037</v>
      </c>
      <c r="H202" s="5">
        <f>VLOOKUP(D202,'2018_commission_structure'!$A$2:$I$4,9,FALSE)</f>
        <v>750000</v>
      </c>
      <c r="I202" s="9">
        <f t="shared" si="18"/>
        <v>937500</v>
      </c>
      <c r="J202" s="8">
        <f t="shared" si="19"/>
        <v>1125000</v>
      </c>
      <c r="K202" s="9">
        <f t="shared" si="20"/>
        <v>1500000</v>
      </c>
      <c r="L202" s="10">
        <f t="shared" si="21"/>
        <v>1.4880493333333333</v>
      </c>
      <c r="M202" t="str">
        <f t="shared" si="22"/>
        <v>125-150%</v>
      </c>
      <c r="N202" s="9">
        <f>MIN(H202, G202)*INDEX('2018_commission_structure'!$A$1:$I$4,
MATCH($D202, '2018_commission_structure'!$A$1:$A$4,0),
MATCH(N$1, '2018_commission_structure'!$A$1:$I$1,0))</f>
        <v>112500</v>
      </c>
      <c r="O202" s="11">
        <f>IF(G202&gt;H202, MIN(G202-H202, I202-H202)*
INDEX('2018_commission_structure'!$A$1:$I$4,
MATCH($D202, '2018_commission_structure'!$A$1:$A$4, 0),
MATCH(O$1, '2018_commission_structure'!$A$1:$I$1, 0)), 0)</f>
        <v>35625</v>
      </c>
      <c r="P202" s="11">
        <f>IF(G202&gt;H202, MIN(G202-H202, J202-H202)*
INDEX('2018_commission_structure'!$A$1:$I$4,
MATCH($D202, '2018_commission_structure'!$A$1:$A$4, 0),
MATCH(O$1, '2018_commission_structure'!$A$1:$I$1, 0)), 0)</f>
        <v>69547.03</v>
      </c>
      <c r="Q202" s="11">
        <f>IF(G202&gt;H202, MIN(G202-H202, I202-H202)*
INDEX('2018_commission_structure'!$A$1:$I$4,
MATCH($D202, '2018_commission_structure'!$A$1:$A$4, 0),
MATCH(P$1, '2018_commission_structure'!$A$1:$I$1, 0)), 0)</f>
        <v>43125</v>
      </c>
      <c r="R202" s="11">
        <f>IF(G202&gt;K202, (G202-K202) *
INDEX('2018_commission_structure'!$A$1:$I$4,
MATCH($D202, '2018_commission_structure'!$A$1:$A$4,0),
MATCH(R$1, '2018_commission_structure'!$A$1:$I$1,0)), 0)</f>
        <v>0</v>
      </c>
      <c r="S202" s="11">
        <f t="shared" si="23"/>
        <v>148297.03</v>
      </c>
      <c r="T202" s="11" cm="1">
        <f t="array" ref="T202">SUM(E202+O202:Q202)</f>
        <v>440701.03</v>
      </c>
    </row>
    <row r="203" spans="1:20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 xml:space="preserve"> COUNTIF(deals_closed!D:D,A203)</f>
        <v>16</v>
      </c>
      <c r="G203" s="5">
        <f>SUMIF(deals_closed!D:D, calculations!A203, deals_closed!C:C)</f>
        <v>511004</v>
      </c>
      <c r="H203" s="5">
        <f>VLOOKUP(D203,'2018_commission_structure'!$A$2:$I$4,9,FALSE)</f>
        <v>750000</v>
      </c>
      <c r="I203" s="9">
        <f t="shared" si="18"/>
        <v>937500</v>
      </c>
      <c r="J203" s="8">
        <f t="shared" si="19"/>
        <v>1125000</v>
      </c>
      <c r="K203" s="9">
        <f t="shared" si="20"/>
        <v>1500000</v>
      </c>
      <c r="L203" s="10">
        <f t="shared" si="21"/>
        <v>0.68133866666666665</v>
      </c>
      <c r="M203" t="str">
        <f t="shared" si="22"/>
        <v>0-100%</v>
      </c>
      <c r="N203" s="9">
        <f>MIN(H203, G203)*INDEX('2018_commission_structure'!$A$1:$I$4,
MATCH($D203, '2018_commission_structure'!$A$1:$A$4,0),
MATCH(N$1, '2018_commission_structure'!$A$1:$I$1,0))</f>
        <v>76650.599999999991</v>
      </c>
      <c r="O203" s="11">
        <f>IF(G203&gt;H203, MIN(G203-H203, I203-H203)*
INDEX('2018_commission_structure'!$A$1:$I$4,
MATCH($D203, '2018_commission_structure'!$A$1:$A$4, 0),
MATCH(O$1, '2018_commission_structure'!$A$1:$I$1, 0)), 0)</f>
        <v>0</v>
      </c>
      <c r="P203" s="11">
        <f>IF(G203&gt;H203, MIN(G203-H203, J203-H203)*
INDEX('2018_commission_structure'!$A$1:$I$4,
MATCH($D203, '2018_commission_structure'!$A$1:$A$4, 0),
MATCH(O$1, '2018_commission_structure'!$A$1:$I$1, 0)), 0)</f>
        <v>0</v>
      </c>
      <c r="Q203" s="11">
        <f>IF(G203&gt;H203, MIN(G203-H203, I203-H203)*
INDEX('2018_commission_structure'!$A$1:$I$4,
MATCH($D203, '2018_commission_structure'!$A$1:$A$4, 0),
MATCH(P$1, '2018_commission_structure'!$A$1:$I$1, 0)), 0)</f>
        <v>0</v>
      </c>
      <c r="R203" s="11">
        <f>IF(G203&gt;K203, (G203-K203) *
INDEX('2018_commission_structure'!$A$1:$I$4,
MATCH($D203, '2018_commission_structure'!$A$1:$A$4,0),
MATCH(R$1, '2018_commission_structure'!$A$1:$I$1,0)), 0)</f>
        <v>0</v>
      </c>
      <c r="S203" s="11">
        <f t="shared" si="23"/>
        <v>0</v>
      </c>
      <c r="T203" s="11" cm="1">
        <f t="array" ref="T203">SUM(E203+O203:Q203)</f>
        <v>359802</v>
      </c>
    </row>
    <row r="204" spans="1:20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 xml:space="preserve"> COUNTIF(deals_closed!D:D,A204)</f>
        <v>13</v>
      </c>
      <c r="G204" s="5">
        <f>SUMIF(deals_closed!D:D, calculations!A204, deals_closed!C:C)</f>
        <v>577150</v>
      </c>
      <c r="H204" s="5">
        <f>VLOOKUP(D204,'2018_commission_structure'!$A$2:$I$4,9,FALSE)</f>
        <v>500000</v>
      </c>
      <c r="I204" s="9">
        <f t="shared" si="18"/>
        <v>625000</v>
      </c>
      <c r="J204" s="8">
        <f t="shared" si="19"/>
        <v>750000</v>
      </c>
      <c r="K204" s="9">
        <f t="shared" si="20"/>
        <v>1000000</v>
      </c>
      <c r="L204" s="10">
        <f t="shared" si="21"/>
        <v>1.1543000000000001</v>
      </c>
      <c r="M204" t="str">
        <f t="shared" si="22"/>
        <v>100-125%</v>
      </c>
      <c r="N204" s="9">
        <f>MIN(H204, G204)*INDEX('2018_commission_structure'!$A$1:$I$4,
MATCH($D204, '2018_commission_structure'!$A$1:$A$4,0),
MATCH(N$1, '2018_commission_structure'!$A$1:$I$1,0))</f>
        <v>50000</v>
      </c>
      <c r="O204" s="11">
        <f>IF(G204&gt;H204, MIN(G204-H204, I204-H204)*
INDEX('2018_commission_structure'!$A$1:$I$4,
MATCH($D204, '2018_commission_structure'!$A$1:$A$4, 0),
MATCH(O$1, '2018_commission_structure'!$A$1:$I$1, 0)), 0)</f>
        <v>11572.5</v>
      </c>
      <c r="P204" s="11">
        <f>IF(G204&gt;H204, MIN(G204-H204, J204-H204)*
INDEX('2018_commission_structure'!$A$1:$I$4,
MATCH($D204, '2018_commission_structure'!$A$1:$A$4, 0),
MATCH(O$1, '2018_commission_structure'!$A$1:$I$1, 0)), 0)</f>
        <v>11572.5</v>
      </c>
      <c r="Q204" s="11">
        <f>IF(G204&gt;H204, MIN(G204-H204, I204-H204)*
INDEX('2018_commission_structure'!$A$1:$I$4,
MATCH($D204, '2018_commission_structure'!$A$1:$A$4, 0),
MATCH(P$1, '2018_commission_structure'!$A$1:$I$1, 0)), 0)</f>
        <v>13887</v>
      </c>
      <c r="R204" s="11">
        <f>IF(G204&gt;K204, (G204-K204) *
INDEX('2018_commission_structure'!$A$1:$I$4,
MATCH($D204, '2018_commission_structure'!$A$1:$A$4,0),
MATCH(R$1, '2018_commission_structure'!$A$1:$I$1,0)), 0)</f>
        <v>0</v>
      </c>
      <c r="S204" s="11">
        <f t="shared" si="23"/>
        <v>37032</v>
      </c>
      <c r="T204" s="11" cm="1">
        <f t="array" ref="T204">SUM(E204+O204:Q204)</f>
        <v>230925</v>
      </c>
    </row>
    <row r="205" spans="1:20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 xml:space="preserve"> COUNTIF(deals_closed!D:D,A205)</f>
        <v>32</v>
      </c>
      <c r="G205" s="5">
        <f>SUMIF(deals_closed!D:D, calculations!A205, deals_closed!C:C)</f>
        <v>1012954</v>
      </c>
      <c r="H205" s="5">
        <f>VLOOKUP(D205,'2018_commission_structure'!$A$2:$I$4,9,FALSE)</f>
        <v>600000</v>
      </c>
      <c r="I205" s="9">
        <f t="shared" si="18"/>
        <v>750000</v>
      </c>
      <c r="J205" s="8">
        <f t="shared" si="19"/>
        <v>900000</v>
      </c>
      <c r="K205" s="9">
        <f t="shared" si="20"/>
        <v>1200000</v>
      </c>
      <c r="L205" s="10">
        <f t="shared" si="21"/>
        <v>1.6882566666666667</v>
      </c>
      <c r="M205" t="str">
        <f t="shared" si="22"/>
        <v>150-200%</v>
      </c>
      <c r="N205" s="9">
        <f>MIN(H205, G205)*INDEX('2018_commission_structure'!$A$1:$I$4,
MATCH($D205, '2018_commission_structure'!$A$1:$A$4,0),
MATCH(N$1, '2018_commission_structure'!$A$1:$I$1,0))</f>
        <v>78000</v>
      </c>
      <c r="O205" s="11">
        <f>IF(G205&gt;H205, MIN(G205-H205, I205-H205)*
INDEX('2018_commission_structure'!$A$1:$I$4,
MATCH($D205, '2018_commission_structure'!$A$1:$A$4, 0),
MATCH(O$1, '2018_commission_structure'!$A$1:$I$1, 0)), 0)</f>
        <v>25500.000000000004</v>
      </c>
      <c r="P205" s="11">
        <f>IF(G205&gt;H205, MIN(G205-H205, J205-H205)*
INDEX('2018_commission_structure'!$A$1:$I$4,
MATCH($D205, '2018_commission_structure'!$A$1:$A$4, 0),
MATCH(O$1, '2018_commission_structure'!$A$1:$I$1, 0)), 0)</f>
        <v>51000.000000000007</v>
      </c>
      <c r="Q205" s="11">
        <f>IF(G205&gt;H205, MIN(G205-H205, I205-H205)*
INDEX('2018_commission_structure'!$A$1:$I$4,
MATCH($D205, '2018_commission_structure'!$A$1:$A$4, 0),
MATCH(P$1, '2018_commission_structure'!$A$1:$I$1, 0)), 0)</f>
        <v>31500</v>
      </c>
      <c r="R205" s="11">
        <f>IF(G205&gt;K205, (G205-K205) *
INDEX('2018_commission_structure'!$A$1:$I$4,
MATCH($D205, '2018_commission_structure'!$A$1:$A$4,0),
MATCH(R$1, '2018_commission_structure'!$A$1:$I$1,0)), 0)</f>
        <v>0</v>
      </c>
      <c r="S205" s="11">
        <f t="shared" si="23"/>
        <v>108000.00000000001</v>
      </c>
      <c r="T205" s="11" cm="1">
        <f t="array" ref="T205">SUM(E205+O205:Q205)</f>
        <v>270174</v>
      </c>
    </row>
    <row r="206" spans="1:20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 xml:space="preserve"> COUNTIF(deals_closed!D:D,A206)</f>
        <v>22</v>
      </c>
      <c r="G206" s="5">
        <f>SUMIF(deals_closed!D:D, calculations!A206, deals_closed!C:C)</f>
        <v>751994</v>
      </c>
      <c r="H206" s="5">
        <f>VLOOKUP(D206,'2018_commission_structure'!$A$2:$I$4,9,FALSE)</f>
        <v>600000</v>
      </c>
      <c r="I206" s="9">
        <f t="shared" si="18"/>
        <v>750000</v>
      </c>
      <c r="J206" s="8">
        <f t="shared" si="19"/>
        <v>900000</v>
      </c>
      <c r="K206" s="9">
        <f t="shared" si="20"/>
        <v>1200000</v>
      </c>
      <c r="L206" s="10">
        <f t="shared" si="21"/>
        <v>1.2533233333333333</v>
      </c>
      <c r="M206" t="str">
        <f t="shared" si="22"/>
        <v>125-150%</v>
      </c>
      <c r="N206" s="9">
        <f>MIN(H206, G206)*INDEX('2018_commission_structure'!$A$1:$I$4,
MATCH($D206, '2018_commission_structure'!$A$1:$A$4,0),
MATCH(N$1, '2018_commission_structure'!$A$1:$I$1,0))</f>
        <v>78000</v>
      </c>
      <c r="O206" s="11">
        <f>IF(G206&gt;H206, MIN(G206-H206, I206-H206)*
INDEX('2018_commission_structure'!$A$1:$I$4,
MATCH($D206, '2018_commission_structure'!$A$1:$A$4, 0),
MATCH(O$1, '2018_commission_structure'!$A$1:$I$1, 0)), 0)</f>
        <v>25500.000000000004</v>
      </c>
      <c r="P206" s="11">
        <f>IF(G206&gt;H206, MIN(G206-H206, J206-H206)*
INDEX('2018_commission_structure'!$A$1:$I$4,
MATCH($D206, '2018_commission_structure'!$A$1:$A$4, 0),
MATCH(O$1, '2018_commission_structure'!$A$1:$I$1, 0)), 0)</f>
        <v>25838.980000000003</v>
      </c>
      <c r="Q206" s="11">
        <f>IF(G206&gt;H206, MIN(G206-H206, I206-H206)*
INDEX('2018_commission_structure'!$A$1:$I$4,
MATCH($D206, '2018_commission_structure'!$A$1:$A$4, 0),
MATCH(P$1, '2018_commission_structure'!$A$1:$I$1, 0)), 0)</f>
        <v>31500</v>
      </c>
      <c r="R206" s="11">
        <f>IF(G206&gt;K206, (G206-K206) *
INDEX('2018_commission_structure'!$A$1:$I$4,
MATCH($D206, '2018_commission_structure'!$A$1:$A$4,0),
MATCH(R$1, '2018_commission_structure'!$A$1:$I$1,0)), 0)</f>
        <v>0</v>
      </c>
      <c r="S206" s="11">
        <f t="shared" si="23"/>
        <v>82838.98000000001</v>
      </c>
      <c r="T206" s="11" cm="1">
        <f t="array" ref="T206">SUM(E206+O206:Q206)</f>
        <v>245744.98</v>
      </c>
    </row>
    <row r="207" spans="1:20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 xml:space="preserve"> COUNTIF(deals_closed!D:D,A207)</f>
        <v>24</v>
      </c>
      <c r="G207" s="5">
        <f>SUMIF(deals_closed!D:D, calculations!A207, deals_closed!C:C)</f>
        <v>898865</v>
      </c>
      <c r="H207" s="5">
        <f>VLOOKUP(D207,'2018_commission_structure'!$A$2:$I$4,9,FALSE)</f>
        <v>500000</v>
      </c>
      <c r="I207" s="9">
        <f t="shared" si="18"/>
        <v>625000</v>
      </c>
      <c r="J207" s="8">
        <f t="shared" si="19"/>
        <v>750000</v>
      </c>
      <c r="K207" s="9">
        <f t="shared" si="20"/>
        <v>1000000</v>
      </c>
      <c r="L207" s="10">
        <f t="shared" si="21"/>
        <v>1.7977300000000001</v>
      </c>
      <c r="M207" t="str">
        <f t="shared" si="22"/>
        <v>150-200%</v>
      </c>
      <c r="N207" s="9">
        <f>MIN(H207, G207)*INDEX('2018_commission_structure'!$A$1:$I$4,
MATCH($D207, '2018_commission_structure'!$A$1:$A$4,0),
MATCH(N$1, '2018_commission_structure'!$A$1:$I$1,0))</f>
        <v>50000</v>
      </c>
      <c r="O207" s="11">
        <f>IF(G207&gt;H207, MIN(G207-H207, I207-H207)*
INDEX('2018_commission_structure'!$A$1:$I$4,
MATCH($D207, '2018_commission_structure'!$A$1:$A$4, 0),
MATCH(O$1, '2018_commission_structure'!$A$1:$I$1, 0)), 0)</f>
        <v>18750</v>
      </c>
      <c r="P207" s="11">
        <f>IF(G207&gt;H207, MIN(G207-H207, J207-H207)*
INDEX('2018_commission_structure'!$A$1:$I$4,
MATCH($D207, '2018_commission_structure'!$A$1:$A$4, 0),
MATCH(O$1, '2018_commission_structure'!$A$1:$I$1, 0)), 0)</f>
        <v>37500</v>
      </c>
      <c r="Q207" s="11">
        <f>IF(G207&gt;H207, MIN(G207-H207, I207-H207)*
INDEX('2018_commission_structure'!$A$1:$I$4,
MATCH($D207, '2018_commission_structure'!$A$1:$A$4, 0),
MATCH(P$1, '2018_commission_structure'!$A$1:$I$1, 0)), 0)</f>
        <v>22500</v>
      </c>
      <c r="R207" s="11">
        <f>IF(G207&gt;K207, (G207-K207) *
INDEX('2018_commission_structure'!$A$1:$I$4,
MATCH($D207, '2018_commission_structure'!$A$1:$A$4,0),
MATCH(R$1, '2018_commission_structure'!$A$1:$I$1,0)), 0)</f>
        <v>0</v>
      </c>
      <c r="S207" s="11">
        <f t="shared" si="23"/>
        <v>78750</v>
      </c>
      <c r="T207" s="11" cm="1">
        <f t="array" ref="T207">SUM(E207+O207:Q207)</f>
        <v>185733</v>
      </c>
    </row>
    <row r="208" spans="1:20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 xml:space="preserve"> COUNTIF(deals_closed!D:D,A208)</f>
        <v>14</v>
      </c>
      <c r="G208" s="5">
        <f>SUMIF(deals_closed!D:D, calculations!A208, deals_closed!C:C)</f>
        <v>433083</v>
      </c>
      <c r="H208" s="5">
        <f>VLOOKUP(D208,'2018_commission_structure'!$A$2:$I$4,9,FALSE)</f>
        <v>500000</v>
      </c>
      <c r="I208" s="9">
        <f t="shared" si="18"/>
        <v>625000</v>
      </c>
      <c r="J208" s="8">
        <f t="shared" si="19"/>
        <v>750000</v>
      </c>
      <c r="K208" s="9">
        <f t="shared" si="20"/>
        <v>1000000</v>
      </c>
      <c r="L208" s="10">
        <f t="shared" si="21"/>
        <v>0.86616599999999999</v>
      </c>
      <c r="M208" t="str">
        <f t="shared" si="22"/>
        <v>0-100%</v>
      </c>
      <c r="N208" s="9">
        <f>MIN(H208, G208)*INDEX('2018_commission_structure'!$A$1:$I$4,
MATCH($D208, '2018_commission_structure'!$A$1:$A$4,0),
MATCH(N$1, '2018_commission_structure'!$A$1:$I$1,0))</f>
        <v>43308.3</v>
      </c>
      <c r="O208" s="11">
        <f>IF(G208&gt;H208, MIN(G208-H208, I208-H208)*
INDEX('2018_commission_structure'!$A$1:$I$4,
MATCH($D208, '2018_commission_structure'!$A$1:$A$4, 0),
MATCH(O$1, '2018_commission_structure'!$A$1:$I$1, 0)), 0)</f>
        <v>0</v>
      </c>
      <c r="P208" s="11">
        <f>IF(G208&gt;H208, MIN(G208-H208, J208-H208)*
INDEX('2018_commission_structure'!$A$1:$I$4,
MATCH($D208, '2018_commission_structure'!$A$1:$A$4, 0),
MATCH(O$1, '2018_commission_structure'!$A$1:$I$1, 0)), 0)</f>
        <v>0</v>
      </c>
      <c r="Q208" s="11">
        <f>IF(G208&gt;H208, MIN(G208-H208, I208-H208)*
INDEX('2018_commission_structure'!$A$1:$I$4,
MATCH($D208, '2018_commission_structure'!$A$1:$A$4, 0),
MATCH(P$1, '2018_commission_structure'!$A$1:$I$1, 0)), 0)</f>
        <v>0</v>
      </c>
      <c r="R208" s="11">
        <f>IF(G208&gt;K208, (G208-K208) *
INDEX('2018_commission_structure'!$A$1:$I$4,
MATCH($D208, '2018_commission_structure'!$A$1:$A$4,0),
MATCH(R$1, '2018_commission_structure'!$A$1:$I$1,0)), 0)</f>
        <v>0</v>
      </c>
      <c r="S208" s="11">
        <f t="shared" si="23"/>
        <v>0</v>
      </c>
      <c r="T208" s="11" cm="1">
        <f t="array" ref="T208">SUM(E208+O208:Q208)</f>
        <v>116754</v>
      </c>
    </row>
    <row r="209" spans="1:20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 xml:space="preserve"> COUNTIF(deals_closed!D:D,A209)</f>
        <v>25</v>
      </c>
      <c r="G209" s="5">
        <f>SUMIF(deals_closed!D:D, calculations!A209, deals_closed!C:C)</f>
        <v>878309</v>
      </c>
      <c r="H209" s="5">
        <f>VLOOKUP(D209,'2018_commission_structure'!$A$2:$I$4,9,FALSE)</f>
        <v>600000</v>
      </c>
      <c r="I209" s="9">
        <f t="shared" si="18"/>
        <v>750000</v>
      </c>
      <c r="J209" s="8">
        <f t="shared" si="19"/>
        <v>900000</v>
      </c>
      <c r="K209" s="9">
        <f t="shared" si="20"/>
        <v>1200000</v>
      </c>
      <c r="L209" s="10">
        <f t="shared" si="21"/>
        <v>1.4638483333333334</v>
      </c>
      <c r="M209" t="str">
        <f t="shared" si="22"/>
        <v>125-150%</v>
      </c>
      <c r="N209" s="9">
        <f>MIN(H209, G209)*INDEX('2018_commission_structure'!$A$1:$I$4,
MATCH($D209, '2018_commission_structure'!$A$1:$A$4,0),
MATCH(N$1, '2018_commission_structure'!$A$1:$I$1,0))</f>
        <v>78000</v>
      </c>
      <c r="O209" s="11">
        <f>IF(G209&gt;H209, MIN(G209-H209, I209-H209)*
INDEX('2018_commission_structure'!$A$1:$I$4,
MATCH($D209, '2018_commission_structure'!$A$1:$A$4, 0),
MATCH(O$1, '2018_commission_structure'!$A$1:$I$1, 0)), 0)</f>
        <v>25500.000000000004</v>
      </c>
      <c r="P209" s="11">
        <f>IF(G209&gt;H209, MIN(G209-H209, J209-H209)*
INDEX('2018_commission_structure'!$A$1:$I$4,
MATCH($D209, '2018_commission_structure'!$A$1:$A$4, 0),
MATCH(O$1, '2018_commission_structure'!$A$1:$I$1, 0)), 0)</f>
        <v>47312.530000000006</v>
      </c>
      <c r="Q209" s="11">
        <f>IF(G209&gt;H209, MIN(G209-H209, I209-H209)*
INDEX('2018_commission_structure'!$A$1:$I$4,
MATCH($D209, '2018_commission_structure'!$A$1:$A$4, 0),
MATCH(P$1, '2018_commission_structure'!$A$1:$I$1, 0)), 0)</f>
        <v>31500</v>
      </c>
      <c r="R209" s="11">
        <f>IF(G209&gt;K209, (G209-K209) *
INDEX('2018_commission_structure'!$A$1:$I$4,
MATCH($D209, '2018_commission_structure'!$A$1:$A$4,0),
MATCH(R$1, '2018_commission_structure'!$A$1:$I$1,0)), 0)</f>
        <v>0</v>
      </c>
      <c r="S209" s="11">
        <f t="shared" si="23"/>
        <v>104312.53000000001</v>
      </c>
      <c r="T209" s="11" cm="1">
        <f t="array" ref="T209">SUM(E209+O209:Q209)</f>
        <v>322127.53000000003</v>
      </c>
    </row>
    <row r="210" spans="1:20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 xml:space="preserve"> COUNTIF(deals_closed!D:D,A210)</f>
        <v>22</v>
      </c>
      <c r="G210" s="5">
        <f>SUMIF(deals_closed!D:D, calculations!A210, deals_closed!C:C)</f>
        <v>783210</v>
      </c>
      <c r="H210" s="5">
        <f>VLOOKUP(D210,'2018_commission_structure'!$A$2:$I$4,9,FALSE)</f>
        <v>600000</v>
      </c>
      <c r="I210" s="9">
        <f t="shared" si="18"/>
        <v>750000</v>
      </c>
      <c r="J210" s="8">
        <f t="shared" si="19"/>
        <v>900000</v>
      </c>
      <c r="K210" s="9">
        <f t="shared" si="20"/>
        <v>1200000</v>
      </c>
      <c r="L210" s="10">
        <f t="shared" si="21"/>
        <v>1.30535</v>
      </c>
      <c r="M210" t="str">
        <f t="shared" si="22"/>
        <v>125-150%</v>
      </c>
      <c r="N210" s="9">
        <f>MIN(H210, G210)*INDEX('2018_commission_structure'!$A$1:$I$4,
MATCH($D210, '2018_commission_structure'!$A$1:$A$4,0),
MATCH(N$1, '2018_commission_structure'!$A$1:$I$1,0))</f>
        <v>78000</v>
      </c>
      <c r="O210" s="11">
        <f>IF(G210&gt;H210, MIN(G210-H210, I210-H210)*
INDEX('2018_commission_structure'!$A$1:$I$4,
MATCH($D210, '2018_commission_structure'!$A$1:$A$4, 0),
MATCH(O$1, '2018_commission_structure'!$A$1:$I$1, 0)), 0)</f>
        <v>25500.000000000004</v>
      </c>
      <c r="P210" s="11">
        <f>IF(G210&gt;H210, MIN(G210-H210, J210-H210)*
INDEX('2018_commission_structure'!$A$1:$I$4,
MATCH($D210, '2018_commission_structure'!$A$1:$A$4, 0),
MATCH(O$1, '2018_commission_structure'!$A$1:$I$1, 0)), 0)</f>
        <v>31145.7</v>
      </c>
      <c r="Q210" s="11">
        <f>IF(G210&gt;H210, MIN(G210-H210, I210-H210)*
INDEX('2018_commission_structure'!$A$1:$I$4,
MATCH($D210, '2018_commission_structure'!$A$1:$A$4, 0),
MATCH(P$1, '2018_commission_structure'!$A$1:$I$1, 0)), 0)</f>
        <v>31500</v>
      </c>
      <c r="R210" s="11">
        <f>IF(G210&gt;K210, (G210-K210) *
INDEX('2018_commission_structure'!$A$1:$I$4,
MATCH($D210, '2018_commission_structure'!$A$1:$A$4,0),
MATCH(R$1, '2018_commission_structure'!$A$1:$I$1,0)), 0)</f>
        <v>0</v>
      </c>
      <c r="S210" s="11">
        <f t="shared" si="23"/>
        <v>88145.700000000012</v>
      </c>
      <c r="T210" s="11" cm="1">
        <f t="array" ref="T210">SUM(E210+O210:Q210)</f>
        <v>297437.7</v>
      </c>
    </row>
    <row r="211" spans="1:20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 xml:space="preserve"> COUNTIF(deals_closed!D:D,A211)</f>
        <v>10</v>
      </c>
      <c r="G211" s="5">
        <f>SUMIF(deals_closed!D:D, calculations!A211, deals_closed!C:C)</f>
        <v>329258</v>
      </c>
      <c r="H211" s="5">
        <f>VLOOKUP(D211,'2018_commission_structure'!$A$2:$I$4,9,FALSE)</f>
        <v>600000</v>
      </c>
      <c r="I211" s="9">
        <f t="shared" si="18"/>
        <v>750000</v>
      </c>
      <c r="J211" s="8">
        <f t="shared" si="19"/>
        <v>900000</v>
      </c>
      <c r="K211" s="9">
        <f t="shared" si="20"/>
        <v>1200000</v>
      </c>
      <c r="L211" s="10">
        <f t="shared" si="21"/>
        <v>0.54876333333333338</v>
      </c>
      <c r="M211" t="str">
        <f t="shared" si="22"/>
        <v>0-100%</v>
      </c>
      <c r="N211" s="9">
        <f>MIN(H211, G211)*INDEX('2018_commission_structure'!$A$1:$I$4,
MATCH($D211, '2018_commission_structure'!$A$1:$A$4,0),
MATCH(N$1, '2018_commission_structure'!$A$1:$I$1,0))</f>
        <v>42803.54</v>
      </c>
      <c r="O211" s="11">
        <f>IF(G211&gt;H211, MIN(G211-H211, I211-H211)*
INDEX('2018_commission_structure'!$A$1:$I$4,
MATCH($D211, '2018_commission_structure'!$A$1:$A$4, 0),
MATCH(O$1, '2018_commission_structure'!$A$1:$I$1, 0)), 0)</f>
        <v>0</v>
      </c>
      <c r="P211" s="11">
        <f>IF(G211&gt;H211, MIN(G211-H211, J211-H211)*
INDEX('2018_commission_structure'!$A$1:$I$4,
MATCH($D211, '2018_commission_structure'!$A$1:$A$4, 0),
MATCH(O$1, '2018_commission_structure'!$A$1:$I$1, 0)), 0)</f>
        <v>0</v>
      </c>
      <c r="Q211" s="11">
        <f>IF(G211&gt;H211, MIN(G211-H211, I211-H211)*
INDEX('2018_commission_structure'!$A$1:$I$4,
MATCH($D211, '2018_commission_structure'!$A$1:$A$4, 0),
MATCH(P$1, '2018_commission_structure'!$A$1:$I$1, 0)), 0)</f>
        <v>0</v>
      </c>
      <c r="R211" s="11">
        <f>IF(G211&gt;K211, (G211-K211) *
INDEX('2018_commission_structure'!$A$1:$I$4,
MATCH($D211, '2018_commission_structure'!$A$1:$A$4,0),
MATCH(R$1, '2018_commission_structure'!$A$1:$I$1,0)), 0)</f>
        <v>0</v>
      </c>
      <c r="S211" s="11">
        <f t="shared" si="23"/>
        <v>0</v>
      </c>
      <c r="T211" s="11" cm="1">
        <f t="array" ref="T211">SUM(E211+O211:Q211)</f>
        <v>232221</v>
      </c>
    </row>
    <row r="212" spans="1:20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 xml:space="preserve"> COUNTIF(deals_closed!D:D,A212)</f>
        <v>21</v>
      </c>
      <c r="G212" s="5">
        <f>SUMIF(deals_closed!D:D, calculations!A212, deals_closed!C:C)</f>
        <v>698195</v>
      </c>
      <c r="H212" s="5">
        <f>VLOOKUP(D212,'2018_commission_structure'!$A$2:$I$4,9,FALSE)</f>
        <v>600000</v>
      </c>
      <c r="I212" s="9">
        <f t="shared" si="18"/>
        <v>750000</v>
      </c>
      <c r="J212" s="8">
        <f t="shared" si="19"/>
        <v>900000</v>
      </c>
      <c r="K212" s="9">
        <f t="shared" si="20"/>
        <v>1200000</v>
      </c>
      <c r="L212" s="10">
        <f t="shared" si="21"/>
        <v>1.1636583333333332</v>
      </c>
      <c r="M212" t="str">
        <f t="shared" si="22"/>
        <v>100-125%</v>
      </c>
      <c r="N212" s="9">
        <f>MIN(H212, G212)*INDEX('2018_commission_structure'!$A$1:$I$4,
MATCH($D212, '2018_commission_structure'!$A$1:$A$4,0),
MATCH(N$1, '2018_commission_structure'!$A$1:$I$1,0))</f>
        <v>78000</v>
      </c>
      <c r="O212" s="11">
        <f>IF(G212&gt;H212, MIN(G212-H212, I212-H212)*
INDEX('2018_commission_structure'!$A$1:$I$4,
MATCH($D212, '2018_commission_structure'!$A$1:$A$4, 0),
MATCH(O$1, '2018_commission_structure'!$A$1:$I$1, 0)), 0)</f>
        <v>16693.150000000001</v>
      </c>
      <c r="P212" s="11">
        <f>IF(G212&gt;H212, MIN(G212-H212, J212-H212)*
INDEX('2018_commission_structure'!$A$1:$I$4,
MATCH($D212, '2018_commission_structure'!$A$1:$A$4, 0),
MATCH(O$1, '2018_commission_structure'!$A$1:$I$1, 0)), 0)</f>
        <v>16693.150000000001</v>
      </c>
      <c r="Q212" s="11">
        <f>IF(G212&gt;H212, MIN(G212-H212, I212-H212)*
INDEX('2018_commission_structure'!$A$1:$I$4,
MATCH($D212, '2018_commission_structure'!$A$1:$A$4, 0),
MATCH(P$1, '2018_commission_structure'!$A$1:$I$1, 0)), 0)</f>
        <v>20620.95</v>
      </c>
      <c r="R212" s="11">
        <f>IF(G212&gt;K212, (G212-K212) *
INDEX('2018_commission_structure'!$A$1:$I$4,
MATCH($D212, '2018_commission_structure'!$A$1:$A$4,0),
MATCH(R$1, '2018_commission_structure'!$A$1:$I$1,0)), 0)</f>
        <v>0</v>
      </c>
      <c r="S212" s="11">
        <f t="shared" si="23"/>
        <v>54007.25</v>
      </c>
      <c r="T212" s="11" cm="1">
        <f t="array" ref="T212">SUM(E212+O212:Q212)</f>
        <v>258577.25</v>
      </c>
    </row>
    <row r="213" spans="1:20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 xml:space="preserve"> COUNTIF(deals_closed!D:D,A213)</f>
        <v>21</v>
      </c>
      <c r="G213" s="5">
        <f>SUMIF(deals_closed!D:D, calculations!A213, deals_closed!C:C)</f>
        <v>707829</v>
      </c>
      <c r="H213" s="5">
        <f>VLOOKUP(D213,'2018_commission_structure'!$A$2:$I$4,9,FALSE)</f>
        <v>750000</v>
      </c>
      <c r="I213" s="9">
        <f t="shared" si="18"/>
        <v>937500</v>
      </c>
      <c r="J213" s="8">
        <f t="shared" si="19"/>
        <v>1125000</v>
      </c>
      <c r="K213" s="9">
        <f t="shared" si="20"/>
        <v>1500000</v>
      </c>
      <c r="L213" s="10">
        <f t="shared" si="21"/>
        <v>0.94377200000000006</v>
      </c>
      <c r="M213" t="str">
        <f t="shared" si="22"/>
        <v>0-100%</v>
      </c>
      <c r="N213" s="9">
        <f>MIN(H213, G213)*INDEX('2018_commission_structure'!$A$1:$I$4,
MATCH($D213, '2018_commission_structure'!$A$1:$A$4,0),
MATCH(N$1, '2018_commission_structure'!$A$1:$I$1,0))</f>
        <v>106174.34999999999</v>
      </c>
      <c r="O213" s="11">
        <f>IF(G213&gt;H213, MIN(G213-H213, I213-H213)*
INDEX('2018_commission_structure'!$A$1:$I$4,
MATCH($D213, '2018_commission_structure'!$A$1:$A$4, 0),
MATCH(O$1, '2018_commission_structure'!$A$1:$I$1, 0)), 0)</f>
        <v>0</v>
      </c>
      <c r="P213" s="11">
        <f>IF(G213&gt;H213, MIN(G213-H213, J213-H213)*
INDEX('2018_commission_structure'!$A$1:$I$4,
MATCH($D213, '2018_commission_structure'!$A$1:$A$4, 0),
MATCH(O$1, '2018_commission_structure'!$A$1:$I$1, 0)), 0)</f>
        <v>0</v>
      </c>
      <c r="Q213" s="11">
        <f>IF(G213&gt;H213, MIN(G213-H213, I213-H213)*
INDEX('2018_commission_structure'!$A$1:$I$4,
MATCH($D213, '2018_commission_structure'!$A$1:$A$4, 0),
MATCH(P$1, '2018_commission_structure'!$A$1:$I$1, 0)), 0)</f>
        <v>0</v>
      </c>
      <c r="R213" s="11">
        <f>IF(G213&gt;K213, (G213-K213) *
INDEX('2018_commission_structure'!$A$1:$I$4,
MATCH($D213, '2018_commission_structure'!$A$1:$A$4,0),
MATCH(R$1, '2018_commission_structure'!$A$1:$I$1,0)), 0)</f>
        <v>0</v>
      </c>
      <c r="S213" s="11">
        <f t="shared" si="23"/>
        <v>0</v>
      </c>
      <c r="T213" s="11" cm="1">
        <f t="array" ref="T213">SUM(E213+O213:Q213)</f>
        <v>252153</v>
      </c>
    </row>
    <row r="214" spans="1:20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 xml:space="preserve"> COUNTIF(deals_closed!D:D,A214)</f>
        <v>21</v>
      </c>
      <c r="G214" s="5">
        <f>SUMIF(deals_closed!D:D, calculations!A214, deals_closed!C:C)</f>
        <v>692993</v>
      </c>
      <c r="H214" s="5">
        <f>VLOOKUP(D214,'2018_commission_structure'!$A$2:$I$4,9,FALSE)</f>
        <v>750000</v>
      </c>
      <c r="I214" s="9">
        <f t="shared" si="18"/>
        <v>937500</v>
      </c>
      <c r="J214" s="8">
        <f t="shared" si="19"/>
        <v>1125000</v>
      </c>
      <c r="K214" s="9">
        <f t="shared" si="20"/>
        <v>1500000</v>
      </c>
      <c r="L214" s="10">
        <f t="shared" si="21"/>
        <v>0.92399066666666663</v>
      </c>
      <c r="M214" t="str">
        <f t="shared" si="22"/>
        <v>0-100%</v>
      </c>
      <c r="N214" s="9">
        <f>MIN(H214, G214)*INDEX('2018_commission_structure'!$A$1:$I$4,
MATCH($D214, '2018_commission_structure'!$A$1:$A$4,0),
MATCH(N$1, '2018_commission_structure'!$A$1:$I$1,0))</f>
        <v>103948.95</v>
      </c>
      <c r="O214" s="11">
        <f>IF(G214&gt;H214, MIN(G214-H214, I214-H214)*
INDEX('2018_commission_structure'!$A$1:$I$4,
MATCH($D214, '2018_commission_structure'!$A$1:$A$4, 0),
MATCH(O$1, '2018_commission_structure'!$A$1:$I$1, 0)), 0)</f>
        <v>0</v>
      </c>
      <c r="P214" s="11">
        <f>IF(G214&gt;H214, MIN(G214-H214, J214-H214)*
INDEX('2018_commission_structure'!$A$1:$I$4,
MATCH($D214, '2018_commission_structure'!$A$1:$A$4, 0),
MATCH(O$1, '2018_commission_structure'!$A$1:$I$1, 0)), 0)</f>
        <v>0</v>
      </c>
      <c r="Q214" s="11">
        <f>IF(G214&gt;H214, MIN(G214-H214, I214-H214)*
INDEX('2018_commission_structure'!$A$1:$I$4,
MATCH($D214, '2018_commission_structure'!$A$1:$A$4, 0),
MATCH(P$1, '2018_commission_structure'!$A$1:$I$1, 0)), 0)</f>
        <v>0</v>
      </c>
      <c r="R214" s="11">
        <f>IF(G214&gt;K214, (G214-K214) *
INDEX('2018_commission_structure'!$A$1:$I$4,
MATCH($D214, '2018_commission_structure'!$A$1:$A$4,0),
MATCH(R$1, '2018_commission_structure'!$A$1:$I$1,0)), 0)</f>
        <v>0</v>
      </c>
      <c r="S214" s="11">
        <f t="shared" si="23"/>
        <v>0</v>
      </c>
      <c r="T214" s="11" cm="1">
        <f t="array" ref="T214">SUM(E214+O214:Q214)</f>
        <v>316395</v>
      </c>
    </row>
    <row r="215" spans="1:20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 xml:space="preserve"> COUNTIF(deals_closed!D:D,A215)</f>
        <v>23</v>
      </c>
      <c r="G215" s="5">
        <f>SUMIF(deals_closed!D:D, calculations!A215, deals_closed!C:C)</f>
        <v>834584</v>
      </c>
      <c r="H215" s="5">
        <f>VLOOKUP(D215,'2018_commission_structure'!$A$2:$I$4,9,FALSE)</f>
        <v>500000</v>
      </c>
      <c r="I215" s="9">
        <f t="shared" si="18"/>
        <v>625000</v>
      </c>
      <c r="J215" s="8">
        <f t="shared" si="19"/>
        <v>750000</v>
      </c>
      <c r="K215" s="9">
        <f t="shared" si="20"/>
        <v>1000000</v>
      </c>
      <c r="L215" s="10">
        <f t="shared" si="21"/>
        <v>1.669168</v>
      </c>
      <c r="M215" t="str">
        <f t="shared" si="22"/>
        <v>150-200%</v>
      </c>
      <c r="N215" s="9">
        <f>MIN(H215, G215)*INDEX('2018_commission_structure'!$A$1:$I$4,
MATCH($D215, '2018_commission_structure'!$A$1:$A$4,0),
MATCH(N$1, '2018_commission_structure'!$A$1:$I$1,0))</f>
        <v>50000</v>
      </c>
      <c r="O215" s="11">
        <f>IF(G215&gt;H215, MIN(G215-H215, I215-H215)*
INDEX('2018_commission_structure'!$A$1:$I$4,
MATCH($D215, '2018_commission_structure'!$A$1:$A$4, 0),
MATCH(O$1, '2018_commission_structure'!$A$1:$I$1, 0)), 0)</f>
        <v>18750</v>
      </c>
      <c r="P215" s="11">
        <f>IF(G215&gt;H215, MIN(G215-H215, J215-H215)*
INDEX('2018_commission_structure'!$A$1:$I$4,
MATCH($D215, '2018_commission_structure'!$A$1:$A$4, 0),
MATCH(O$1, '2018_commission_structure'!$A$1:$I$1, 0)), 0)</f>
        <v>37500</v>
      </c>
      <c r="Q215" s="11">
        <f>IF(G215&gt;H215, MIN(G215-H215, I215-H215)*
INDEX('2018_commission_structure'!$A$1:$I$4,
MATCH($D215, '2018_commission_structure'!$A$1:$A$4, 0),
MATCH(P$1, '2018_commission_structure'!$A$1:$I$1, 0)), 0)</f>
        <v>22500</v>
      </c>
      <c r="R215" s="11">
        <f>IF(G215&gt;K215, (G215-K215) *
INDEX('2018_commission_structure'!$A$1:$I$4,
MATCH($D215, '2018_commission_structure'!$A$1:$A$4,0),
MATCH(R$1, '2018_commission_structure'!$A$1:$I$1,0)), 0)</f>
        <v>0</v>
      </c>
      <c r="S215" s="11">
        <f t="shared" si="23"/>
        <v>78750</v>
      </c>
      <c r="T215" s="11" cm="1">
        <f t="array" ref="T215">SUM(E215+O215:Q215)</f>
        <v>257736</v>
      </c>
    </row>
    <row r="216" spans="1:20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 xml:space="preserve"> COUNTIF(deals_closed!D:D,A216)</f>
        <v>15</v>
      </c>
      <c r="G216" s="5">
        <f>SUMIF(deals_closed!D:D, calculations!A216, deals_closed!C:C)</f>
        <v>618982</v>
      </c>
      <c r="H216" s="5">
        <f>VLOOKUP(D216,'2018_commission_structure'!$A$2:$I$4,9,FALSE)</f>
        <v>600000</v>
      </c>
      <c r="I216" s="9">
        <f t="shared" si="18"/>
        <v>750000</v>
      </c>
      <c r="J216" s="8">
        <f t="shared" si="19"/>
        <v>900000</v>
      </c>
      <c r="K216" s="9">
        <f t="shared" si="20"/>
        <v>1200000</v>
      </c>
      <c r="L216" s="10">
        <f t="shared" si="21"/>
        <v>1.0316366666666668</v>
      </c>
      <c r="M216" t="str">
        <f t="shared" si="22"/>
        <v>100-125%</v>
      </c>
      <c r="N216" s="9">
        <f>MIN(H216, G216)*INDEX('2018_commission_structure'!$A$1:$I$4,
MATCH($D216, '2018_commission_structure'!$A$1:$A$4,0),
MATCH(N$1, '2018_commission_structure'!$A$1:$I$1,0))</f>
        <v>78000</v>
      </c>
      <c r="O216" s="11">
        <f>IF(G216&gt;H216, MIN(G216-H216, I216-H216)*
INDEX('2018_commission_structure'!$A$1:$I$4,
MATCH($D216, '2018_commission_structure'!$A$1:$A$4, 0),
MATCH(O$1, '2018_commission_structure'!$A$1:$I$1, 0)), 0)</f>
        <v>3226.94</v>
      </c>
      <c r="P216" s="11">
        <f>IF(G216&gt;H216, MIN(G216-H216, J216-H216)*
INDEX('2018_commission_structure'!$A$1:$I$4,
MATCH($D216, '2018_commission_structure'!$A$1:$A$4, 0),
MATCH(O$1, '2018_commission_structure'!$A$1:$I$1, 0)), 0)</f>
        <v>3226.94</v>
      </c>
      <c r="Q216" s="11">
        <f>IF(G216&gt;H216, MIN(G216-H216, I216-H216)*
INDEX('2018_commission_structure'!$A$1:$I$4,
MATCH($D216, '2018_commission_structure'!$A$1:$A$4, 0),
MATCH(P$1, '2018_commission_structure'!$A$1:$I$1, 0)), 0)</f>
        <v>3986.22</v>
      </c>
      <c r="R216" s="11">
        <f>IF(G216&gt;K216, (G216-K216) *
INDEX('2018_commission_structure'!$A$1:$I$4,
MATCH($D216, '2018_commission_structure'!$A$1:$A$4,0),
MATCH(R$1, '2018_commission_structure'!$A$1:$I$1,0)), 0)</f>
        <v>0</v>
      </c>
      <c r="S216" s="11">
        <f t="shared" si="23"/>
        <v>10440.1</v>
      </c>
      <c r="T216" s="11" cm="1">
        <f t="array" ref="T216">SUM(E216+O216:Q216)</f>
        <v>173118.1</v>
      </c>
    </row>
    <row r="217" spans="1:20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 xml:space="preserve"> COUNTIF(deals_closed!D:D,A217)</f>
        <v>22</v>
      </c>
      <c r="G217" s="5">
        <f>SUMIF(deals_closed!D:D, calculations!A217, deals_closed!C:C)</f>
        <v>588509</v>
      </c>
      <c r="H217" s="5">
        <f>VLOOKUP(D217,'2018_commission_structure'!$A$2:$I$4,9,FALSE)</f>
        <v>600000</v>
      </c>
      <c r="I217" s="9">
        <f t="shared" si="18"/>
        <v>750000</v>
      </c>
      <c r="J217" s="8">
        <f t="shared" si="19"/>
        <v>900000</v>
      </c>
      <c r="K217" s="9">
        <f t="shared" si="20"/>
        <v>1200000</v>
      </c>
      <c r="L217" s="10">
        <f t="shared" si="21"/>
        <v>0.98084833333333332</v>
      </c>
      <c r="M217" t="str">
        <f t="shared" si="22"/>
        <v>0-100%</v>
      </c>
      <c r="N217" s="9">
        <f>MIN(H217, G217)*INDEX('2018_commission_structure'!$A$1:$I$4,
MATCH($D217, '2018_commission_structure'!$A$1:$A$4,0),
MATCH(N$1, '2018_commission_structure'!$A$1:$I$1,0))</f>
        <v>76506.17</v>
      </c>
      <c r="O217" s="11">
        <f>IF(G217&gt;H217, MIN(G217-H217, I217-H217)*
INDEX('2018_commission_structure'!$A$1:$I$4,
MATCH($D217, '2018_commission_structure'!$A$1:$A$4, 0),
MATCH(O$1, '2018_commission_structure'!$A$1:$I$1, 0)), 0)</f>
        <v>0</v>
      </c>
      <c r="P217" s="11">
        <f>IF(G217&gt;H217, MIN(G217-H217, J217-H217)*
INDEX('2018_commission_structure'!$A$1:$I$4,
MATCH($D217, '2018_commission_structure'!$A$1:$A$4, 0),
MATCH(O$1, '2018_commission_structure'!$A$1:$I$1, 0)), 0)</f>
        <v>0</v>
      </c>
      <c r="Q217" s="11">
        <f>IF(G217&gt;H217, MIN(G217-H217, I217-H217)*
INDEX('2018_commission_structure'!$A$1:$I$4,
MATCH($D217, '2018_commission_structure'!$A$1:$A$4, 0),
MATCH(P$1, '2018_commission_structure'!$A$1:$I$1, 0)), 0)</f>
        <v>0</v>
      </c>
      <c r="R217" s="11">
        <f>IF(G217&gt;K217, (G217-K217) *
INDEX('2018_commission_structure'!$A$1:$I$4,
MATCH($D217, '2018_commission_structure'!$A$1:$A$4,0),
MATCH(R$1, '2018_commission_structure'!$A$1:$I$1,0)), 0)</f>
        <v>0</v>
      </c>
      <c r="S217" s="11">
        <f t="shared" si="23"/>
        <v>0</v>
      </c>
      <c r="T217" s="11" cm="1">
        <f t="array" ref="T217">SUM(E217+O217:Q217)</f>
        <v>164166</v>
      </c>
    </row>
    <row r="218" spans="1:20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 xml:space="preserve"> COUNTIF(deals_closed!D:D,A218)</f>
        <v>19</v>
      </c>
      <c r="G218" s="5">
        <f>SUMIF(deals_closed!D:D, calculations!A218, deals_closed!C:C)</f>
        <v>693049</v>
      </c>
      <c r="H218" s="5">
        <f>VLOOKUP(D218,'2018_commission_structure'!$A$2:$I$4,9,FALSE)</f>
        <v>600000</v>
      </c>
      <c r="I218" s="9">
        <f t="shared" si="18"/>
        <v>750000</v>
      </c>
      <c r="J218" s="8">
        <f t="shared" si="19"/>
        <v>900000</v>
      </c>
      <c r="K218" s="9">
        <f t="shared" si="20"/>
        <v>1200000</v>
      </c>
      <c r="L218" s="10">
        <f t="shared" si="21"/>
        <v>1.1550816666666666</v>
      </c>
      <c r="M218" t="str">
        <f t="shared" si="22"/>
        <v>100-125%</v>
      </c>
      <c r="N218" s="9">
        <f>MIN(H218, G218)*INDEX('2018_commission_structure'!$A$1:$I$4,
MATCH($D218, '2018_commission_structure'!$A$1:$A$4,0),
MATCH(N$1, '2018_commission_structure'!$A$1:$I$1,0))</f>
        <v>78000</v>
      </c>
      <c r="O218" s="11">
        <f>IF(G218&gt;H218, MIN(G218-H218, I218-H218)*
INDEX('2018_commission_structure'!$A$1:$I$4,
MATCH($D218, '2018_commission_structure'!$A$1:$A$4, 0),
MATCH(O$1, '2018_commission_structure'!$A$1:$I$1, 0)), 0)</f>
        <v>15818.330000000002</v>
      </c>
      <c r="P218" s="11">
        <f>IF(G218&gt;H218, MIN(G218-H218, J218-H218)*
INDEX('2018_commission_structure'!$A$1:$I$4,
MATCH($D218, '2018_commission_structure'!$A$1:$A$4, 0),
MATCH(O$1, '2018_commission_structure'!$A$1:$I$1, 0)), 0)</f>
        <v>15818.330000000002</v>
      </c>
      <c r="Q218" s="11">
        <f>IF(G218&gt;H218, MIN(G218-H218, I218-H218)*
INDEX('2018_commission_structure'!$A$1:$I$4,
MATCH($D218, '2018_commission_structure'!$A$1:$A$4, 0),
MATCH(P$1, '2018_commission_structure'!$A$1:$I$1, 0)), 0)</f>
        <v>19540.29</v>
      </c>
      <c r="R218" s="11">
        <f>IF(G218&gt;K218, (G218-K218) *
INDEX('2018_commission_structure'!$A$1:$I$4,
MATCH($D218, '2018_commission_structure'!$A$1:$A$4,0),
MATCH(R$1, '2018_commission_structure'!$A$1:$I$1,0)), 0)</f>
        <v>0</v>
      </c>
      <c r="S218" s="11">
        <f t="shared" si="23"/>
        <v>51176.950000000004</v>
      </c>
      <c r="T218" s="11" cm="1">
        <f t="array" ref="T218">SUM(E218+O218:Q218)</f>
        <v>271802.95</v>
      </c>
    </row>
    <row r="219" spans="1:20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 xml:space="preserve"> COUNTIF(deals_closed!D:D,A219)</f>
        <v>19</v>
      </c>
      <c r="G219" s="5">
        <f>SUMIF(deals_closed!D:D, calculations!A219, deals_closed!C:C)</f>
        <v>563960</v>
      </c>
      <c r="H219" s="5">
        <f>VLOOKUP(D219,'2018_commission_structure'!$A$2:$I$4,9,FALSE)</f>
        <v>500000</v>
      </c>
      <c r="I219" s="9">
        <f t="shared" si="18"/>
        <v>625000</v>
      </c>
      <c r="J219" s="8">
        <f t="shared" si="19"/>
        <v>750000</v>
      </c>
      <c r="K219" s="9">
        <f t="shared" si="20"/>
        <v>1000000</v>
      </c>
      <c r="L219" s="10">
        <f t="shared" si="21"/>
        <v>1.12792</v>
      </c>
      <c r="M219" t="str">
        <f t="shared" si="22"/>
        <v>100-125%</v>
      </c>
      <c r="N219" s="9">
        <f>MIN(H219, G219)*INDEX('2018_commission_structure'!$A$1:$I$4,
MATCH($D219, '2018_commission_structure'!$A$1:$A$4,0),
MATCH(N$1, '2018_commission_structure'!$A$1:$I$1,0))</f>
        <v>50000</v>
      </c>
      <c r="O219" s="11">
        <f>IF(G219&gt;H219, MIN(G219-H219, I219-H219)*
INDEX('2018_commission_structure'!$A$1:$I$4,
MATCH($D219, '2018_commission_structure'!$A$1:$A$4, 0),
MATCH(O$1, '2018_commission_structure'!$A$1:$I$1, 0)), 0)</f>
        <v>9594</v>
      </c>
      <c r="P219" s="11">
        <f>IF(G219&gt;H219, MIN(G219-H219, J219-H219)*
INDEX('2018_commission_structure'!$A$1:$I$4,
MATCH($D219, '2018_commission_structure'!$A$1:$A$4, 0),
MATCH(O$1, '2018_commission_structure'!$A$1:$I$1, 0)), 0)</f>
        <v>9594</v>
      </c>
      <c r="Q219" s="11">
        <f>IF(G219&gt;H219, MIN(G219-H219, I219-H219)*
INDEX('2018_commission_structure'!$A$1:$I$4,
MATCH($D219, '2018_commission_structure'!$A$1:$A$4, 0),
MATCH(P$1, '2018_commission_structure'!$A$1:$I$1, 0)), 0)</f>
        <v>11512.8</v>
      </c>
      <c r="R219" s="11">
        <f>IF(G219&gt;K219, (G219-K219) *
INDEX('2018_commission_structure'!$A$1:$I$4,
MATCH($D219, '2018_commission_structure'!$A$1:$A$4,0),
MATCH(R$1, '2018_commission_structure'!$A$1:$I$1,0)), 0)</f>
        <v>0</v>
      </c>
      <c r="S219" s="11">
        <f t="shared" si="23"/>
        <v>30700.799999999999</v>
      </c>
      <c r="T219" s="11" cm="1">
        <f t="array" ref="T219">SUM(E219+O219:Q219)</f>
        <v>196660.8</v>
      </c>
    </row>
    <row r="220" spans="1:20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 xml:space="preserve"> COUNTIF(deals_closed!D:D,A220)</f>
        <v>17</v>
      </c>
      <c r="G220" s="5">
        <f>SUMIF(deals_closed!D:D, calculations!A220, deals_closed!C:C)</f>
        <v>456453</v>
      </c>
      <c r="H220" s="5">
        <f>VLOOKUP(D220,'2018_commission_structure'!$A$2:$I$4,9,FALSE)</f>
        <v>600000</v>
      </c>
      <c r="I220" s="9">
        <f t="shared" si="18"/>
        <v>750000</v>
      </c>
      <c r="J220" s="8">
        <f t="shared" si="19"/>
        <v>900000</v>
      </c>
      <c r="K220" s="9">
        <f t="shared" si="20"/>
        <v>1200000</v>
      </c>
      <c r="L220" s="10">
        <f t="shared" si="21"/>
        <v>0.76075499999999996</v>
      </c>
      <c r="M220" t="str">
        <f t="shared" si="22"/>
        <v>0-100%</v>
      </c>
      <c r="N220" s="9">
        <f>MIN(H220, G220)*INDEX('2018_commission_structure'!$A$1:$I$4,
MATCH($D220, '2018_commission_structure'!$A$1:$A$4,0),
MATCH(N$1, '2018_commission_structure'!$A$1:$I$1,0))</f>
        <v>59338.89</v>
      </c>
      <c r="O220" s="11">
        <f>IF(G220&gt;H220, MIN(G220-H220, I220-H220)*
INDEX('2018_commission_structure'!$A$1:$I$4,
MATCH($D220, '2018_commission_structure'!$A$1:$A$4, 0),
MATCH(O$1, '2018_commission_structure'!$A$1:$I$1, 0)), 0)</f>
        <v>0</v>
      </c>
      <c r="P220" s="11">
        <f>IF(G220&gt;H220, MIN(G220-H220, J220-H220)*
INDEX('2018_commission_structure'!$A$1:$I$4,
MATCH($D220, '2018_commission_structure'!$A$1:$A$4, 0),
MATCH(O$1, '2018_commission_structure'!$A$1:$I$1, 0)), 0)</f>
        <v>0</v>
      </c>
      <c r="Q220" s="11">
        <f>IF(G220&gt;H220, MIN(G220-H220, I220-H220)*
INDEX('2018_commission_structure'!$A$1:$I$4,
MATCH($D220, '2018_commission_structure'!$A$1:$A$4, 0),
MATCH(P$1, '2018_commission_structure'!$A$1:$I$1, 0)), 0)</f>
        <v>0</v>
      </c>
      <c r="R220" s="11">
        <f>IF(G220&gt;K220, (G220-K220) *
INDEX('2018_commission_structure'!$A$1:$I$4,
MATCH($D220, '2018_commission_structure'!$A$1:$A$4,0),
MATCH(R$1, '2018_commission_structure'!$A$1:$I$1,0)), 0)</f>
        <v>0</v>
      </c>
      <c r="S220" s="11">
        <f t="shared" si="23"/>
        <v>0</v>
      </c>
      <c r="T220" s="11" cm="1">
        <f t="array" ref="T220">SUM(E220+O220:Q220)</f>
        <v>223878</v>
      </c>
    </row>
    <row r="221" spans="1:20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 xml:space="preserve"> COUNTIF(deals_closed!D:D,A221)</f>
        <v>22</v>
      </c>
      <c r="G221" s="5">
        <f>SUMIF(deals_closed!D:D, calculations!A221, deals_closed!C:C)</f>
        <v>640512</v>
      </c>
      <c r="H221" s="5">
        <f>VLOOKUP(D221,'2018_commission_structure'!$A$2:$I$4,9,FALSE)</f>
        <v>500000</v>
      </c>
      <c r="I221" s="9">
        <f t="shared" si="18"/>
        <v>625000</v>
      </c>
      <c r="J221" s="8">
        <f t="shared" si="19"/>
        <v>750000</v>
      </c>
      <c r="K221" s="9">
        <f t="shared" si="20"/>
        <v>1000000</v>
      </c>
      <c r="L221" s="10">
        <f t="shared" si="21"/>
        <v>1.2810239999999999</v>
      </c>
      <c r="M221" t="str">
        <f t="shared" si="22"/>
        <v>125-150%</v>
      </c>
      <c r="N221" s="9">
        <f>MIN(H221, G221)*INDEX('2018_commission_structure'!$A$1:$I$4,
MATCH($D221, '2018_commission_structure'!$A$1:$A$4,0),
MATCH(N$1, '2018_commission_structure'!$A$1:$I$1,0))</f>
        <v>50000</v>
      </c>
      <c r="O221" s="11">
        <f>IF(G221&gt;H221, MIN(G221-H221, I221-H221)*
INDEX('2018_commission_structure'!$A$1:$I$4,
MATCH($D221, '2018_commission_structure'!$A$1:$A$4, 0),
MATCH(O$1, '2018_commission_structure'!$A$1:$I$1, 0)), 0)</f>
        <v>18750</v>
      </c>
      <c r="P221" s="11">
        <f>IF(G221&gt;H221, MIN(G221-H221, J221-H221)*
INDEX('2018_commission_structure'!$A$1:$I$4,
MATCH($D221, '2018_commission_structure'!$A$1:$A$4, 0),
MATCH(O$1, '2018_commission_structure'!$A$1:$I$1, 0)), 0)</f>
        <v>21076.799999999999</v>
      </c>
      <c r="Q221" s="11">
        <f>IF(G221&gt;H221, MIN(G221-H221, I221-H221)*
INDEX('2018_commission_structure'!$A$1:$I$4,
MATCH($D221, '2018_commission_structure'!$A$1:$A$4, 0),
MATCH(P$1, '2018_commission_structure'!$A$1:$I$1, 0)), 0)</f>
        <v>22500</v>
      </c>
      <c r="R221" s="11">
        <f>IF(G221&gt;K221, (G221-K221) *
INDEX('2018_commission_structure'!$A$1:$I$4,
MATCH($D221, '2018_commission_structure'!$A$1:$A$4,0),
MATCH(R$1, '2018_commission_structure'!$A$1:$I$1,0)), 0)</f>
        <v>0</v>
      </c>
      <c r="S221" s="11">
        <f t="shared" si="23"/>
        <v>62326.8</v>
      </c>
      <c r="T221" s="11" cm="1">
        <f t="array" ref="T221">SUM(E221+O221:Q221)</f>
        <v>201130.8</v>
      </c>
    </row>
    <row r="222" spans="1:20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 xml:space="preserve"> COUNTIF(deals_closed!D:D,A222)</f>
        <v>18</v>
      </c>
      <c r="G222" s="5">
        <f>SUMIF(deals_closed!D:D, calculations!A222, deals_closed!C:C)</f>
        <v>600732</v>
      </c>
      <c r="H222" s="5">
        <f>VLOOKUP(D222,'2018_commission_structure'!$A$2:$I$4,9,FALSE)</f>
        <v>500000</v>
      </c>
      <c r="I222" s="9">
        <f t="shared" si="18"/>
        <v>625000</v>
      </c>
      <c r="J222" s="8">
        <f t="shared" si="19"/>
        <v>750000</v>
      </c>
      <c r="K222" s="9">
        <f t="shared" si="20"/>
        <v>1000000</v>
      </c>
      <c r="L222" s="10">
        <f t="shared" si="21"/>
        <v>1.2014640000000001</v>
      </c>
      <c r="M222" t="str">
        <f t="shared" si="22"/>
        <v>100-125%</v>
      </c>
      <c r="N222" s="9">
        <f>MIN(H222, G222)*INDEX('2018_commission_structure'!$A$1:$I$4,
MATCH($D222, '2018_commission_structure'!$A$1:$A$4,0),
MATCH(N$1, '2018_commission_structure'!$A$1:$I$1,0))</f>
        <v>50000</v>
      </c>
      <c r="O222" s="11">
        <f>IF(G222&gt;H222, MIN(G222-H222, I222-H222)*
INDEX('2018_commission_structure'!$A$1:$I$4,
MATCH($D222, '2018_commission_structure'!$A$1:$A$4, 0),
MATCH(O$1, '2018_commission_structure'!$A$1:$I$1, 0)), 0)</f>
        <v>15109.8</v>
      </c>
      <c r="P222" s="11">
        <f>IF(G222&gt;H222, MIN(G222-H222, J222-H222)*
INDEX('2018_commission_structure'!$A$1:$I$4,
MATCH($D222, '2018_commission_structure'!$A$1:$A$4, 0),
MATCH(O$1, '2018_commission_structure'!$A$1:$I$1, 0)), 0)</f>
        <v>15109.8</v>
      </c>
      <c r="Q222" s="11">
        <f>IF(G222&gt;H222, MIN(G222-H222, I222-H222)*
INDEX('2018_commission_structure'!$A$1:$I$4,
MATCH($D222, '2018_commission_structure'!$A$1:$A$4, 0),
MATCH(P$1, '2018_commission_structure'!$A$1:$I$1, 0)), 0)</f>
        <v>18131.759999999998</v>
      </c>
      <c r="R222" s="11">
        <f>IF(G222&gt;K222, (G222-K222) *
INDEX('2018_commission_structure'!$A$1:$I$4,
MATCH($D222, '2018_commission_structure'!$A$1:$A$4,0),
MATCH(R$1, '2018_commission_structure'!$A$1:$I$1,0)), 0)</f>
        <v>0</v>
      </c>
      <c r="S222" s="11">
        <f t="shared" si="23"/>
        <v>48351.360000000001</v>
      </c>
      <c r="T222" s="11" cm="1">
        <f t="array" ref="T222">SUM(E222+O222:Q222)</f>
        <v>177870.36</v>
      </c>
    </row>
    <row r="223" spans="1:20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 xml:space="preserve"> COUNTIF(deals_closed!D:D,A223)</f>
        <v>19</v>
      </c>
      <c r="G223" s="5">
        <f>SUMIF(deals_closed!D:D, calculations!A223, deals_closed!C:C)</f>
        <v>700830</v>
      </c>
      <c r="H223" s="5">
        <f>VLOOKUP(D223,'2018_commission_structure'!$A$2:$I$4,9,FALSE)</f>
        <v>750000</v>
      </c>
      <c r="I223" s="9">
        <f t="shared" si="18"/>
        <v>937500</v>
      </c>
      <c r="J223" s="8">
        <f t="shared" si="19"/>
        <v>1125000</v>
      </c>
      <c r="K223" s="9">
        <f t="shared" si="20"/>
        <v>1500000</v>
      </c>
      <c r="L223" s="10">
        <f t="shared" si="21"/>
        <v>0.93444000000000005</v>
      </c>
      <c r="M223" t="str">
        <f t="shared" si="22"/>
        <v>0-100%</v>
      </c>
      <c r="N223" s="9">
        <f>MIN(H223, G223)*INDEX('2018_commission_structure'!$A$1:$I$4,
MATCH($D223, '2018_commission_structure'!$A$1:$A$4,0),
MATCH(N$1, '2018_commission_structure'!$A$1:$I$1,0))</f>
        <v>105124.5</v>
      </c>
      <c r="O223" s="11">
        <f>IF(G223&gt;H223, MIN(G223-H223, I223-H223)*
INDEX('2018_commission_structure'!$A$1:$I$4,
MATCH($D223, '2018_commission_structure'!$A$1:$A$4, 0),
MATCH(O$1, '2018_commission_structure'!$A$1:$I$1, 0)), 0)</f>
        <v>0</v>
      </c>
      <c r="P223" s="11">
        <f>IF(G223&gt;H223, MIN(G223-H223, J223-H223)*
INDEX('2018_commission_structure'!$A$1:$I$4,
MATCH($D223, '2018_commission_structure'!$A$1:$A$4, 0),
MATCH(O$1, '2018_commission_structure'!$A$1:$I$1, 0)), 0)</f>
        <v>0</v>
      </c>
      <c r="Q223" s="11">
        <f>IF(G223&gt;H223, MIN(G223-H223, I223-H223)*
INDEX('2018_commission_structure'!$A$1:$I$4,
MATCH($D223, '2018_commission_structure'!$A$1:$A$4, 0),
MATCH(P$1, '2018_commission_structure'!$A$1:$I$1, 0)), 0)</f>
        <v>0</v>
      </c>
      <c r="R223" s="11">
        <f>IF(G223&gt;K223, (G223-K223) *
INDEX('2018_commission_structure'!$A$1:$I$4,
MATCH($D223, '2018_commission_structure'!$A$1:$A$4,0),
MATCH(R$1, '2018_commission_structure'!$A$1:$I$1,0)), 0)</f>
        <v>0</v>
      </c>
      <c r="S223" s="11">
        <f t="shared" si="23"/>
        <v>0</v>
      </c>
      <c r="T223" s="11" cm="1">
        <f t="array" ref="T223">SUM(E223+O223:Q223)</f>
        <v>268566</v>
      </c>
    </row>
    <row r="224" spans="1:20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 xml:space="preserve"> COUNTIF(deals_closed!D:D,A224)</f>
        <v>19</v>
      </c>
      <c r="G224" s="5">
        <f>SUMIF(deals_closed!D:D, calculations!A224, deals_closed!C:C)</f>
        <v>673714</v>
      </c>
      <c r="H224" s="5">
        <f>VLOOKUP(D224,'2018_commission_structure'!$A$2:$I$4,9,FALSE)</f>
        <v>600000</v>
      </c>
      <c r="I224" s="9">
        <f t="shared" si="18"/>
        <v>750000</v>
      </c>
      <c r="J224" s="8">
        <f t="shared" si="19"/>
        <v>900000</v>
      </c>
      <c r="K224" s="9">
        <f t="shared" si="20"/>
        <v>1200000</v>
      </c>
      <c r="L224" s="10">
        <f t="shared" si="21"/>
        <v>1.1228566666666666</v>
      </c>
      <c r="M224" t="str">
        <f t="shared" si="22"/>
        <v>100-125%</v>
      </c>
      <c r="N224" s="9">
        <f>MIN(H224, G224)*INDEX('2018_commission_structure'!$A$1:$I$4,
MATCH($D224, '2018_commission_structure'!$A$1:$A$4,0),
MATCH(N$1, '2018_commission_structure'!$A$1:$I$1,0))</f>
        <v>78000</v>
      </c>
      <c r="O224" s="11">
        <f>IF(G224&gt;H224, MIN(G224-H224, I224-H224)*
INDEX('2018_commission_structure'!$A$1:$I$4,
MATCH($D224, '2018_commission_structure'!$A$1:$A$4, 0),
MATCH(O$1, '2018_commission_structure'!$A$1:$I$1, 0)), 0)</f>
        <v>12531.380000000001</v>
      </c>
      <c r="P224" s="11">
        <f>IF(G224&gt;H224, MIN(G224-H224, J224-H224)*
INDEX('2018_commission_structure'!$A$1:$I$4,
MATCH($D224, '2018_commission_structure'!$A$1:$A$4, 0),
MATCH(O$1, '2018_commission_structure'!$A$1:$I$1, 0)), 0)</f>
        <v>12531.380000000001</v>
      </c>
      <c r="Q224" s="11">
        <f>IF(G224&gt;H224, MIN(G224-H224, I224-H224)*
INDEX('2018_commission_structure'!$A$1:$I$4,
MATCH($D224, '2018_commission_structure'!$A$1:$A$4, 0),
MATCH(P$1, '2018_commission_structure'!$A$1:$I$1, 0)), 0)</f>
        <v>15479.939999999999</v>
      </c>
      <c r="R224" s="11">
        <f>IF(G224&gt;K224, (G224-K224) *
INDEX('2018_commission_structure'!$A$1:$I$4,
MATCH($D224, '2018_commission_structure'!$A$1:$A$4,0),
MATCH(R$1, '2018_commission_structure'!$A$1:$I$1,0)), 0)</f>
        <v>0</v>
      </c>
      <c r="S224" s="11">
        <f t="shared" si="23"/>
        <v>40542.699999999997</v>
      </c>
      <c r="T224" s="11" cm="1">
        <f t="array" ref="T224">SUM(E224+O224:Q224)</f>
        <v>220062.7</v>
      </c>
    </row>
    <row r="225" spans="1:20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 xml:space="preserve"> COUNTIF(deals_closed!D:D,A225)</f>
        <v>13</v>
      </c>
      <c r="G225" s="5">
        <f>SUMIF(deals_closed!D:D, calculations!A225, deals_closed!C:C)</f>
        <v>416902</v>
      </c>
      <c r="H225" s="5">
        <f>VLOOKUP(D225,'2018_commission_structure'!$A$2:$I$4,9,FALSE)</f>
        <v>750000</v>
      </c>
      <c r="I225" s="9">
        <f t="shared" si="18"/>
        <v>937500</v>
      </c>
      <c r="J225" s="8">
        <f t="shared" si="19"/>
        <v>1125000</v>
      </c>
      <c r="K225" s="9">
        <f t="shared" si="20"/>
        <v>1500000</v>
      </c>
      <c r="L225" s="10">
        <f t="shared" si="21"/>
        <v>0.55586933333333333</v>
      </c>
      <c r="M225" t="str">
        <f t="shared" si="22"/>
        <v>0-100%</v>
      </c>
      <c r="N225" s="9">
        <f>MIN(H225, G225)*INDEX('2018_commission_structure'!$A$1:$I$4,
MATCH($D225, '2018_commission_structure'!$A$1:$A$4,0),
MATCH(N$1, '2018_commission_structure'!$A$1:$I$1,0))</f>
        <v>62535.299999999996</v>
      </c>
      <c r="O225" s="11">
        <f>IF(G225&gt;H225, MIN(G225-H225, I225-H225)*
INDEX('2018_commission_structure'!$A$1:$I$4,
MATCH($D225, '2018_commission_structure'!$A$1:$A$4, 0),
MATCH(O$1, '2018_commission_structure'!$A$1:$I$1, 0)), 0)</f>
        <v>0</v>
      </c>
      <c r="P225" s="11">
        <f>IF(G225&gt;H225, MIN(G225-H225, J225-H225)*
INDEX('2018_commission_structure'!$A$1:$I$4,
MATCH($D225, '2018_commission_structure'!$A$1:$A$4, 0),
MATCH(O$1, '2018_commission_structure'!$A$1:$I$1, 0)), 0)</f>
        <v>0</v>
      </c>
      <c r="Q225" s="11">
        <f>IF(G225&gt;H225, MIN(G225-H225, I225-H225)*
INDEX('2018_commission_structure'!$A$1:$I$4,
MATCH($D225, '2018_commission_structure'!$A$1:$A$4, 0),
MATCH(P$1, '2018_commission_structure'!$A$1:$I$1, 0)), 0)</f>
        <v>0</v>
      </c>
      <c r="R225" s="11">
        <f>IF(G225&gt;K225, (G225-K225) *
INDEX('2018_commission_structure'!$A$1:$I$4,
MATCH($D225, '2018_commission_structure'!$A$1:$A$4,0),
MATCH(R$1, '2018_commission_structure'!$A$1:$I$1,0)), 0)</f>
        <v>0</v>
      </c>
      <c r="S225" s="11">
        <f t="shared" si="23"/>
        <v>0</v>
      </c>
      <c r="T225" s="11" cm="1">
        <f t="array" ref="T225">SUM(E225+O225:Q225)</f>
        <v>367104</v>
      </c>
    </row>
    <row r="226" spans="1:20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 xml:space="preserve"> COUNTIF(deals_closed!D:D,A226)</f>
        <v>21</v>
      </c>
      <c r="G226" s="5">
        <f>SUMIF(deals_closed!D:D, calculations!A226, deals_closed!C:C)</f>
        <v>735042</v>
      </c>
      <c r="H226" s="5">
        <f>VLOOKUP(D226,'2018_commission_structure'!$A$2:$I$4,9,FALSE)</f>
        <v>600000</v>
      </c>
      <c r="I226" s="9">
        <f t="shared" si="18"/>
        <v>750000</v>
      </c>
      <c r="J226" s="8">
        <f t="shared" si="19"/>
        <v>900000</v>
      </c>
      <c r="K226" s="9">
        <f t="shared" si="20"/>
        <v>1200000</v>
      </c>
      <c r="L226" s="10">
        <f t="shared" si="21"/>
        <v>1.2250700000000001</v>
      </c>
      <c r="M226" t="str">
        <f t="shared" si="22"/>
        <v>100-125%</v>
      </c>
      <c r="N226" s="9">
        <f>MIN(H226, G226)*INDEX('2018_commission_structure'!$A$1:$I$4,
MATCH($D226, '2018_commission_structure'!$A$1:$A$4,0),
MATCH(N$1, '2018_commission_structure'!$A$1:$I$1,0))</f>
        <v>78000</v>
      </c>
      <c r="O226" s="11">
        <f>IF(G226&gt;H226, MIN(G226-H226, I226-H226)*
INDEX('2018_commission_structure'!$A$1:$I$4,
MATCH($D226, '2018_commission_structure'!$A$1:$A$4, 0),
MATCH(O$1, '2018_commission_structure'!$A$1:$I$1, 0)), 0)</f>
        <v>22957.140000000003</v>
      </c>
      <c r="P226" s="11">
        <f>IF(G226&gt;H226, MIN(G226-H226, J226-H226)*
INDEX('2018_commission_structure'!$A$1:$I$4,
MATCH($D226, '2018_commission_structure'!$A$1:$A$4, 0),
MATCH(O$1, '2018_commission_structure'!$A$1:$I$1, 0)), 0)</f>
        <v>22957.140000000003</v>
      </c>
      <c r="Q226" s="11">
        <f>IF(G226&gt;H226, MIN(G226-H226, I226-H226)*
INDEX('2018_commission_structure'!$A$1:$I$4,
MATCH($D226, '2018_commission_structure'!$A$1:$A$4, 0),
MATCH(P$1, '2018_commission_structure'!$A$1:$I$1, 0)), 0)</f>
        <v>28358.82</v>
      </c>
      <c r="R226" s="11">
        <f>IF(G226&gt;K226, (G226-K226) *
INDEX('2018_commission_structure'!$A$1:$I$4,
MATCH($D226, '2018_commission_structure'!$A$1:$A$4,0),
MATCH(R$1, '2018_commission_structure'!$A$1:$I$1,0)), 0)</f>
        <v>0</v>
      </c>
      <c r="S226" s="11">
        <f t="shared" si="23"/>
        <v>74273.100000000006</v>
      </c>
      <c r="T226" s="11" cm="1">
        <f t="array" ref="T226">SUM(E226+O226:Q226)</f>
        <v>240065.1</v>
      </c>
    </row>
    <row r="227" spans="1:20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 xml:space="preserve"> COUNTIF(deals_closed!D:D,A227)</f>
        <v>16</v>
      </c>
      <c r="G227" s="5">
        <f>SUMIF(deals_closed!D:D, calculations!A227, deals_closed!C:C)</f>
        <v>625052</v>
      </c>
      <c r="H227" s="5">
        <f>VLOOKUP(D227,'2018_commission_structure'!$A$2:$I$4,9,FALSE)</f>
        <v>600000</v>
      </c>
      <c r="I227" s="9">
        <f t="shared" si="18"/>
        <v>750000</v>
      </c>
      <c r="J227" s="8">
        <f t="shared" si="19"/>
        <v>900000</v>
      </c>
      <c r="K227" s="9">
        <f t="shared" si="20"/>
        <v>1200000</v>
      </c>
      <c r="L227" s="10">
        <f t="shared" si="21"/>
        <v>1.0417533333333333</v>
      </c>
      <c r="M227" t="str">
        <f t="shared" si="22"/>
        <v>100-125%</v>
      </c>
      <c r="N227" s="9">
        <f>MIN(H227, G227)*INDEX('2018_commission_structure'!$A$1:$I$4,
MATCH($D227, '2018_commission_structure'!$A$1:$A$4,0),
MATCH(N$1, '2018_commission_structure'!$A$1:$I$1,0))</f>
        <v>78000</v>
      </c>
      <c r="O227" s="11">
        <f>IF(G227&gt;H227, MIN(G227-H227, I227-H227)*
INDEX('2018_commission_structure'!$A$1:$I$4,
MATCH($D227, '2018_commission_structure'!$A$1:$A$4, 0),
MATCH(O$1, '2018_commission_structure'!$A$1:$I$1, 0)), 0)</f>
        <v>4258.84</v>
      </c>
      <c r="P227" s="11">
        <f>IF(G227&gt;H227, MIN(G227-H227, J227-H227)*
INDEX('2018_commission_structure'!$A$1:$I$4,
MATCH($D227, '2018_commission_structure'!$A$1:$A$4, 0),
MATCH(O$1, '2018_commission_structure'!$A$1:$I$1, 0)), 0)</f>
        <v>4258.84</v>
      </c>
      <c r="Q227" s="11">
        <f>IF(G227&gt;H227, MIN(G227-H227, I227-H227)*
INDEX('2018_commission_structure'!$A$1:$I$4,
MATCH($D227, '2018_commission_structure'!$A$1:$A$4, 0),
MATCH(P$1, '2018_commission_structure'!$A$1:$I$1, 0)), 0)</f>
        <v>5260.92</v>
      </c>
      <c r="R227" s="11">
        <f>IF(G227&gt;K227, (G227-K227) *
INDEX('2018_commission_structure'!$A$1:$I$4,
MATCH($D227, '2018_commission_structure'!$A$1:$A$4,0),
MATCH(R$1, '2018_commission_structure'!$A$1:$I$1,0)), 0)</f>
        <v>0</v>
      </c>
      <c r="S227" s="11">
        <f t="shared" si="23"/>
        <v>13778.6</v>
      </c>
      <c r="T227" s="11" cm="1">
        <f t="array" ref="T227">SUM(E227+O227:Q227)</f>
        <v>206009.59999999998</v>
      </c>
    </row>
    <row r="228" spans="1:20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 xml:space="preserve"> COUNTIF(deals_closed!D:D,A228)</f>
        <v>20</v>
      </c>
      <c r="G228" s="5">
        <f>SUMIF(deals_closed!D:D, calculations!A228, deals_closed!C:C)</f>
        <v>704699</v>
      </c>
      <c r="H228" s="5">
        <f>VLOOKUP(D228,'2018_commission_structure'!$A$2:$I$4,9,FALSE)</f>
        <v>750000</v>
      </c>
      <c r="I228" s="9">
        <f t="shared" si="18"/>
        <v>937500</v>
      </c>
      <c r="J228" s="8">
        <f t="shared" si="19"/>
        <v>1125000</v>
      </c>
      <c r="K228" s="9">
        <f t="shared" si="20"/>
        <v>1500000</v>
      </c>
      <c r="L228" s="10">
        <f t="shared" si="21"/>
        <v>0.93959866666666669</v>
      </c>
      <c r="M228" t="str">
        <f t="shared" si="22"/>
        <v>0-100%</v>
      </c>
      <c r="N228" s="9">
        <f>MIN(H228, G228)*INDEX('2018_commission_structure'!$A$1:$I$4,
MATCH($D228, '2018_commission_structure'!$A$1:$A$4,0),
MATCH(N$1, '2018_commission_structure'!$A$1:$I$1,0))</f>
        <v>105704.84999999999</v>
      </c>
      <c r="O228" s="11">
        <f>IF(G228&gt;H228, MIN(G228-H228, I228-H228)*
INDEX('2018_commission_structure'!$A$1:$I$4,
MATCH($D228, '2018_commission_structure'!$A$1:$A$4, 0),
MATCH(O$1, '2018_commission_structure'!$A$1:$I$1, 0)), 0)</f>
        <v>0</v>
      </c>
      <c r="P228" s="11">
        <f>IF(G228&gt;H228, MIN(G228-H228, J228-H228)*
INDEX('2018_commission_structure'!$A$1:$I$4,
MATCH($D228, '2018_commission_structure'!$A$1:$A$4, 0),
MATCH(O$1, '2018_commission_structure'!$A$1:$I$1, 0)), 0)</f>
        <v>0</v>
      </c>
      <c r="Q228" s="11">
        <f>IF(G228&gt;H228, MIN(G228-H228, I228-H228)*
INDEX('2018_commission_structure'!$A$1:$I$4,
MATCH($D228, '2018_commission_structure'!$A$1:$A$4, 0),
MATCH(P$1, '2018_commission_structure'!$A$1:$I$1, 0)), 0)</f>
        <v>0</v>
      </c>
      <c r="R228" s="11">
        <f>IF(G228&gt;K228, (G228-K228) *
INDEX('2018_commission_structure'!$A$1:$I$4,
MATCH($D228, '2018_commission_structure'!$A$1:$A$4,0),
MATCH(R$1, '2018_commission_structure'!$A$1:$I$1,0)), 0)</f>
        <v>0</v>
      </c>
      <c r="S228" s="11">
        <f t="shared" si="23"/>
        <v>0</v>
      </c>
      <c r="T228" s="11" cm="1">
        <f t="array" ref="T228">SUM(E228+O228:Q228)</f>
        <v>365943</v>
      </c>
    </row>
    <row r="229" spans="1:20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 xml:space="preserve"> COUNTIF(deals_closed!D:D,A229)</f>
        <v>23</v>
      </c>
      <c r="G229" s="5">
        <f>SUMIF(deals_closed!D:D, calculations!A229, deals_closed!C:C)</f>
        <v>747840</v>
      </c>
      <c r="H229" s="5">
        <f>VLOOKUP(D229,'2018_commission_structure'!$A$2:$I$4,9,FALSE)</f>
        <v>500000</v>
      </c>
      <c r="I229" s="9">
        <f t="shared" si="18"/>
        <v>625000</v>
      </c>
      <c r="J229" s="8">
        <f t="shared" si="19"/>
        <v>750000</v>
      </c>
      <c r="K229" s="9">
        <f t="shared" si="20"/>
        <v>1000000</v>
      </c>
      <c r="L229" s="10">
        <f t="shared" si="21"/>
        <v>1.4956799999999999</v>
      </c>
      <c r="M229" t="str">
        <f t="shared" si="22"/>
        <v>125-150%</v>
      </c>
      <c r="N229" s="9">
        <f>MIN(H229, G229)*INDEX('2018_commission_structure'!$A$1:$I$4,
MATCH($D229, '2018_commission_structure'!$A$1:$A$4,0),
MATCH(N$1, '2018_commission_structure'!$A$1:$I$1,0))</f>
        <v>50000</v>
      </c>
      <c r="O229" s="11">
        <f>IF(G229&gt;H229, MIN(G229-H229, I229-H229)*
INDEX('2018_commission_structure'!$A$1:$I$4,
MATCH($D229, '2018_commission_structure'!$A$1:$A$4, 0),
MATCH(O$1, '2018_commission_structure'!$A$1:$I$1, 0)), 0)</f>
        <v>18750</v>
      </c>
      <c r="P229" s="11">
        <f>IF(G229&gt;H229, MIN(G229-H229, J229-H229)*
INDEX('2018_commission_structure'!$A$1:$I$4,
MATCH($D229, '2018_commission_structure'!$A$1:$A$4, 0),
MATCH(O$1, '2018_commission_structure'!$A$1:$I$1, 0)), 0)</f>
        <v>37176</v>
      </c>
      <c r="Q229" s="11">
        <f>IF(G229&gt;H229, MIN(G229-H229, I229-H229)*
INDEX('2018_commission_structure'!$A$1:$I$4,
MATCH($D229, '2018_commission_structure'!$A$1:$A$4, 0),
MATCH(P$1, '2018_commission_structure'!$A$1:$I$1, 0)), 0)</f>
        <v>22500</v>
      </c>
      <c r="R229" s="11">
        <f>IF(G229&gt;K229, (G229-K229) *
INDEX('2018_commission_structure'!$A$1:$I$4,
MATCH($D229, '2018_commission_structure'!$A$1:$A$4,0),
MATCH(R$1, '2018_commission_structure'!$A$1:$I$1,0)), 0)</f>
        <v>0</v>
      </c>
      <c r="S229" s="11">
        <f t="shared" si="23"/>
        <v>78426</v>
      </c>
      <c r="T229" s="11" cm="1">
        <f t="array" ref="T229">SUM(E229+O229:Q229)</f>
        <v>252579</v>
      </c>
    </row>
    <row r="230" spans="1:20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 xml:space="preserve"> COUNTIF(deals_closed!D:D,A230)</f>
        <v>27</v>
      </c>
      <c r="G230" s="5">
        <f>SUMIF(deals_closed!D:D, calculations!A230, deals_closed!C:C)</f>
        <v>945909</v>
      </c>
      <c r="H230" s="5">
        <f>VLOOKUP(D230,'2018_commission_structure'!$A$2:$I$4,9,FALSE)</f>
        <v>750000</v>
      </c>
      <c r="I230" s="9">
        <f t="shared" si="18"/>
        <v>937500</v>
      </c>
      <c r="J230" s="8">
        <f t="shared" si="19"/>
        <v>1125000</v>
      </c>
      <c r="K230" s="9">
        <f t="shared" si="20"/>
        <v>1500000</v>
      </c>
      <c r="L230" s="10">
        <f t="shared" si="21"/>
        <v>1.261212</v>
      </c>
      <c r="M230" t="str">
        <f t="shared" si="22"/>
        <v>125-150%</v>
      </c>
      <c r="N230" s="9">
        <f>MIN(H230, G230)*INDEX('2018_commission_structure'!$A$1:$I$4,
MATCH($D230, '2018_commission_structure'!$A$1:$A$4,0),
MATCH(N$1, '2018_commission_structure'!$A$1:$I$1,0))</f>
        <v>112500</v>
      </c>
      <c r="O230" s="11">
        <f>IF(G230&gt;H230, MIN(G230-H230, I230-H230)*
INDEX('2018_commission_structure'!$A$1:$I$4,
MATCH($D230, '2018_commission_structure'!$A$1:$A$4, 0),
MATCH(O$1, '2018_commission_structure'!$A$1:$I$1, 0)), 0)</f>
        <v>35625</v>
      </c>
      <c r="P230" s="11">
        <f>IF(G230&gt;H230, MIN(G230-H230, J230-H230)*
INDEX('2018_commission_structure'!$A$1:$I$4,
MATCH($D230, '2018_commission_structure'!$A$1:$A$4, 0),
MATCH(O$1, '2018_commission_structure'!$A$1:$I$1, 0)), 0)</f>
        <v>37222.71</v>
      </c>
      <c r="Q230" s="11">
        <f>IF(G230&gt;H230, MIN(G230-H230, I230-H230)*
INDEX('2018_commission_structure'!$A$1:$I$4,
MATCH($D230, '2018_commission_structure'!$A$1:$A$4, 0),
MATCH(P$1, '2018_commission_structure'!$A$1:$I$1, 0)), 0)</f>
        <v>43125</v>
      </c>
      <c r="R230" s="11">
        <f>IF(G230&gt;K230, (G230-K230) *
INDEX('2018_commission_structure'!$A$1:$I$4,
MATCH($D230, '2018_commission_structure'!$A$1:$A$4,0),
MATCH(R$1, '2018_commission_structure'!$A$1:$I$1,0)), 0)</f>
        <v>0</v>
      </c>
      <c r="S230" s="11">
        <f t="shared" si="23"/>
        <v>115972.70999999999</v>
      </c>
      <c r="T230" s="11" cm="1">
        <f t="array" ref="T230">SUM(E230+O230:Q230)</f>
        <v>403654.70999999996</v>
      </c>
    </row>
    <row r="231" spans="1:20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 xml:space="preserve"> COUNTIF(deals_closed!D:D,A231)</f>
        <v>20</v>
      </c>
      <c r="G231" s="5">
        <f>SUMIF(deals_closed!D:D, calculations!A231, deals_closed!C:C)</f>
        <v>705078</v>
      </c>
      <c r="H231" s="5">
        <f>VLOOKUP(D231,'2018_commission_structure'!$A$2:$I$4,9,FALSE)</f>
        <v>750000</v>
      </c>
      <c r="I231" s="9">
        <f t="shared" si="18"/>
        <v>937500</v>
      </c>
      <c r="J231" s="8">
        <f t="shared" si="19"/>
        <v>1125000</v>
      </c>
      <c r="K231" s="9">
        <f t="shared" si="20"/>
        <v>1500000</v>
      </c>
      <c r="L231" s="10">
        <f t="shared" si="21"/>
        <v>0.94010400000000005</v>
      </c>
      <c r="M231" t="str">
        <f t="shared" si="22"/>
        <v>0-100%</v>
      </c>
      <c r="N231" s="9">
        <f>MIN(H231, G231)*INDEX('2018_commission_structure'!$A$1:$I$4,
MATCH($D231, '2018_commission_structure'!$A$1:$A$4,0),
MATCH(N$1, '2018_commission_structure'!$A$1:$I$1,0))</f>
        <v>105761.7</v>
      </c>
      <c r="O231" s="11">
        <f>IF(G231&gt;H231, MIN(G231-H231, I231-H231)*
INDEX('2018_commission_structure'!$A$1:$I$4,
MATCH($D231, '2018_commission_structure'!$A$1:$A$4, 0),
MATCH(O$1, '2018_commission_structure'!$A$1:$I$1, 0)), 0)</f>
        <v>0</v>
      </c>
      <c r="P231" s="11">
        <f>IF(G231&gt;H231, MIN(G231-H231, J231-H231)*
INDEX('2018_commission_structure'!$A$1:$I$4,
MATCH($D231, '2018_commission_structure'!$A$1:$A$4, 0),
MATCH(O$1, '2018_commission_structure'!$A$1:$I$1, 0)), 0)</f>
        <v>0</v>
      </c>
      <c r="Q231" s="11">
        <f>IF(G231&gt;H231, MIN(G231-H231, I231-H231)*
INDEX('2018_commission_structure'!$A$1:$I$4,
MATCH($D231, '2018_commission_structure'!$A$1:$A$4, 0),
MATCH(P$1, '2018_commission_structure'!$A$1:$I$1, 0)), 0)</f>
        <v>0</v>
      </c>
      <c r="R231" s="11">
        <f>IF(G231&gt;K231, (G231-K231) *
INDEX('2018_commission_structure'!$A$1:$I$4,
MATCH($D231, '2018_commission_structure'!$A$1:$A$4,0),
MATCH(R$1, '2018_commission_structure'!$A$1:$I$1,0)), 0)</f>
        <v>0</v>
      </c>
      <c r="S231" s="11">
        <f t="shared" si="23"/>
        <v>0</v>
      </c>
      <c r="T231" s="11" cm="1">
        <f t="array" ref="T231">SUM(E231+O231:Q231)</f>
        <v>290523</v>
      </c>
    </row>
    <row r="232" spans="1:20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 xml:space="preserve"> COUNTIF(deals_closed!D:D,A232)</f>
        <v>15</v>
      </c>
      <c r="G232" s="5">
        <f>SUMIF(deals_closed!D:D, calculations!A232, deals_closed!C:C)</f>
        <v>637396</v>
      </c>
      <c r="H232" s="5">
        <f>VLOOKUP(D232,'2018_commission_structure'!$A$2:$I$4,9,FALSE)</f>
        <v>750000</v>
      </c>
      <c r="I232" s="9">
        <f t="shared" si="18"/>
        <v>937500</v>
      </c>
      <c r="J232" s="8">
        <f t="shared" si="19"/>
        <v>1125000</v>
      </c>
      <c r="K232" s="9">
        <f t="shared" si="20"/>
        <v>1500000</v>
      </c>
      <c r="L232" s="10">
        <f t="shared" si="21"/>
        <v>0.84986133333333336</v>
      </c>
      <c r="M232" t="str">
        <f t="shared" si="22"/>
        <v>0-100%</v>
      </c>
      <c r="N232" s="9">
        <f>MIN(H232, G232)*INDEX('2018_commission_structure'!$A$1:$I$4,
MATCH($D232, '2018_commission_structure'!$A$1:$A$4,0),
MATCH(N$1, '2018_commission_structure'!$A$1:$I$1,0))</f>
        <v>95609.4</v>
      </c>
      <c r="O232" s="11">
        <f>IF(G232&gt;H232, MIN(G232-H232, I232-H232)*
INDEX('2018_commission_structure'!$A$1:$I$4,
MATCH($D232, '2018_commission_structure'!$A$1:$A$4, 0),
MATCH(O$1, '2018_commission_structure'!$A$1:$I$1, 0)), 0)</f>
        <v>0</v>
      </c>
      <c r="P232" s="11">
        <f>IF(G232&gt;H232, MIN(G232-H232, J232-H232)*
INDEX('2018_commission_structure'!$A$1:$I$4,
MATCH($D232, '2018_commission_structure'!$A$1:$A$4, 0),
MATCH(O$1, '2018_commission_structure'!$A$1:$I$1, 0)), 0)</f>
        <v>0</v>
      </c>
      <c r="Q232" s="11">
        <f>IF(G232&gt;H232, MIN(G232-H232, I232-H232)*
INDEX('2018_commission_structure'!$A$1:$I$4,
MATCH($D232, '2018_commission_structure'!$A$1:$A$4, 0),
MATCH(P$1, '2018_commission_structure'!$A$1:$I$1, 0)), 0)</f>
        <v>0</v>
      </c>
      <c r="R232" s="11">
        <f>IF(G232&gt;K232, (G232-K232) *
INDEX('2018_commission_structure'!$A$1:$I$4,
MATCH($D232, '2018_commission_structure'!$A$1:$A$4,0),
MATCH(R$1, '2018_commission_structure'!$A$1:$I$1,0)), 0)</f>
        <v>0</v>
      </c>
      <c r="S232" s="11">
        <f t="shared" si="23"/>
        <v>0</v>
      </c>
      <c r="T232" s="11" cm="1">
        <f t="array" ref="T232">SUM(E232+O232:Q232)</f>
        <v>344169</v>
      </c>
    </row>
    <row r="233" spans="1:20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 xml:space="preserve"> COUNTIF(deals_closed!D:D,A233)</f>
        <v>21</v>
      </c>
      <c r="G233" s="5">
        <f>SUMIF(deals_closed!D:D, calculations!A233, deals_closed!C:C)</f>
        <v>702109</v>
      </c>
      <c r="H233" s="5">
        <f>VLOOKUP(D233,'2018_commission_structure'!$A$2:$I$4,9,FALSE)</f>
        <v>600000</v>
      </c>
      <c r="I233" s="9">
        <f t="shared" si="18"/>
        <v>750000</v>
      </c>
      <c r="J233" s="8">
        <f t="shared" si="19"/>
        <v>900000</v>
      </c>
      <c r="K233" s="9">
        <f t="shared" si="20"/>
        <v>1200000</v>
      </c>
      <c r="L233" s="10">
        <f t="shared" si="21"/>
        <v>1.1701816666666667</v>
      </c>
      <c r="M233" t="str">
        <f t="shared" si="22"/>
        <v>100-125%</v>
      </c>
      <c r="N233" s="9">
        <f>MIN(H233, G233)*INDEX('2018_commission_structure'!$A$1:$I$4,
MATCH($D233, '2018_commission_structure'!$A$1:$A$4,0),
MATCH(N$1, '2018_commission_structure'!$A$1:$I$1,0))</f>
        <v>78000</v>
      </c>
      <c r="O233" s="11">
        <f>IF(G233&gt;H233, MIN(G233-H233, I233-H233)*
INDEX('2018_commission_structure'!$A$1:$I$4,
MATCH($D233, '2018_commission_structure'!$A$1:$A$4, 0),
MATCH(O$1, '2018_commission_structure'!$A$1:$I$1, 0)), 0)</f>
        <v>17358.530000000002</v>
      </c>
      <c r="P233" s="11">
        <f>IF(G233&gt;H233, MIN(G233-H233, J233-H233)*
INDEX('2018_commission_structure'!$A$1:$I$4,
MATCH($D233, '2018_commission_structure'!$A$1:$A$4, 0),
MATCH(O$1, '2018_commission_structure'!$A$1:$I$1, 0)), 0)</f>
        <v>17358.530000000002</v>
      </c>
      <c r="Q233" s="11">
        <f>IF(G233&gt;H233, MIN(G233-H233, I233-H233)*
INDEX('2018_commission_structure'!$A$1:$I$4,
MATCH($D233, '2018_commission_structure'!$A$1:$A$4, 0),
MATCH(P$1, '2018_commission_structure'!$A$1:$I$1, 0)), 0)</f>
        <v>21442.89</v>
      </c>
      <c r="R233" s="11">
        <f>IF(G233&gt;K233, (G233-K233) *
INDEX('2018_commission_structure'!$A$1:$I$4,
MATCH($D233, '2018_commission_structure'!$A$1:$A$4,0),
MATCH(R$1, '2018_commission_structure'!$A$1:$I$1,0)), 0)</f>
        <v>0</v>
      </c>
      <c r="S233" s="11">
        <f t="shared" si="23"/>
        <v>56159.950000000004</v>
      </c>
      <c r="T233" s="11" cm="1">
        <f t="array" ref="T233">SUM(E233+O233:Q233)</f>
        <v>247421.95</v>
      </c>
    </row>
    <row r="234" spans="1:20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 xml:space="preserve"> COUNTIF(deals_closed!D:D,A234)</f>
        <v>12</v>
      </c>
      <c r="G234" s="5">
        <f>SUMIF(deals_closed!D:D, calculations!A234, deals_closed!C:C)</f>
        <v>372405</v>
      </c>
      <c r="H234" s="5">
        <f>VLOOKUP(D234,'2018_commission_structure'!$A$2:$I$4,9,FALSE)</f>
        <v>500000</v>
      </c>
      <c r="I234" s="9">
        <f t="shared" si="18"/>
        <v>625000</v>
      </c>
      <c r="J234" s="8">
        <f t="shared" si="19"/>
        <v>750000</v>
      </c>
      <c r="K234" s="9">
        <f t="shared" si="20"/>
        <v>1000000</v>
      </c>
      <c r="L234" s="10">
        <f t="shared" si="21"/>
        <v>0.74480999999999997</v>
      </c>
      <c r="M234" t="str">
        <f t="shared" si="22"/>
        <v>0-100%</v>
      </c>
      <c r="N234" s="9">
        <f>MIN(H234, G234)*INDEX('2018_commission_structure'!$A$1:$I$4,
MATCH($D234, '2018_commission_structure'!$A$1:$A$4,0),
MATCH(N$1, '2018_commission_structure'!$A$1:$I$1,0))</f>
        <v>37240.5</v>
      </c>
      <c r="O234" s="11">
        <f>IF(G234&gt;H234, MIN(G234-H234, I234-H234)*
INDEX('2018_commission_structure'!$A$1:$I$4,
MATCH($D234, '2018_commission_structure'!$A$1:$A$4, 0),
MATCH(O$1, '2018_commission_structure'!$A$1:$I$1, 0)), 0)</f>
        <v>0</v>
      </c>
      <c r="P234" s="11">
        <f>IF(G234&gt;H234, MIN(G234-H234, J234-H234)*
INDEX('2018_commission_structure'!$A$1:$I$4,
MATCH($D234, '2018_commission_structure'!$A$1:$A$4, 0),
MATCH(O$1, '2018_commission_structure'!$A$1:$I$1, 0)), 0)</f>
        <v>0</v>
      </c>
      <c r="Q234" s="11">
        <f>IF(G234&gt;H234, MIN(G234-H234, I234-H234)*
INDEX('2018_commission_structure'!$A$1:$I$4,
MATCH($D234, '2018_commission_structure'!$A$1:$A$4, 0),
MATCH(P$1, '2018_commission_structure'!$A$1:$I$1, 0)), 0)</f>
        <v>0</v>
      </c>
      <c r="R234" s="11">
        <f>IF(G234&gt;K234, (G234-K234) *
INDEX('2018_commission_structure'!$A$1:$I$4,
MATCH($D234, '2018_commission_structure'!$A$1:$A$4,0),
MATCH(R$1, '2018_commission_structure'!$A$1:$I$1,0)), 0)</f>
        <v>0</v>
      </c>
      <c r="S234" s="11">
        <f t="shared" si="23"/>
        <v>0</v>
      </c>
      <c r="T234" s="11" cm="1">
        <f t="array" ref="T234">SUM(E234+O234:Q234)</f>
        <v>185037</v>
      </c>
    </row>
    <row r="235" spans="1:20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 xml:space="preserve"> COUNTIF(deals_closed!D:D,A235)</f>
        <v>14</v>
      </c>
      <c r="G235" s="5">
        <f>SUMIF(deals_closed!D:D, calculations!A235, deals_closed!C:C)</f>
        <v>440900</v>
      </c>
      <c r="H235" s="5">
        <f>VLOOKUP(D235,'2018_commission_structure'!$A$2:$I$4,9,FALSE)</f>
        <v>600000</v>
      </c>
      <c r="I235" s="9">
        <f t="shared" si="18"/>
        <v>750000</v>
      </c>
      <c r="J235" s="8">
        <f t="shared" si="19"/>
        <v>900000</v>
      </c>
      <c r="K235" s="9">
        <f t="shared" si="20"/>
        <v>1200000</v>
      </c>
      <c r="L235" s="10">
        <f t="shared" si="21"/>
        <v>0.73483333333333334</v>
      </c>
      <c r="M235" t="str">
        <f t="shared" si="22"/>
        <v>0-100%</v>
      </c>
      <c r="N235" s="9">
        <f>MIN(H235, G235)*INDEX('2018_commission_structure'!$A$1:$I$4,
MATCH($D235, '2018_commission_structure'!$A$1:$A$4,0),
MATCH(N$1, '2018_commission_structure'!$A$1:$I$1,0))</f>
        <v>57317</v>
      </c>
      <c r="O235" s="11">
        <f>IF(G235&gt;H235, MIN(G235-H235, I235-H235)*
INDEX('2018_commission_structure'!$A$1:$I$4,
MATCH($D235, '2018_commission_structure'!$A$1:$A$4, 0),
MATCH(O$1, '2018_commission_structure'!$A$1:$I$1, 0)), 0)</f>
        <v>0</v>
      </c>
      <c r="P235" s="11">
        <f>IF(G235&gt;H235, MIN(G235-H235, J235-H235)*
INDEX('2018_commission_structure'!$A$1:$I$4,
MATCH($D235, '2018_commission_structure'!$A$1:$A$4, 0),
MATCH(O$1, '2018_commission_structure'!$A$1:$I$1, 0)), 0)</f>
        <v>0</v>
      </c>
      <c r="Q235" s="11">
        <f>IF(G235&gt;H235, MIN(G235-H235, I235-H235)*
INDEX('2018_commission_structure'!$A$1:$I$4,
MATCH($D235, '2018_commission_structure'!$A$1:$A$4, 0),
MATCH(P$1, '2018_commission_structure'!$A$1:$I$1, 0)), 0)</f>
        <v>0</v>
      </c>
      <c r="R235" s="11">
        <f>IF(G235&gt;K235, (G235-K235) *
INDEX('2018_commission_structure'!$A$1:$I$4,
MATCH($D235, '2018_commission_structure'!$A$1:$A$4,0),
MATCH(R$1, '2018_commission_structure'!$A$1:$I$1,0)), 0)</f>
        <v>0</v>
      </c>
      <c r="S235" s="11">
        <f t="shared" si="23"/>
        <v>0</v>
      </c>
      <c r="T235" s="11" cm="1">
        <f t="array" ref="T235">SUM(E235+O235:Q235)</f>
        <v>220116</v>
      </c>
    </row>
    <row r="236" spans="1:20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 xml:space="preserve"> COUNTIF(deals_closed!D:D,A236)</f>
        <v>20</v>
      </c>
      <c r="G236" s="5">
        <f>SUMIF(deals_closed!D:D, calculations!A236, deals_closed!C:C)</f>
        <v>637004</v>
      </c>
      <c r="H236" s="5">
        <f>VLOOKUP(D236,'2018_commission_structure'!$A$2:$I$4,9,FALSE)</f>
        <v>750000</v>
      </c>
      <c r="I236" s="9">
        <f t="shared" si="18"/>
        <v>937500</v>
      </c>
      <c r="J236" s="8">
        <f t="shared" si="19"/>
        <v>1125000</v>
      </c>
      <c r="K236" s="9">
        <f t="shared" si="20"/>
        <v>1500000</v>
      </c>
      <c r="L236" s="10">
        <f t="shared" si="21"/>
        <v>0.84933866666666669</v>
      </c>
      <c r="M236" t="str">
        <f t="shared" si="22"/>
        <v>0-100%</v>
      </c>
      <c r="N236" s="9">
        <f>MIN(H236, G236)*INDEX('2018_commission_structure'!$A$1:$I$4,
MATCH($D236, '2018_commission_structure'!$A$1:$A$4,0),
MATCH(N$1, '2018_commission_structure'!$A$1:$I$1,0))</f>
        <v>95550.599999999991</v>
      </c>
      <c r="O236" s="11">
        <f>IF(G236&gt;H236, MIN(G236-H236, I236-H236)*
INDEX('2018_commission_structure'!$A$1:$I$4,
MATCH($D236, '2018_commission_structure'!$A$1:$A$4, 0),
MATCH(O$1, '2018_commission_structure'!$A$1:$I$1, 0)), 0)</f>
        <v>0</v>
      </c>
      <c r="P236" s="11">
        <f>IF(G236&gt;H236, MIN(G236-H236, J236-H236)*
INDEX('2018_commission_structure'!$A$1:$I$4,
MATCH($D236, '2018_commission_structure'!$A$1:$A$4, 0),
MATCH(O$1, '2018_commission_structure'!$A$1:$I$1, 0)), 0)</f>
        <v>0</v>
      </c>
      <c r="Q236" s="11">
        <f>IF(G236&gt;H236, MIN(G236-H236, I236-H236)*
INDEX('2018_commission_structure'!$A$1:$I$4,
MATCH($D236, '2018_commission_structure'!$A$1:$A$4, 0),
MATCH(P$1, '2018_commission_structure'!$A$1:$I$1, 0)), 0)</f>
        <v>0</v>
      </c>
      <c r="R236" s="11">
        <f>IF(G236&gt;K236, (G236-K236) *
INDEX('2018_commission_structure'!$A$1:$I$4,
MATCH($D236, '2018_commission_structure'!$A$1:$A$4,0),
MATCH(R$1, '2018_commission_structure'!$A$1:$I$1,0)), 0)</f>
        <v>0</v>
      </c>
      <c r="S236" s="11">
        <f t="shared" si="23"/>
        <v>0</v>
      </c>
      <c r="T236" s="11" cm="1">
        <f t="array" ref="T236">SUM(E236+O236:Q236)</f>
        <v>339186</v>
      </c>
    </row>
    <row r="237" spans="1:20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 xml:space="preserve"> COUNTIF(deals_closed!D:D,A237)</f>
        <v>22</v>
      </c>
      <c r="G237" s="5">
        <f>SUMIF(deals_closed!D:D, calculations!A237, deals_closed!C:C)</f>
        <v>751367</v>
      </c>
      <c r="H237" s="5">
        <f>VLOOKUP(D237,'2018_commission_structure'!$A$2:$I$4,9,FALSE)</f>
        <v>750000</v>
      </c>
      <c r="I237" s="9">
        <f t="shared" si="18"/>
        <v>937500</v>
      </c>
      <c r="J237" s="8">
        <f t="shared" si="19"/>
        <v>1125000</v>
      </c>
      <c r="K237" s="9">
        <f t="shared" si="20"/>
        <v>1500000</v>
      </c>
      <c r="L237" s="10">
        <f t="shared" si="21"/>
        <v>1.0018226666666668</v>
      </c>
      <c r="M237" t="str">
        <f t="shared" si="22"/>
        <v>100-125%</v>
      </c>
      <c r="N237" s="9">
        <f>MIN(H237, G237)*INDEX('2018_commission_structure'!$A$1:$I$4,
MATCH($D237, '2018_commission_structure'!$A$1:$A$4,0),
MATCH(N$1, '2018_commission_structure'!$A$1:$I$1,0))</f>
        <v>112500</v>
      </c>
      <c r="O237" s="11">
        <f>IF(G237&gt;H237, MIN(G237-H237, I237-H237)*
INDEX('2018_commission_structure'!$A$1:$I$4,
MATCH($D237, '2018_commission_structure'!$A$1:$A$4, 0),
MATCH(O$1, '2018_commission_structure'!$A$1:$I$1, 0)), 0)</f>
        <v>259.73</v>
      </c>
      <c r="P237" s="11">
        <f>IF(G237&gt;H237, MIN(G237-H237, J237-H237)*
INDEX('2018_commission_structure'!$A$1:$I$4,
MATCH($D237, '2018_commission_structure'!$A$1:$A$4, 0),
MATCH(O$1, '2018_commission_structure'!$A$1:$I$1, 0)), 0)</f>
        <v>259.73</v>
      </c>
      <c r="Q237" s="11">
        <f>IF(G237&gt;H237, MIN(G237-H237, I237-H237)*
INDEX('2018_commission_structure'!$A$1:$I$4,
MATCH($D237, '2018_commission_structure'!$A$1:$A$4, 0),
MATCH(P$1, '2018_commission_structure'!$A$1:$I$1, 0)), 0)</f>
        <v>314.41000000000003</v>
      </c>
      <c r="R237" s="11">
        <f>IF(G237&gt;K237, (G237-K237) *
INDEX('2018_commission_structure'!$A$1:$I$4,
MATCH($D237, '2018_commission_structure'!$A$1:$A$4,0),
MATCH(R$1, '2018_commission_structure'!$A$1:$I$1,0)), 0)</f>
        <v>0</v>
      </c>
      <c r="S237" s="11">
        <f t="shared" si="23"/>
        <v>833.87000000000012</v>
      </c>
      <c r="T237" s="11" cm="1">
        <f t="array" ref="T237">SUM(E237+O237:Q237)</f>
        <v>307367.87</v>
      </c>
    </row>
    <row r="238" spans="1:20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 xml:space="preserve"> COUNTIF(deals_closed!D:D,A238)</f>
        <v>25</v>
      </c>
      <c r="G238" s="5">
        <f>SUMIF(deals_closed!D:D, calculations!A238, deals_closed!C:C)</f>
        <v>852493</v>
      </c>
      <c r="H238" s="5">
        <f>VLOOKUP(D238,'2018_commission_structure'!$A$2:$I$4,9,FALSE)</f>
        <v>600000</v>
      </c>
      <c r="I238" s="9">
        <f t="shared" si="18"/>
        <v>750000</v>
      </c>
      <c r="J238" s="8">
        <f t="shared" si="19"/>
        <v>900000</v>
      </c>
      <c r="K238" s="9">
        <f t="shared" si="20"/>
        <v>1200000</v>
      </c>
      <c r="L238" s="10">
        <f t="shared" si="21"/>
        <v>1.4208216666666666</v>
      </c>
      <c r="M238" t="str">
        <f t="shared" si="22"/>
        <v>125-150%</v>
      </c>
      <c r="N238" s="9">
        <f>MIN(H238, G238)*INDEX('2018_commission_structure'!$A$1:$I$4,
MATCH($D238, '2018_commission_structure'!$A$1:$A$4,0),
MATCH(N$1, '2018_commission_structure'!$A$1:$I$1,0))</f>
        <v>78000</v>
      </c>
      <c r="O238" s="11">
        <f>IF(G238&gt;H238, MIN(G238-H238, I238-H238)*
INDEX('2018_commission_structure'!$A$1:$I$4,
MATCH($D238, '2018_commission_structure'!$A$1:$A$4, 0),
MATCH(O$1, '2018_commission_structure'!$A$1:$I$1, 0)), 0)</f>
        <v>25500.000000000004</v>
      </c>
      <c r="P238" s="11">
        <f>IF(G238&gt;H238, MIN(G238-H238, J238-H238)*
INDEX('2018_commission_structure'!$A$1:$I$4,
MATCH($D238, '2018_commission_structure'!$A$1:$A$4, 0),
MATCH(O$1, '2018_commission_structure'!$A$1:$I$1, 0)), 0)</f>
        <v>42923.810000000005</v>
      </c>
      <c r="Q238" s="11">
        <f>IF(G238&gt;H238, MIN(G238-H238, I238-H238)*
INDEX('2018_commission_structure'!$A$1:$I$4,
MATCH($D238, '2018_commission_structure'!$A$1:$A$4, 0),
MATCH(P$1, '2018_commission_structure'!$A$1:$I$1, 0)), 0)</f>
        <v>31500</v>
      </c>
      <c r="R238" s="11">
        <f>IF(G238&gt;K238, (G238-K238) *
INDEX('2018_commission_structure'!$A$1:$I$4,
MATCH($D238, '2018_commission_structure'!$A$1:$A$4,0),
MATCH(R$1, '2018_commission_structure'!$A$1:$I$1,0)), 0)</f>
        <v>0</v>
      </c>
      <c r="S238" s="11">
        <f t="shared" si="23"/>
        <v>99923.810000000012</v>
      </c>
      <c r="T238" s="11" cm="1">
        <f t="array" ref="T238">SUM(E238+O238:Q238)</f>
        <v>335987.81</v>
      </c>
    </row>
    <row r="239" spans="1:20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 xml:space="preserve"> COUNTIF(deals_closed!D:D,A239)</f>
        <v>19</v>
      </c>
      <c r="G239" s="5">
        <f>SUMIF(deals_closed!D:D, calculations!A239, deals_closed!C:C)</f>
        <v>540162</v>
      </c>
      <c r="H239" s="5">
        <f>VLOOKUP(D239,'2018_commission_structure'!$A$2:$I$4,9,FALSE)</f>
        <v>750000</v>
      </c>
      <c r="I239" s="9">
        <f t="shared" si="18"/>
        <v>937500</v>
      </c>
      <c r="J239" s="8">
        <f t="shared" si="19"/>
        <v>1125000</v>
      </c>
      <c r="K239" s="9">
        <f t="shared" si="20"/>
        <v>1500000</v>
      </c>
      <c r="L239" s="10">
        <f t="shared" si="21"/>
        <v>0.72021599999999997</v>
      </c>
      <c r="M239" t="str">
        <f t="shared" si="22"/>
        <v>0-100%</v>
      </c>
      <c r="N239" s="9">
        <f>MIN(H239, G239)*INDEX('2018_commission_structure'!$A$1:$I$4,
MATCH($D239, '2018_commission_structure'!$A$1:$A$4,0),
MATCH(N$1, '2018_commission_structure'!$A$1:$I$1,0))</f>
        <v>81024.3</v>
      </c>
      <c r="O239" s="11">
        <f>IF(G239&gt;H239, MIN(G239-H239, I239-H239)*
INDEX('2018_commission_structure'!$A$1:$I$4,
MATCH($D239, '2018_commission_structure'!$A$1:$A$4, 0),
MATCH(O$1, '2018_commission_structure'!$A$1:$I$1, 0)), 0)</f>
        <v>0</v>
      </c>
      <c r="P239" s="11">
        <f>IF(G239&gt;H239, MIN(G239-H239, J239-H239)*
INDEX('2018_commission_structure'!$A$1:$I$4,
MATCH($D239, '2018_commission_structure'!$A$1:$A$4, 0),
MATCH(O$1, '2018_commission_structure'!$A$1:$I$1, 0)), 0)</f>
        <v>0</v>
      </c>
      <c r="Q239" s="11">
        <f>IF(G239&gt;H239, MIN(G239-H239, I239-H239)*
INDEX('2018_commission_structure'!$A$1:$I$4,
MATCH($D239, '2018_commission_structure'!$A$1:$A$4, 0),
MATCH(P$1, '2018_commission_structure'!$A$1:$I$1, 0)), 0)</f>
        <v>0</v>
      </c>
      <c r="R239" s="11">
        <f>IF(G239&gt;K239, (G239-K239) *
INDEX('2018_commission_structure'!$A$1:$I$4,
MATCH($D239, '2018_commission_structure'!$A$1:$A$4,0),
MATCH(R$1, '2018_commission_structure'!$A$1:$I$1,0)), 0)</f>
        <v>0</v>
      </c>
      <c r="S239" s="11">
        <f t="shared" si="23"/>
        <v>0</v>
      </c>
      <c r="T239" s="11" cm="1">
        <f t="array" ref="T239">SUM(E239+O239:Q239)</f>
        <v>252180</v>
      </c>
    </row>
    <row r="240" spans="1:20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 xml:space="preserve"> COUNTIF(deals_closed!D:D,A240)</f>
        <v>23</v>
      </c>
      <c r="G240" s="5">
        <f>SUMIF(deals_closed!D:D, calculations!A240, deals_closed!C:C)</f>
        <v>834572</v>
      </c>
      <c r="H240" s="5">
        <f>VLOOKUP(D240,'2018_commission_structure'!$A$2:$I$4,9,FALSE)</f>
        <v>600000</v>
      </c>
      <c r="I240" s="9">
        <f t="shared" si="18"/>
        <v>750000</v>
      </c>
      <c r="J240" s="8">
        <f t="shared" si="19"/>
        <v>900000</v>
      </c>
      <c r="K240" s="9">
        <f t="shared" si="20"/>
        <v>1200000</v>
      </c>
      <c r="L240" s="10">
        <f t="shared" si="21"/>
        <v>1.3909533333333333</v>
      </c>
      <c r="M240" t="str">
        <f t="shared" si="22"/>
        <v>125-150%</v>
      </c>
      <c r="N240" s="9">
        <f>MIN(H240, G240)*INDEX('2018_commission_structure'!$A$1:$I$4,
MATCH($D240, '2018_commission_structure'!$A$1:$A$4,0),
MATCH(N$1, '2018_commission_structure'!$A$1:$I$1,0))</f>
        <v>78000</v>
      </c>
      <c r="O240" s="11">
        <f>IF(G240&gt;H240, MIN(G240-H240, I240-H240)*
INDEX('2018_commission_structure'!$A$1:$I$4,
MATCH($D240, '2018_commission_structure'!$A$1:$A$4, 0),
MATCH(O$1, '2018_commission_structure'!$A$1:$I$1, 0)), 0)</f>
        <v>25500.000000000004</v>
      </c>
      <c r="P240" s="11">
        <f>IF(G240&gt;H240, MIN(G240-H240, J240-H240)*
INDEX('2018_commission_structure'!$A$1:$I$4,
MATCH($D240, '2018_commission_structure'!$A$1:$A$4, 0),
MATCH(O$1, '2018_commission_structure'!$A$1:$I$1, 0)), 0)</f>
        <v>39877.240000000005</v>
      </c>
      <c r="Q240" s="11">
        <f>IF(G240&gt;H240, MIN(G240-H240, I240-H240)*
INDEX('2018_commission_structure'!$A$1:$I$4,
MATCH($D240, '2018_commission_structure'!$A$1:$A$4, 0),
MATCH(P$1, '2018_commission_structure'!$A$1:$I$1, 0)), 0)</f>
        <v>31500</v>
      </c>
      <c r="R240" s="11">
        <f>IF(G240&gt;K240, (G240-K240) *
INDEX('2018_commission_structure'!$A$1:$I$4,
MATCH($D240, '2018_commission_structure'!$A$1:$A$4,0),
MATCH(R$1, '2018_commission_structure'!$A$1:$I$1,0)), 0)</f>
        <v>0</v>
      </c>
      <c r="S240" s="11">
        <f t="shared" si="23"/>
        <v>96877.24</v>
      </c>
      <c r="T240" s="11" cm="1">
        <f t="array" ref="T240">SUM(E240+O240:Q240)</f>
        <v>269071.24</v>
      </c>
    </row>
    <row r="241" spans="1:20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 xml:space="preserve"> COUNTIF(deals_closed!D:D,A241)</f>
        <v>14</v>
      </c>
      <c r="G241" s="5">
        <f>SUMIF(deals_closed!D:D, calculations!A241, deals_closed!C:C)</f>
        <v>462920</v>
      </c>
      <c r="H241" s="5">
        <f>VLOOKUP(D241,'2018_commission_structure'!$A$2:$I$4,9,FALSE)</f>
        <v>750000</v>
      </c>
      <c r="I241" s="9">
        <f t="shared" si="18"/>
        <v>937500</v>
      </c>
      <c r="J241" s="8">
        <f t="shared" si="19"/>
        <v>1125000</v>
      </c>
      <c r="K241" s="9">
        <f t="shared" si="20"/>
        <v>1500000</v>
      </c>
      <c r="L241" s="10">
        <f t="shared" si="21"/>
        <v>0.6172266666666667</v>
      </c>
      <c r="M241" t="str">
        <f t="shared" si="22"/>
        <v>0-100%</v>
      </c>
      <c r="N241" s="9">
        <f>MIN(H241, G241)*INDEX('2018_commission_structure'!$A$1:$I$4,
MATCH($D241, '2018_commission_structure'!$A$1:$A$4,0),
MATCH(N$1, '2018_commission_structure'!$A$1:$I$1,0))</f>
        <v>69438</v>
      </c>
      <c r="O241" s="11">
        <f>IF(G241&gt;H241, MIN(G241-H241, I241-H241)*
INDEX('2018_commission_structure'!$A$1:$I$4,
MATCH($D241, '2018_commission_structure'!$A$1:$A$4, 0),
MATCH(O$1, '2018_commission_structure'!$A$1:$I$1, 0)), 0)</f>
        <v>0</v>
      </c>
      <c r="P241" s="11">
        <f>IF(G241&gt;H241, MIN(G241-H241, J241-H241)*
INDEX('2018_commission_structure'!$A$1:$I$4,
MATCH($D241, '2018_commission_structure'!$A$1:$A$4, 0),
MATCH(O$1, '2018_commission_structure'!$A$1:$I$1, 0)), 0)</f>
        <v>0</v>
      </c>
      <c r="Q241" s="11">
        <f>IF(G241&gt;H241, MIN(G241-H241, I241-H241)*
INDEX('2018_commission_structure'!$A$1:$I$4,
MATCH($D241, '2018_commission_structure'!$A$1:$A$4, 0),
MATCH(P$1, '2018_commission_structure'!$A$1:$I$1, 0)), 0)</f>
        <v>0</v>
      </c>
      <c r="R241" s="11">
        <f>IF(G241&gt;K241, (G241-K241) *
INDEX('2018_commission_structure'!$A$1:$I$4,
MATCH($D241, '2018_commission_structure'!$A$1:$A$4,0),
MATCH(R$1, '2018_commission_structure'!$A$1:$I$1,0)), 0)</f>
        <v>0</v>
      </c>
      <c r="S241" s="11">
        <f t="shared" si="23"/>
        <v>0</v>
      </c>
      <c r="T241" s="11" cm="1">
        <f t="array" ref="T241">SUM(E241+O241:Q241)</f>
        <v>297015</v>
      </c>
    </row>
    <row r="242" spans="1:20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 xml:space="preserve"> COUNTIF(deals_closed!D:D,A242)</f>
        <v>19</v>
      </c>
      <c r="G242" s="5">
        <f>SUMIF(deals_closed!D:D, calculations!A242, deals_closed!C:C)</f>
        <v>756055</v>
      </c>
      <c r="H242" s="5">
        <f>VLOOKUP(D242,'2018_commission_structure'!$A$2:$I$4,9,FALSE)</f>
        <v>500000</v>
      </c>
      <c r="I242" s="9">
        <f t="shared" si="18"/>
        <v>625000</v>
      </c>
      <c r="J242" s="8">
        <f t="shared" si="19"/>
        <v>750000</v>
      </c>
      <c r="K242" s="9">
        <f t="shared" si="20"/>
        <v>1000000</v>
      </c>
      <c r="L242" s="10">
        <f t="shared" si="21"/>
        <v>1.5121100000000001</v>
      </c>
      <c r="M242" t="str">
        <f t="shared" si="22"/>
        <v>150-200%</v>
      </c>
      <c r="N242" s="9">
        <f>MIN(H242, G242)*INDEX('2018_commission_structure'!$A$1:$I$4,
MATCH($D242, '2018_commission_structure'!$A$1:$A$4,0),
MATCH(N$1, '2018_commission_structure'!$A$1:$I$1,0))</f>
        <v>50000</v>
      </c>
      <c r="O242" s="11">
        <f>IF(G242&gt;H242, MIN(G242-H242, I242-H242)*
INDEX('2018_commission_structure'!$A$1:$I$4,
MATCH($D242, '2018_commission_structure'!$A$1:$A$4, 0),
MATCH(O$1, '2018_commission_structure'!$A$1:$I$1, 0)), 0)</f>
        <v>18750</v>
      </c>
      <c r="P242" s="11">
        <f>IF(G242&gt;H242, MIN(G242-H242, J242-H242)*
INDEX('2018_commission_structure'!$A$1:$I$4,
MATCH($D242, '2018_commission_structure'!$A$1:$A$4, 0),
MATCH(O$1, '2018_commission_structure'!$A$1:$I$1, 0)), 0)</f>
        <v>37500</v>
      </c>
      <c r="Q242" s="11">
        <f>IF(G242&gt;H242, MIN(G242-H242, I242-H242)*
INDEX('2018_commission_structure'!$A$1:$I$4,
MATCH($D242, '2018_commission_structure'!$A$1:$A$4, 0),
MATCH(P$1, '2018_commission_structure'!$A$1:$I$1, 0)), 0)</f>
        <v>22500</v>
      </c>
      <c r="R242" s="11">
        <f>IF(G242&gt;K242, (G242-K242) *
INDEX('2018_commission_structure'!$A$1:$I$4,
MATCH($D242, '2018_commission_structure'!$A$1:$A$4,0),
MATCH(R$1, '2018_commission_structure'!$A$1:$I$1,0)), 0)</f>
        <v>0</v>
      </c>
      <c r="S242" s="11">
        <f t="shared" si="23"/>
        <v>78750</v>
      </c>
      <c r="T242" s="11" cm="1">
        <f t="array" ref="T242">SUM(E242+O242:Q242)</f>
        <v>242085</v>
      </c>
    </row>
    <row r="243" spans="1:20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 xml:space="preserve"> COUNTIF(deals_closed!D:D,A243)</f>
        <v>15</v>
      </c>
      <c r="G243" s="5">
        <f>SUMIF(deals_closed!D:D, calculations!A243, deals_closed!C:C)</f>
        <v>503488</v>
      </c>
      <c r="H243" s="5">
        <f>VLOOKUP(D243,'2018_commission_structure'!$A$2:$I$4,9,FALSE)</f>
        <v>600000</v>
      </c>
      <c r="I243" s="9">
        <f t="shared" si="18"/>
        <v>750000</v>
      </c>
      <c r="J243" s="8">
        <f t="shared" si="19"/>
        <v>900000</v>
      </c>
      <c r="K243" s="9">
        <f t="shared" si="20"/>
        <v>1200000</v>
      </c>
      <c r="L243" s="10">
        <f t="shared" si="21"/>
        <v>0.83914666666666671</v>
      </c>
      <c r="M243" t="str">
        <f t="shared" si="22"/>
        <v>0-100%</v>
      </c>
      <c r="N243" s="9">
        <f>MIN(H243, G243)*INDEX('2018_commission_structure'!$A$1:$I$4,
MATCH($D243, '2018_commission_structure'!$A$1:$A$4,0),
MATCH(N$1, '2018_commission_structure'!$A$1:$I$1,0))</f>
        <v>65453.440000000002</v>
      </c>
      <c r="O243" s="11">
        <f>IF(G243&gt;H243, MIN(G243-H243, I243-H243)*
INDEX('2018_commission_structure'!$A$1:$I$4,
MATCH($D243, '2018_commission_structure'!$A$1:$A$4, 0),
MATCH(O$1, '2018_commission_structure'!$A$1:$I$1, 0)), 0)</f>
        <v>0</v>
      </c>
      <c r="P243" s="11">
        <f>IF(G243&gt;H243, MIN(G243-H243, J243-H243)*
INDEX('2018_commission_structure'!$A$1:$I$4,
MATCH($D243, '2018_commission_structure'!$A$1:$A$4, 0),
MATCH(O$1, '2018_commission_structure'!$A$1:$I$1, 0)), 0)</f>
        <v>0</v>
      </c>
      <c r="Q243" s="11">
        <f>IF(G243&gt;H243, MIN(G243-H243, I243-H243)*
INDEX('2018_commission_structure'!$A$1:$I$4,
MATCH($D243, '2018_commission_structure'!$A$1:$A$4, 0),
MATCH(P$1, '2018_commission_structure'!$A$1:$I$1, 0)), 0)</f>
        <v>0</v>
      </c>
      <c r="R243" s="11">
        <f>IF(G243&gt;K243, (G243-K243) *
INDEX('2018_commission_structure'!$A$1:$I$4,
MATCH($D243, '2018_commission_structure'!$A$1:$A$4,0),
MATCH(R$1, '2018_commission_structure'!$A$1:$I$1,0)), 0)</f>
        <v>0</v>
      </c>
      <c r="S243" s="11">
        <f t="shared" si="23"/>
        <v>0</v>
      </c>
      <c r="T243" s="11" cm="1">
        <f t="array" ref="T243">SUM(E243+O243:Q243)</f>
        <v>195447</v>
      </c>
    </row>
    <row r="244" spans="1:20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 xml:space="preserve"> COUNTIF(deals_closed!D:D,A244)</f>
        <v>18</v>
      </c>
      <c r="G244" s="5">
        <f>SUMIF(deals_closed!D:D, calculations!A244, deals_closed!C:C)</f>
        <v>615212</v>
      </c>
      <c r="H244" s="5">
        <f>VLOOKUP(D244,'2018_commission_structure'!$A$2:$I$4,9,FALSE)</f>
        <v>500000</v>
      </c>
      <c r="I244" s="9">
        <f t="shared" si="18"/>
        <v>625000</v>
      </c>
      <c r="J244" s="8">
        <f t="shared" si="19"/>
        <v>750000</v>
      </c>
      <c r="K244" s="9">
        <f t="shared" si="20"/>
        <v>1000000</v>
      </c>
      <c r="L244" s="10">
        <f t="shared" si="21"/>
        <v>1.230424</v>
      </c>
      <c r="M244" t="str">
        <f t="shared" si="22"/>
        <v>100-125%</v>
      </c>
      <c r="N244" s="9">
        <f>MIN(H244, G244)*INDEX('2018_commission_structure'!$A$1:$I$4,
MATCH($D244, '2018_commission_structure'!$A$1:$A$4,0),
MATCH(N$1, '2018_commission_structure'!$A$1:$I$1,0))</f>
        <v>50000</v>
      </c>
      <c r="O244" s="11">
        <f>IF(G244&gt;H244, MIN(G244-H244, I244-H244)*
INDEX('2018_commission_structure'!$A$1:$I$4,
MATCH($D244, '2018_commission_structure'!$A$1:$A$4, 0),
MATCH(O$1, '2018_commission_structure'!$A$1:$I$1, 0)), 0)</f>
        <v>17281.8</v>
      </c>
      <c r="P244" s="11">
        <f>IF(G244&gt;H244, MIN(G244-H244, J244-H244)*
INDEX('2018_commission_structure'!$A$1:$I$4,
MATCH($D244, '2018_commission_structure'!$A$1:$A$4, 0),
MATCH(O$1, '2018_commission_structure'!$A$1:$I$1, 0)), 0)</f>
        <v>17281.8</v>
      </c>
      <c r="Q244" s="11">
        <f>IF(G244&gt;H244, MIN(G244-H244, I244-H244)*
INDEX('2018_commission_structure'!$A$1:$I$4,
MATCH($D244, '2018_commission_structure'!$A$1:$A$4, 0),
MATCH(P$1, '2018_commission_structure'!$A$1:$I$1, 0)), 0)</f>
        <v>20738.16</v>
      </c>
      <c r="R244" s="11">
        <f>IF(G244&gt;K244, (G244-K244) *
INDEX('2018_commission_structure'!$A$1:$I$4,
MATCH($D244, '2018_commission_structure'!$A$1:$A$4,0),
MATCH(R$1, '2018_commission_structure'!$A$1:$I$1,0)), 0)</f>
        <v>0</v>
      </c>
      <c r="S244" s="11">
        <f t="shared" si="23"/>
        <v>55301.759999999995</v>
      </c>
      <c r="T244" s="11" cm="1">
        <f t="array" ref="T244">SUM(E244+O244:Q244)</f>
        <v>147221.76000000001</v>
      </c>
    </row>
    <row r="245" spans="1:20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 xml:space="preserve"> COUNTIF(deals_closed!D:D,A245)</f>
        <v>20</v>
      </c>
      <c r="G245" s="5">
        <f>SUMIF(deals_closed!D:D, calculations!A245, deals_closed!C:C)</f>
        <v>647076</v>
      </c>
      <c r="H245" s="5">
        <f>VLOOKUP(D245,'2018_commission_structure'!$A$2:$I$4,9,FALSE)</f>
        <v>500000</v>
      </c>
      <c r="I245" s="9">
        <f t="shared" si="18"/>
        <v>625000</v>
      </c>
      <c r="J245" s="8">
        <f t="shared" si="19"/>
        <v>750000</v>
      </c>
      <c r="K245" s="9">
        <f t="shared" si="20"/>
        <v>1000000</v>
      </c>
      <c r="L245" s="10">
        <f t="shared" si="21"/>
        <v>1.294152</v>
      </c>
      <c r="M245" t="str">
        <f t="shared" si="22"/>
        <v>125-150%</v>
      </c>
      <c r="N245" s="9">
        <f>MIN(H245, G245)*INDEX('2018_commission_structure'!$A$1:$I$4,
MATCH($D245, '2018_commission_structure'!$A$1:$A$4,0),
MATCH(N$1, '2018_commission_structure'!$A$1:$I$1,0))</f>
        <v>50000</v>
      </c>
      <c r="O245" s="11">
        <f>IF(G245&gt;H245, MIN(G245-H245, I245-H245)*
INDEX('2018_commission_structure'!$A$1:$I$4,
MATCH($D245, '2018_commission_structure'!$A$1:$A$4, 0),
MATCH(O$1, '2018_commission_structure'!$A$1:$I$1, 0)), 0)</f>
        <v>18750</v>
      </c>
      <c r="P245" s="11">
        <f>IF(G245&gt;H245, MIN(G245-H245, J245-H245)*
INDEX('2018_commission_structure'!$A$1:$I$4,
MATCH($D245, '2018_commission_structure'!$A$1:$A$4, 0),
MATCH(O$1, '2018_commission_structure'!$A$1:$I$1, 0)), 0)</f>
        <v>22061.399999999998</v>
      </c>
      <c r="Q245" s="11">
        <f>IF(G245&gt;H245, MIN(G245-H245, I245-H245)*
INDEX('2018_commission_structure'!$A$1:$I$4,
MATCH($D245, '2018_commission_structure'!$A$1:$A$4, 0),
MATCH(P$1, '2018_commission_structure'!$A$1:$I$1, 0)), 0)</f>
        <v>22500</v>
      </c>
      <c r="R245" s="11">
        <f>IF(G245&gt;K245, (G245-K245) *
INDEX('2018_commission_structure'!$A$1:$I$4,
MATCH($D245, '2018_commission_structure'!$A$1:$A$4,0),
MATCH(R$1, '2018_commission_structure'!$A$1:$I$1,0)), 0)</f>
        <v>0</v>
      </c>
      <c r="S245" s="11">
        <f t="shared" si="23"/>
        <v>63311.399999999994</v>
      </c>
      <c r="T245" s="11" cm="1">
        <f t="array" ref="T245">SUM(E245+O245:Q245)</f>
        <v>206930.4</v>
      </c>
    </row>
    <row r="246" spans="1:20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 xml:space="preserve"> COUNTIF(deals_closed!D:D,A246)</f>
        <v>20</v>
      </c>
      <c r="G246" s="5">
        <f>SUMIF(deals_closed!D:D, calculations!A246, deals_closed!C:C)</f>
        <v>659415</v>
      </c>
      <c r="H246" s="5">
        <f>VLOOKUP(D246,'2018_commission_structure'!$A$2:$I$4,9,FALSE)</f>
        <v>600000</v>
      </c>
      <c r="I246" s="9">
        <f t="shared" si="18"/>
        <v>750000</v>
      </c>
      <c r="J246" s="8">
        <f t="shared" si="19"/>
        <v>900000</v>
      </c>
      <c r="K246" s="9">
        <f t="shared" si="20"/>
        <v>1200000</v>
      </c>
      <c r="L246" s="10">
        <f t="shared" si="21"/>
        <v>1.0990249999999999</v>
      </c>
      <c r="M246" t="str">
        <f t="shared" si="22"/>
        <v>100-125%</v>
      </c>
      <c r="N246" s="9">
        <f>MIN(H246, G246)*INDEX('2018_commission_structure'!$A$1:$I$4,
MATCH($D246, '2018_commission_structure'!$A$1:$A$4,0),
MATCH(N$1, '2018_commission_structure'!$A$1:$I$1,0))</f>
        <v>78000</v>
      </c>
      <c r="O246" s="11">
        <f>IF(G246&gt;H246, MIN(G246-H246, I246-H246)*
INDEX('2018_commission_structure'!$A$1:$I$4,
MATCH($D246, '2018_commission_structure'!$A$1:$A$4, 0),
MATCH(O$1, '2018_commission_structure'!$A$1:$I$1, 0)), 0)</f>
        <v>10100.550000000001</v>
      </c>
      <c r="P246" s="11">
        <f>IF(G246&gt;H246, MIN(G246-H246, J246-H246)*
INDEX('2018_commission_structure'!$A$1:$I$4,
MATCH($D246, '2018_commission_structure'!$A$1:$A$4, 0),
MATCH(O$1, '2018_commission_structure'!$A$1:$I$1, 0)), 0)</f>
        <v>10100.550000000001</v>
      </c>
      <c r="Q246" s="11">
        <f>IF(G246&gt;H246, MIN(G246-H246, I246-H246)*
INDEX('2018_commission_structure'!$A$1:$I$4,
MATCH($D246, '2018_commission_structure'!$A$1:$A$4, 0),
MATCH(P$1, '2018_commission_structure'!$A$1:$I$1, 0)), 0)</f>
        <v>12477.15</v>
      </c>
      <c r="R246" s="11">
        <f>IF(G246&gt;K246, (G246-K246) *
INDEX('2018_commission_structure'!$A$1:$I$4,
MATCH($D246, '2018_commission_structure'!$A$1:$A$4,0),
MATCH(R$1, '2018_commission_structure'!$A$1:$I$1,0)), 0)</f>
        <v>0</v>
      </c>
      <c r="S246" s="11">
        <f t="shared" si="23"/>
        <v>32678.25</v>
      </c>
      <c r="T246" s="11" cm="1">
        <f t="array" ref="T246">SUM(E246+O246:Q246)</f>
        <v>239075.25</v>
      </c>
    </row>
    <row r="247" spans="1:20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 xml:space="preserve"> COUNTIF(deals_closed!D:D,A247)</f>
        <v>19</v>
      </c>
      <c r="G247" s="5">
        <f>SUMIF(deals_closed!D:D, calculations!A247, deals_closed!C:C)</f>
        <v>746728</v>
      </c>
      <c r="H247" s="5">
        <f>VLOOKUP(D247,'2018_commission_structure'!$A$2:$I$4,9,FALSE)</f>
        <v>600000</v>
      </c>
      <c r="I247" s="9">
        <f t="shared" si="18"/>
        <v>750000</v>
      </c>
      <c r="J247" s="8">
        <f t="shared" si="19"/>
        <v>900000</v>
      </c>
      <c r="K247" s="9">
        <f t="shared" si="20"/>
        <v>1200000</v>
      </c>
      <c r="L247" s="10">
        <f t="shared" si="21"/>
        <v>1.2445466666666667</v>
      </c>
      <c r="M247" t="str">
        <f t="shared" si="22"/>
        <v>100-125%</v>
      </c>
      <c r="N247" s="9">
        <f>MIN(H247, G247)*INDEX('2018_commission_structure'!$A$1:$I$4,
MATCH($D247, '2018_commission_structure'!$A$1:$A$4,0),
MATCH(N$1, '2018_commission_structure'!$A$1:$I$1,0))</f>
        <v>78000</v>
      </c>
      <c r="O247" s="11">
        <f>IF(G247&gt;H247, MIN(G247-H247, I247-H247)*
INDEX('2018_commission_structure'!$A$1:$I$4,
MATCH($D247, '2018_commission_structure'!$A$1:$A$4, 0),
MATCH(O$1, '2018_commission_structure'!$A$1:$I$1, 0)), 0)</f>
        <v>24943.760000000002</v>
      </c>
      <c r="P247" s="11">
        <f>IF(G247&gt;H247, MIN(G247-H247, J247-H247)*
INDEX('2018_commission_structure'!$A$1:$I$4,
MATCH($D247, '2018_commission_structure'!$A$1:$A$4, 0),
MATCH(O$1, '2018_commission_structure'!$A$1:$I$1, 0)), 0)</f>
        <v>24943.760000000002</v>
      </c>
      <c r="Q247" s="11">
        <f>IF(G247&gt;H247, MIN(G247-H247, I247-H247)*
INDEX('2018_commission_structure'!$A$1:$I$4,
MATCH($D247, '2018_commission_structure'!$A$1:$A$4, 0),
MATCH(P$1, '2018_commission_structure'!$A$1:$I$1, 0)), 0)</f>
        <v>30812.879999999997</v>
      </c>
      <c r="R247" s="11">
        <f>IF(G247&gt;K247, (G247-K247) *
INDEX('2018_commission_structure'!$A$1:$I$4,
MATCH($D247, '2018_commission_structure'!$A$1:$A$4,0),
MATCH(R$1, '2018_commission_structure'!$A$1:$I$1,0)), 0)</f>
        <v>0</v>
      </c>
      <c r="S247" s="11">
        <f t="shared" si="23"/>
        <v>80700.399999999994</v>
      </c>
      <c r="T247" s="11" cm="1">
        <f t="array" ref="T247">SUM(E247+O247:Q247)</f>
        <v>272391.40000000002</v>
      </c>
    </row>
    <row r="248" spans="1:20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 xml:space="preserve"> COUNTIF(deals_closed!D:D,A248)</f>
        <v>15</v>
      </c>
      <c r="G248" s="5">
        <f>SUMIF(deals_closed!D:D, calculations!A248, deals_closed!C:C)</f>
        <v>481035</v>
      </c>
      <c r="H248" s="5">
        <f>VLOOKUP(D248,'2018_commission_structure'!$A$2:$I$4,9,FALSE)</f>
        <v>600000</v>
      </c>
      <c r="I248" s="9">
        <f t="shared" si="18"/>
        <v>750000</v>
      </c>
      <c r="J248" s="8">
        <f t="shared" si="19"/>
        <v>900000</v>
      </c>
      <c r="K248" s="9">
        <f t="shared" si="20"/>
        <v>1200000</v>
      </c>
      <c r="L248" s="10">
        <f t="shared" si="21"/>
        <v>0.80172500000000002</v>
      </c>
      <c r="M248" t="str">
        <f t="shared" si="22"/>
        <v>0-100%</v>
      </c>
      <c r="N248" s="9">
        <f>MIN(H248, G248)*INDEX('2018_commission_structure'!$A$1:$I$4,
MATCH($D248, '2018_commission_structure'!$A$1:$A$4,0),
MATCH(N$1, '2018_commission_structure'!$A$1:$I$1,0))</f>
        <v>62534.55</v>
      </c>
      <c r="O248" s="11">
        <f>IF(G248&gt;H248, MIN(G248-H248, I248-H248)*
INDEX('2018_commission_structure'!$A$1:$I$4,
MATCH($D248, '2018_commission_structure'!$A$1:$A$4, 0),
MATCH(O$1, '2018_commission_structure'!$A$1:$I$1, 0)), 0)</f>
        <v>0</v>
      </c>
      <c r="P248" s="11">
        <f>IF(G248&gt;H248, MIN(G248-H248, J248-H248)*
INDEX('2018_commission_structure'!$A$1:$I$4,
MATCH($D248, '2018_commission_structure'!$A$1:$A$4, 0),
MATCH(O$1, '2018_commission_structure'!$A$1:$I$1, 0)), 0)</f>
        <v>0</v>
      </c>
      <c r="Q248" s="11">
        <f>IF(G248&gt;H248, MIN(G248-H248, I248-H248)*
INDEX('2018_commission_structure'!$A$1:$I$4,
MATCH($D248, '2018_commission_structure'!$A$1:$A$4, 0),
MATCH(P$1, '2018_commission_structure'!$A$1:$I$1, 0)), 0)</f>
        <v>0</v>
      </c>
      <c r="R248" s="11">
        <f>IF(G248&gt;K248, (G248-K248) *
INDEX('2018_commission_structure'!$A$1:$I$4,
MATCH($D248, '2018_commission_structure'!$A$1:$A$4,0),
MATCH(R$1, '2018_commission_structure'!$A$1:$I$1,0)), 0)</f>
        <v>0</v>
      </c>
      <c r="S248" s="11">
        <f t="shared" si="23"/>
        <v>0</v>
      </c>
      <c r="T248" s="11" cm="1">
        <f t="array" ref="T248">SUM(E248+O248:Q248)</f>
        <v>152286</v>
      </c>
    </row>
    <row r="249" spans="1:20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 xml:space="preserve"> COUNTIF(deals_closed!D:D,A249)</f>
        <v>17</v>
      </c>
      <c r="G249" s="5">
        <f>SUMIF(deals_closed!D:D, calculations!A249, deals_closed!C:C)</f>
        <v>693757</v>
      </c>
      <c r="H249" s="5">
        <f>VLOOKUP(D249,'2018_commission_structure'!$A$2:$I$4,9,FALSE)</f>
        <v>600000</v>
      </c>
      <c r="I249" s="9">
        <f t="shared" si="18"/>
        <v>750000</v>
      </c>
      <c r="J249" s="8">
        <f t="shared" si="19"/>
        <v>900000</v>
      </c>
      <c r="K249" s="9">
        <f t="shared" si="20"/>
        <v>1200000</v>
      </c>
      <c r="L249" s="10">
        <f t="shared" si="21"/>
        <v>1.1562616666666667</v>
      </c>
      <c r="M249" t="str">
        <f t="shared" si="22"/>
        <v>100-125%</v>
      </c>
      <c r="N249" s="9">
        <f>MIN(H249, G249)*INDEX('2018_commission_structure'!$A$1:$I$4,
MATCH($D249, '2018_commission_structure'!$A$1:$A$4,0),
MATCH(N$1, '2018_commission_structure'!$A$1:$I$1,0))</f>
        <v>78000</v>
      </c>
      <c r="O249" s="11">
        <f>IF(G249&gt;H249, MIN(G249-H249, I249-H249)*
INDEX('2018_commission_structure'!$A$1:$I$4,
MATCH($D249, '2018_commission_structure'!$A$1:$A$4, 0),
MATCH(O$1, '2018_commission_structure'!$A$1:$I$1, 0)), 0)</f>
        <v>15938.69</v>
      </c>
      <c r="P249" s="11">
        <f>IF(G249&gt;H249, MIN(G249-H249, J249-H249)*
INDEX('2018_commission_structure'!$A$1:$I$4,
MATCH($D249, '2018_commission_structure'!$A$1:$A$4, 0),
MATCH(O$1, '2018_commission_structure'!$A$1:$I$1, 0)), 0)</f>
        <v>15938.69</v>
      </c>
      <c r="Q249" s="11">
        <f>IF(G249&gt;H249, MIN(G249-H249, I249-H249)*
INDEX('2018_commission_structure'!$A$1:$I$4,
MATCH($D249, '2018_commission_structure'!$A$1:$A$4, 0),
MATCH(P$1, '2018_commission_structure'!$A$1:$I$1, 0)), 0)</f>
        <v>19688.969999999998</v>
      </c>
      <c r="R249" s="11">
        <f>IF(G249&gt;K249, (G249-K249) *
INDEX('2018_commission_structure'!$A$1:$I$4,
MATCH($D249, '2018_commission_structure'!$A$1:$A$4,0),
MATCH(R$1, '2018_commission_structure'!$A$1:$I$1,0)), 0)</f>
        <v>0</v>
      </c>
      <c r="S249" s="11">
        <f t="shared" si="23"/>
        <v>51566.35</v>
      </c>
      <c r="T249" s="11" cm="1">
        <f t="array" ref="T249">SUM(E249+O249:Q249)</f>
        <v>266960.34999999998</v>
      </c>
    </row>
    <row r="250" spans="1:20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 xml:space="preserve"> COUNTIF(deals_closed!D:D,A250)</f>
        <v>19</v>
      </c>
      <c r="G250" s="5">
        <f>SUMIF(deals_closed!D:D, calculations!A250, deals_closed!C:C)</f>
        <v>686292</v>
      </c>
      <c r="H250" s="5">
        <f>VLOOKUP(D250,'2018_commission_structure'!$A$2:$I$4,9,FALSE)</f>
        <v>750000</v>
      </c>
      <c r="I250" s="9">
        <f t="shared" si="18"/>
        <v>937500</v>
      </c>
      <c r="J250" s="8">
        <f t="shared" si="19"/>
        <v>1125000</v>
      </c>
      <c r="K250" s="9">
        <f t="shared" si="20"/>
        <v>1500000</v>
      </c>
      <c r="L250" s="10">
        <f t="shared" si="21"/>
        <v>0.91505599999999998</v>
      </c>
      <c r="M250" t="str">
        <f t="shared" si="22"/>
        <v>0-100%</v>
      </c>
      <c r="N250" s="9">
        <f>MIN(H250, G250)*INDEX('2018_commission_structure'!$A$1:$I$4,
MATCH($D250, '2018_commission_structure'!$A$1:$A$4,0),
MATCH(N$1, '2018_commission_structure'!$A$1:$I$1,0))</f>
        <v>102943.8</v>
      </c>
      <c r="O250" s="11">
        <f>IF(G250&gt;H250, MIN(G250-H250, I250-H250)*
INDEX('2018_commission_structure'!$A$1:$I$4,
MATCH($D250, '2018_commission_structure'!$A$1:$A$4, 0),
MATCH(O$1, '2018_commission_structure'!$A$1:$I$1, 0)), 0)</f>
        <v>0</v>
      </c>
      <c r="P250" s="11">
        <f>IF(G250&gt;H250, MIN(G250-H250, J250-H250)*
INDEX('2018_commission_structure'!$A$1:$I$4,
MATCH($D250, '2018_commission_structure'!$A$1:$A$4, 0),
MATCH(O$1, '2018_commission_structure'!$A$1:$I$1, 0)), 0)</f>
        <v>0</v>
      </c>
      <c r="Q250" s="11">
        <f>IF(G250&gt;H250, MIN(G250-H250, I250-H250)*
INDEX('2018_commission_structure'!$A$1:$I$4,
MATCH($D250, '2018_commission_structure'!$A$1:$A$4, 0),
MATCH(P$1, '2018_commission_structure'!$A$1:$I$1, 0)), 0)</f>
        <v>0</v>
      </c>
      <c r="R250" s="11">
        <f>IF(G250&gt;K250, (G250-K250) *
INDEX('2018_commission_structure'!$A$1:$I$4,
MATCH($D250, '2018_commission_structure'!$A$1:$A$4,0),
MATCH(R$1, '2018_commission_structure'!$A$1:$I$1,0)), 0)</f>
        <v>0</v>
      </c>
      <c r="S250" s="11">
        <f t="shared" si="23"/>
        <v>0</v>
      </c>
      <c r="T250" s="11" cm="1">
        <f t="array" ref="T250">SUM(E250+O250:Q250)</f>
        <v>362688</v>
      </c>
    </row>
    <row r="251" spans="1:20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 xml:space="preserve"> COUNTIF(deals_closed!D:D,A251)</f>
        <v>14</v>
      </c>
      <c r="G251" s="5">
        <f>SUMIF(deals_closed!D:D, calculations!A251, deals_closed!C:C)</f>
        <v>592368</v>
      </c>
      <c r="H251" s="5">
        <f>VLOOKUP(D251,'2018_commission_structure'!$A$2:$I$4,9,FALSE)</f>
        <v>500000</v>
      </c>
      <c r="I251" s="9">
        <f t="shared" si="18"/>
        <v>625000</v>
      </c>
      <c r="J251" s="8">
        <f t="shared" si="19"/>
        <v>750000</v>
      </c>
      <c r="K251" s="9">
        <f t="shared" si="20"/>
        <v>1000000</v>
      </c>
      <c r="L251" s="10">
        <f t="shared" si="21"/>
        <v>1.184736</v>
      </c>
      <c r="M251" t="str">
        <f t="shared" si="22"/>
        <v>100-125%</v>
      </c>
      <c r="N251" s="9">
        <f>MIN(H251, G251)*INDEX('2018_commission_structure'!$A$1:$I$4,
MATCH($D251, '2018_commission_structure'!$A$1:$A$4,0),
MATCH(N$1, '2018_commission_structure'!$A$1:$I$1,0))</f>
        <v>50000</v>
      </c>
      <c r="O251" s="11">
        <f>IF(G251&gt;H251, MIN(G251-H251, I251-H251)*
INDEX('2018_commission_structure'!$A$1:$I$4,
MATCH($D251, '2018_commission_structure'!$A$1:$A$4, 0),
MATCH(O$1, '2018_commission_structure'!$A$1:$I$1, 0)), 0)</f>
        <v>13855.199999999999</v>
      </c>
      <c r="P251" s="11">
        <f>IF(G251&gt;H251, MIN(G251-H251, J251-H251)*
INDEX('2018_commission_structure'!$A$1:$I$4,
MATCH($D251, '2018_commission_structure'!$A$1:$A$4, 0),
MATCH(O$1, '2018_commission_structure'!$A$1:$I$1, 0)), 0)</f>
        <v>13855.199999999999</v>
      </c>
      <c r="Q251" s="11">
        <f>IF(G251&gt;H251, MIN(G251-H251, I251-H251)*
INDEX('2018_commission_structure'!$A$1:$I$4,
MATCH($D251, '2018_commission_structure'!$A$1:$A$4, 0),
MATCH(P$1, '2018_commission_structure'!$A$1:$I$1, 0)), 0)</f>
        <v>16626.239999999998</v>
      </c>
      <c r="R251" s="11">
        <f>IF(G251&gt;K251, (G251-K251) *
INDEX('2018_commission_structure'!$A$1:$I$4,
MATCH($D251, '2018_commission_structure'!$A$1:$A$4,0),
MATCH(R$1, '2018_commission_structure'!$A$1:$I$1,0)), 0)</f>
        <v>0</v>
      </c>
      <c r="S251" s="11">
        <f t="shared" si="23"/>
        <v>44336.639999999999</v>
      </c>
      <c r="T251" s="11" cm="1">
        <f t="array" ref="T251">SUM(E251+O251:Q251)</f>
        <v>218558.63999999998</v>
      </c>
    </row>
    <row r="252" spans="1:20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 xml:space="preserve"> COUNTIF(deals_closed!D:D,A252)</f>
        <v>25</v>
      </c>
      <c r="G252" s="5">
        <f>SUMIF(deals_closed!D:D, calculations!A252, deals_closed!C:C)</f>
        <v>873913</v>
      </c>
      <c r="H252" s="5">
        <f>VLOOKUP(D252,'2018_commission_structure'!$A$2:$I$4,9,FALSE)</f>
        <v>750000</v>
      </c>
      <c r="I252" s="9">
        <f t="shared" si="18"/>
        <v>937500</v>
      </c>
      <c r="J252" s="8">
        <f t="shared" si="19"/>
        <v>1125000</v>
      </c>
      <c r="K252" s="9">
        <f t="shared" si="20"/>
        <v>1500000</v>
      </c>
      <c r="L252" s="10">
        <f t="shared" si="21"/>
        <v>1.1652173333333333</v>
      </c>
      <c r="M252" t="str">
        <f t="shared" si="22"/>
        <v>100-125%</v>
      </c>
      <c r="N252" s="9">
        <f>MIN(H252, G252)*INDEX('2018_commission_structure'!$A$1:$I$4,
MATCH($D252, '2018_commission_structure'!$A$1:$A$4,0),
MATCH(N$1, '2018_commission_structure'!$A$1:$I$1,0))</f>
        <v>112500</v>
      </c>
      <c r="O252" s="11">
        <f>IF(G252&gt;H252, MIN(G252-H252, I252-H252)*
INDEX('2018_commission_structure'!$A$1:$I$4,
MATCH($D252, '2018_commission_structure'!$A$1:$A$4, 0),
MATCH(O$1, '2018_commission_structure'!$A$1:$I$1, 0)), 0)</f>
        <v>23543.47</v>
      </c>
      <c r="P252" s="11">
        <f>IF(G252&gt;H252, MIN(G252-H252, J252-H252)*
INDEX('2018_commission_structure'!$A$1:$I$4,
MATCH($D252, '2018_commission_structure'!$A$1:$A$4, 0),
MATCH(O$1, '2018_commission_structure'!$A$1:$I$1, 0)), 0)</f>
        <v>23543.47</v>
      </c>
      <c r="Q252" s="11">
        <f>IF(G252&gt;H252, MIN(G252-H252, I252-H252)*
INDEX('2018_commission_structure'!$A$1:$I$4,
MATCH($D252, '2018_commission_structure'!$A$1:$A$4, 0),
MATCH(P$1, '2018_commission_structure'!$A$1:$I$1, 0)), 0)</f>
        <v>28499.99</v>
      </c>
      <c r="R252" s="11">
        <f>IF(G252&gt;K252, (G252-K252) *
INDEX('2018_commission_structure'!$A$1:$I$4,
MATCH($D252, '2018_commission_structure'!$A$1:$A$4,0),
MATCH(R$1, '2018_commission_structure'!$A$1:$I$1,0)), 0)</f>
        <v>0</v>
      </c>
      <c r="S252" s="11">
        <f t="shared" si="23"/>
        <v>75586.930000000008</v>
      </c>
      <c r="T252" s="11" cm="1">
        <f t="array" ref="T252">SUM(E252+O252:Q252)</f>
        <v>413707.93</v>
      </c>
    </row>
    <row r="253" spans="1:20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 xml:space="preserve"> COUNTIF(deals_closed!D:D,A253)</f>
        <v>15</v>
      </c>
      <c r="G253" s="5">
        <f>SUMIF(deals_closed!D:D, calculations!A253, deals_closed!C:C)</f>
        <v>499440</v>
      </c>
      <c r="H253" s="5">
        <f>VLOOKUP(D253,'2018_commission_structure'!$A$2:$I$4,9,FALSE)</f>
        <v>600000</v>
      </c>
      <c r="I253" s="9">
        <f t="shared" si="18"/>
        <v>750000</v>
      </c>
      <c r="J253" s="8">
        <f t="shared" si="19"/>
        <v>900000</v>
      </c>
      <c r="K253" s="9">
        <f t="shared" si="20"/>
        <v>1200000</v>
      </c>
      <c r="L253" s="10">
        <f t="shared" si="21"/>
        <v>0.83240000000000003</v>
      </c>
      <c r="M253" t="str">
        <f t="shared" si="22"/>
        <v>0-100%</v>
      </c>
      <c r="N253" s="9">
        <f>MIN(H253, G253)*INDEX('2018_commission_structure'!$A$1:$I$4,
MATCH($D253, '2018_commission_structure'!$A$1:$A$4,0),
MATCH(N$1, '2018_commission_structure'!$A$1:$I$1,0))</f>
        <v>64927.200000000004</v>
      </c>
      <c r="O253" s="11">
        <f>IF(G253&gt;H253, MIN(G253-H253, I253-H253)*
INDEX('2018_commission_structure'!$A$1:$I$4,
MATCH($D253, '2018_commission_structure'!$A$1:$A$4, 0),
MATCH(O$1, '2018_commission_structure'!$A$1:$I$1, 0)), 0)</f>
        <v>0</v>
      </c>
      <c r="P253" s="11">
        <f>IF(G253&gt;H253, MIN(G253-H253, J253-H253)*
INDEX('2018_commission_structure'!$A$1:$I$4,
MATCH($D253, '2018_commission_structure'!$A$1:$A$4, 0),
MATCH(O$1, '2018_commission_structure'!$A$1:$I$1, 0)), 0)</f>
        <v>0</v>
      </c>
      <c r="Q253" s="11">
        <f>IF(G253&gt;H253, MIN(G253-H253, I253-H253)*
INDEX('2018_commission_structure'!$A$1:$I$4,
MATCH($D253, '2018_commission_structure'!$A$1:$A$4, 0),
MATCH(P$1, '2018_commission_structure'!$A$1:$I$1, 0)), 0)</f>
        <v>0</v>
      </c>
      <c r="R253" s="11">
        <f>IF(G253&gt;K253, (G253-K253) *
INDEX('2018_commission_structure'!$A$1:$I$4,
MATCH($D253, '2018_commission_structure'!$A$1:$A$4,0),
MATCH(R$1, '2018_commission_structure'!$A$1:$I$1,0)), 0)</f>
        <v>0</v>
      </c>
      <c r="S253" s="11">
        <f t="shared" si="23"/>
        <v>0</v>
      </c>
      <c r="T253" s="11" cm="1">
        <f t="array" ref="T253">SUM(E253+O253:Q253)</f>
        <v>181959</v>
      </c>
    </row>
    <row r="254" spans="1:20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 xml:space="preserve"> COUNTIF(deals_closed!D:D,A254)</f>
        <v>14</v>
      </c>
      <c r="G254" s="5">
        <f>SUMIF(deals_closed!D:D, calculations!A254, deals_closed!C:C)</f>
        <v>551513</v>
      </c>
      <c r="H254" s="5">
        <f>VLOOKUP(D254,'2018_commission_structure'!$A$2:$I$4,9,FALSE)</f>
        <v>500000</v>
      </c>
      <c r="I254" s="9">
        <f t="shared" si="18"/>
        <v>625000</v>
      </c>
      <c r="J254" s="8">
        <f t="shared" si="19"/>
        <v>750000</v>
      </c>
      <c r="K254" s="9">
        <f t="shared" si="20"/>
        <v>1000000</v>
      </c>
      <c r="L254" s="10">
        <f t="shared" si="21"/>
        <v>1.1030260000000001</v>
      </c>
      <c r="M254" t="str">
        <f t="shared" si="22"/>
        <v>100-125%</v>
      </c>
      <c r="N254" s="9">
        <f>MIN(H254, G254)*INDEX('2018_commission_structure'!$A$1:$I$4,
MATCH($D254, '2018_commission_structure'!$A$1:$A$4,0),
MATCH(N$1, '2018_commission_structure'!$A$1:$I$1,0))</f>
        <v>50000</v>
      </c>
      <c r="O254" s="11">
        <f>IF(G254&gt;H254, MIN(G254-H254, I254-H254)*
INDEX('2018_commission_structure'!$A$1:$I$4,
MATCH($D254, '2018_commission_structure'!$A$1:$A$4, 0),
MATCH(O$1, '2018_commission_structure'!$A$1:$I$1, 0)), 0)</f>
        <v>7726.95</v>
      </c>
      <c r="P254" s="11">
        <f>IF(G254&gt;H254, MIN(G254-H254, J254-H254)*
INDEX('2018_commission_structure'!$A$1:$I$4,
MATCH($D254, '2018_commission_structure'!$A$1:$A$4, 0),
MATCH(O$1, '2018_commission_structure'!$A$1:$I$1, 0)), 0)</f>
        <v>7726.95</v>
      </c>
      <c r="Q254" s="11">
        <f>IF(G254&gt;H254, MIN(G254-H254, I254-H254)*
INDEX('2018_commission_structure'!$A$1:$I$4,
MATCH($D254, '2018_commission_structure'!$A$1:$A$4, 0),
MATCH(P$1, '2018_commission_structure'!$A$1:$I$1, 0)), 0)</f>
        <v>9272.34</v>
      </c>
      <c r="R254" s="11">
        <f>IF(G254&gt;K254, (G254-K254) *
INDEX('2018_commission_structure'!$A$1:$I$4,
MATCH($D254, '2018_commission_structure'!$A$1:$A$4,0),
MATCH(R$1, '2018_commission_structure'!$A$1:$I$1,0)), 0)</f>
        <v>0</v>
      </c>
      <c r="S254" s="11">
        <f t="shared" si="23"/>
        <v>24726.239999999998</v>
      </c>
      <c r="T254" s="11" cm="1">
        <f t="array" ref="T254">SUM(E254+O254:Q254)</f>
        <v>121050.23999999999</v>
      </c>
    </row>
    <row r="255" spans="1:20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 xml:space="preserve"> COUNTIF(deals_closed!D:D,A255)</f>
        <v>22</v>
      </c>
      <c r="G255" s="5">
        <f>SUMIF(deals_closed!D:D, calculations!A255, deals_closed!C:C)</f>
        <v>787783</v>
      </c>
      <c r="H255" s="5">
        <f>VLOOKUP(D255,'2018_commission_structure'!$A$2:$I$4,9,FALSE)</f>
        <v>600000</v>
      </c>
      <c r="I255" s="9">
        <f t="shared" si="18"/>
        <v>750000</v>
      </c>
      <c r="J255" s="8">
        <f t="shared" si="19"/>
        <v>900000</v>
      </c>
      <c r="K255" s="9">
        <f t="shared" si="20"/>
        <v>1200000</v>
      </c>
      <c r="L255" s="10">
        <f t="shared" si="21"/>
        <v>1.3129716666666666</v>
      </c>
      <c r="M255" t="str">
        <f t="shared" si="22"/>
        <v>125-150%</v>
      </c>
      <c r="N255" s="9">
        <f>MIN(H255, G255)*INDEX('2018_commission_structure'!$A$1:$I$4,
MATCH($D255, '2018_commission_structure'!$A$1:$A$4,0),
MATCH(N$1, '2018_commission_structure'!$A$1:$I$1,0))</f>
        <v>78000</v>
      </c>
      <c r="O255" s="11">
        <f>IF(G255&gt;H255, MIN(G255-H255, I255-H255)*
INDEX('2018_commission_structure'!$A$1:$I$4,
MATCH($D255, '2018_commission_structure'!$A$1:$A$4, 0),
MATCH(O$1, '2018_commission_structure'!$A$1:$I$1, 0)), 0)</f>
        <v>25500.000000000004</v>
      </c>
      <c r="P255" s="11">
        <f>IF(G255&gt;H255, MIN(G255-H255, J255-H255)*
INDEX('2018_commission_structure'!$A$1:$I$4,
MATCH($D255, '2018_commission_structure'!$A$1:$A$4, 0),
MATCH(O$1, '2018_commission_structure'!$A$1:$I$1, 0)), 0)</f>
        <v>31923.11</v>
      </c>
      <c r="Q255" s="11">
        <f>IF(G255&gt;H255, MIN(G255-H255, I255-H255)*
INDEX('2018_commission_structure'!$A$1:$I$4,
MATCH($D255, '2018_commission_structure'!$A$1:$A$4, 0),
MATCH(P$1, '2018_commission_structure'!$A$1:$I$1, 0)), 0)</f>
        <v>31500</v>
      </c>
      <c r="R255" s="11">
        <f>IF(G255&gt;K255, (G255-K255) *
INDEX('2018_commission_structure'!$A$1:$I$4,
MATCH($D255, '2018_commission_structure'!$A$1:$A$4,0),
MATCH(R$1, '2018_commission_structure'!$A$1:$I$1,0)), 0)</f>
        <v>0</v>
      </c>
      <c r="S255" s="11">
        <f t="shared" si="23"/>
        <v>88923.11</v>
      </c>
      <c r="T255" s="11" cm="1">
        <f t="array" ref="T255">SUM(E255+O255:Q255)</f>
        <v>277488.11</v>
      </c>
    </row>
    <row r="256" spans="1:20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 xml:space="preserve"> COUNTIF(deals_closed!D:D,A256)</f>
        <v>18</v>
      </c>
      <c r="G256" s="5">
        <f>SUMIF(deals_closed!D:D, calculations!A256, deals_closed!C:C)</f>
        <v>646430</v>
      </c>
      <c r="H256" s="5">
        <f>VLOOKUP(D256,'2018_commission_structure'!$A$2:$I$4,9,FALSE)</f>
        <v>500000</v>
      </c>
      <c r="I256" s="9">
        <f t="shared" si="18"/>
        <v>625000</v>
      </c>
      <c r="J256" s="8">
        <f t="shared" si="19"/>
        <v>750000</v>
      </c>
      <c r="K256" s="9">
        <f t="shared" si="20"/>
        <v>1000000</v>
      </c>
      <c r="L256" s="10">
        <f t="shared" si="21"/>
        <v>1.2928599999999999</v>
      </c>
      <c r="M256" t="str">
        <f t="shared" si="22"/>
        <v>125-150%</v>
      </c>
      <c r="N256" s="9">
        <f>MIN(H256, G256)*INDEX('2018_commission_structure'!$A$1:$I$4,
MATCH($D256, '2018_commission_structure'!$A$1:$A$4,0),
MATCH(N$1, '2018_commission_structure'!$A$1:$I$1,0))</f>
        <v>50000</v>
      </c>
      <c r="O256" s="11">
        <f>IF(G256&gt;H256, MIN(G256-H256, I256-H256)*
INDEX('2018_commission_structure'!$A$1:$I$4,
MATCH($D256, '2018_commission_structure'!$A$1:$A$4, 0),
MATCH(O$1, '2018_commission_structure'!$A$1:$I$1, 0)), 0)</f>
        <v>18750</v>
      </c>
      <c r="P256" s="11">
        <f>IF(G256&gt;H256, MIN(G256-H256, J256-H256)*
INDEX('2018_commission_structure'!$A$1:$I$4,
MATCH($D256, '2018_commission_structure'!$A$1:$A$4, 0),
MATCH(O$1, '2018_commission_structure'!$A$1:$I$1, 0)), 0)</f>
        <v>21964.5</v>
      </c>
      <c r="Q256" s="11">
        <f>IF(G256&gt;H256, MIN(G256-H256, I256-H256)*
INDEX('2018_commission_structure'!$A$1:$I$4,
MATCH($D256, '2018_commission_structure'!$A$1:$A$4, 0),
MATCH(P$1, '2018_commission_structure'!$A$1:$I$1, 0)), 0)</f>
        <v>22500</v>
      </c>
      <c r="R256" s="11">
        <f>IF(G256&gt;K256, (G256-K256) *
INDEX('2018_commission_structure'!$A$1:$I$4,
MATCH($D256, '2018_commission_structure'!$A$1:$A$4,0),
MATCH(R$1, '2018_commission_structure'!$A$1:$I$1,0)), 0)</f>
        <v>0</v>
      </c>
      <c r="S256" s="11">
        <f t="shared" si="23"/>
        <v>63214.5</v>
      </c>
      <c r="T256" s="11" cm="1">
        <f t="array" ref="T256">SUM(E256+O256:Q256)</f>
        <v>220471.5</v>
      </c>
    </row>
    <row r="257" spans="1:20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 xml:space="preserve"> COUNTIF(deals_closed!D:D,A257)</f>
        <v>22</v>
      </c>
      <c r="G257" s="5">
        <f>SUMIF(deals_closed!D:D, calculations!A257, deals_closed!C:C)</f>
        <v>789000</v>
      </c>
      <c r="H257" s="5">
        <f>VLOOKUP(D257,'2018_commission_structure'!$A$2:$I$4,9,FALSE)</f>
        <v>750000</v>
      </c>
      <c r="I257" s="9">
        <f t="shared" si="18"/>
        <v>937500</v>
      </c>
      <c r="J257" s="8">
        <f t="shared" si="19"/>
        <v>1125000</v>
      </c>
      <c r="K257" s="9">
        <f t="shared" si="20"/>
        <v>1500000</v>
      </c>
      <c r="L257" s="10">
        <f t="shared" si="21"/>
        <v>1.052</v>
      </c>
      <c r="M257" t="str">
        <f t="shared" si="22"/>
        <v>100-125%</v>
      </c>
      <c r="N257" s="9">
        <f>MIN(H257, G257)*INDEX('2018_commission_structure'!$A$1:$I$4,
MATCH($D257, '2018_commission_structure'!$A$1:$A$4,0),
MATCH(N$1, '2018_commission_structure'!$A$1:$I$1,0))</f>
        <v>112500</v>
      </c>
      <c r="O257" s="11">
        <f>IF(G257&gt;H257, MIN(G257-H257, I257-H257)*
INDEX('2018_commission_structure'!$A$1:$I$4,
MATCH($D257, '2018_commission_structure'!$A$1:$A$4, 0),
MATCH(O$1, '2018_commission_structure'!$A$1:$I$1, 0)), 0)</f>
        <v>7410</v>
      </c>
      <c r="P257" s="11">
        <f>IF(G257&gt;H257, MIN(G257-H257, J257-H257)*
INDEX('2018_commission_structure'!$A$1:$I$4,
MATCH($D257, '2018_commission_structure'!$A$1:$A$4, 0),
MATCH(O$1, '2018_commission_structure'!$A$1:$I$1, 0)), 0)</f>
        <v>7410</v>
      </c>
      <c r="Q257" s="11">
        <f>IF(G257&gt;H257, MIN(G257-H257, I257-H257)*
INDEX('2018_commission_structure'!$A$1:$I$4,
MATCH($D257, '2018_commission_structure'!$A$1:$A$4, 0),
MATCH(P$1, '2018_commission_structure'!$A$1:$I$1, 0)), 0)</f>
        <v>8970</v>
      </c>
      <c r="R257" s="11">
        <f>IF(G257&gt;K257, (G257-K257) *
INDEX('2018_commission_structure'!$A$1:$I$4,
MATCH($D257, '2018_commission_structure'!$A$1:$A$4,0),
MATCH(R$1, '2018_commission_structure'!$A$1:$I$1,0)), 0)</f>
        <v>0</v>
      </c>
      <c r="S257" s="11">
        <f t="shared" si="23"/>
        <v>23790</v>
      </c>
      <c r="T257" s="11" cm="1">
        <f t="array" ref="T257">SUM(E257+O257:Q257)</f>
        <v>365007</v>
      </c>
    </row>
    <row r="258" spans="1:20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 xml:space="preserve"> COUNTIF(deals_closed!D:D,A258)</f>
        <v>23</v>
      </c>
      <c r="G258" s="5">
        <f>SUMIF(deals_closed!D:D, calculations!A258, deals_closed!C:C)</f>
        <v>633465</v>
      </c>
      <c r="H258" s="5">
        <f>VLOOKUP(D258,'2018_commission_structure'!$A$2:$I$4,9,FALSE)</f>
        <v>750000</v>
      </c>
      <c r="I258" s="9">
        <f t="shared" si="18"/>
        <v>937500</v>
      </c>
      <c r="J258" s="8">
        <f t="shared" si="19"/>
        <v>1125000</v>
      </c>
      <c r="K258" s="9">
        <f t="shared" si="20"/>
        <v>1500000</v>
      </c>
      <c r="L258" s="10">
        <f t="shared" si="21"/>
        <v>0.84462000000000004</v>
      </c>
      <c r="M258" t="str">
        <f t="shared" si="22"/>
        <v>0-100%</v>
      </c>
      <c r="N258" s="9">
        <f>MIN(H258, G258)*INDEX('2018_commission_structure'!$A$1:$I$4,
MATCH($D258, '2018_commission_structure'!$A$1:$A$4,0),
MATCH(N$1, '2018_commission_structure'!$A$1:$I$1,0))</f>
        <v>95019.75</v>
      </c>
      <c r="O258" s="11">
        <f>IF(G258&gt;H258, MIN(G258-H258, I258-H258)*
INDEX('2018_commission_structure'!$A$1:$I$4,
MATCH($D258, '2018_commission_structure'!$A$1:$A$4, 0),
MATCH(O$1, '2018_commission_structure'!$A$1:$I$1, 0)), 0)</f>
        <v>0</v>
      </c>
      <c r="P258" s="11">
        <f>IF(G258&gt;H258, MIN(G258-H258, J258-H258)*
INDEX('2018_commission_structure'!$A$1:$I$4,
MATCH($D258, '2018_commission_structure'!$A$1:$A$4, 0),
MATCH(O$1, '2018_commission_structure'!$A$1:$I$1, 0)), 0)</f>
        <v>0</v>
      </c>
      <c r="Q258" s="11">
        <f>IF(G258&gt;H258, MIN(G258-H258, I258-H258)*
INDEX('2018_commission_structure'!$A$1:$I$4,
MATCH($D258, '2018_commission_structure'!$A$1:$A$4, 0),
MATCH(P$1, '2018_commission_structure'!$A$1:$I$1, 0)), 0)</f>
        <v>0</v>
      </c>
      <c r="R258" s="11">
        <f>IF(G258&gt;K258, (G258-K258) *
INDEX('2018_commission_structure'!$A$1:$I$4,
MATCH($D258, '2018_commission_structure'!$A$1:$A$4,0),
MATCH(R$1, '2018_commission_structure'!$A$1:$I$1,0)), 0)</f>
        <v>0</v>
      </c>
      <c r="S258" s="11">
        <f t="shared" si="23"/>
        <v>0</v>
      </c>
      <c r="T258" s="11" cm="1">
        <f t="array" ref="T258">SUM(E258+O258:Q258)</f>
        <v>373116</v>
      </c>
    </row>
    <row r="259" spans="1:20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 xml:space="preserve"> COUNTIF(deals_closed!D:D,A259)</f>
        <v>15</v>
      </c>
      <c r="G259" s="5">
        <f>SUMIF(deals_closed!D:D, calculations!A259, deals_closed!C:C)</f>
        <v>483274</v>
      </c>
      <c r="H259" s="5">
        <f>VLOOKUP(D259,'2018_commission_structure'!$A$2:$I$4,9,FALSE)</f>
        <v>750000</v>
      </c>
      <c r="I259" s="9">
        <f t="shared" ref="I259:I322" si="24">H259*1.25</f>
        <v>937500</v>
      </c>
      <c r="J259" s="8">
        <f t="shared" ref="J259:J322" si="25">H259*1.5</f>
        <v>1125000</v>
      </c>
      <c r="K259" s="9">
        <f t="shared" ref="K259:K322" si="26">H259*2</f>
        <v>1500000</v>
      </c>
      <c r="L259" s="10">
        <f t="shared" ref="L259:L322" si="27">G259/H259</f>
        <v>0.64436533333333335</v>
      </c>
      <c r="M259" t="str">
        <f t="shared" ref="M259:M322" si="28">IF(L259&lt;=1, "0-100%",
IF(L259&lt;=1.25, "100-125%",
IF(L259&lt;=1.5, "125-150%",
IF(L259&lt;2, "150-200%", "&gt;200%"))))</f>
        <v>0-100%</v>
      </c>
      <c r="N259" s="9">
        <f>MIN(H259, G259)*INDEX('2018_commission_structure'!$A$1:$I$4,
MATCH($D259, '2018_commission_structure'!$A$1:$A$4,0),
MATCH(N$1, '2018_commission_structure'!$A$1:$I$1,0))</f>
        <v>72491.099999999991</v>
      </c>
      <c r="O259" s="11">
        <f>IF(G259&gt;H259, MIN(G259-H259, I259-H259)*
INDEX('2018_commission_structure'!$A$1:$I$4,
MATCH($D259, '2018_commission_structure'!$A$1:$A$4, 0),
MATCH(O$1, '2018_commission_structure'!$A$1:$I$1, 0)), 0)</f>
        <v>0</v>
      </c>
      <c r="P259" s="11">
        <f>IF(G259&gt;H259, MIN(G259-H259, J259-H259)*
INDEX('2018_commission_structure'!$A$1:$I$4,
MATCH($D259, '2018_commission_structure'!$A$1:$A$4, 0),
MATCH(O$1, '2018_commission_structure'!$A$1:$I$1, 0)), 0)</f>
        <v>0</v>
      </c>
      <c r="Q259" s="11">
        <f>IF(G259&gt;H259, MIN(G259-H259, I259-H259)*
INDEX('2018_commission_structure'!$A$1:$I$4,
MATCH($D259, '2018_commission_structure'!$A$1:$A$4, 0),
MATCH(P$1, '2018_commission_structure'!$A$1:$I$1, 0)), 0)</f>
        <v>0</v>
      </c>
      <c r="R259" s="11">
        <f>IF(G259&gt;K259, (G259-K259) *
INDEX('2018_commission_structure'!$A$1:$I$4,
MATCH($D259, '2018_commission_structure'!$A$1:$A$4,0),
MATCH(R$1, '2018_commission_structure'!$A$1:$I$1,0)), 0)</f>
        <v>0</v>
      </c>
      <c r="S259" s="11">
        <f t="shared" ref="S259:S322" si="29">SUM(O259:Q259)</f>
        <v>0</v>
      </c>
      <c r="T259" s="11" cm="1">
        <f t="array" ref="T259">SUM(E259+O259:Q259)</f>
        <v>228465</v>
      </c>
    </row>
    <row r="260" spans="1:20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 xml:space="preserve"> COUNTIF(deals_closed!D:D,A260)</f>
        <v>24</v>
      </c>
      <c r="G260" s="5">
        <f>SUMIF(deals_closed!D:D, calculations!A260, deals_closed!C:C)</f>
        <v>792386</v>
      </c>
      <c r="H260" s="5">
        <f>VLOOKUP(D260,'2018_commission_structure'!$A$2:$I$4,9,FALSE)</f>
        <v>500000</v>
      </c>
      <c r="I260" s="9">
        <f t="shared" si="24"/>
        <v>625000</v>
      </c>
      <c r="J260" s="8">
        <f t="shared" si="25"/>
        <v>750000</v>
      </c>
      <c r="K260" s="9">
        <f t="shared" si="26"/>
        <v>1000000</v>
      </c>
      <c r="L260" s="10">
        <f t="shared" si="27"/>
        <v>1.5847720000000001</v>
      </c>
      <c r="M260" t="str">
        <f t="shared" si="28"/>
        <v>150-200%</v>
      </c>
      <c r="N260" s="9">
        <f>MIN(H260, G260)*INDEX('2018_commission_structure'!$A$1:$I$4,
MATCH($D260, '2018_commission_structure'!$A$1:$A$4,0),
MATCH(N$1, '2018_commission_structure'!$A$1:$I$1,0))</f>
        <v>50000</v>
      </c>
      <c r="O260" s="11">
        <f>IF(G260&gt;H260, MIN(G260-H260, I260-H260)*
INDEX('2018_commission_structure'!$A$1:$I$4,
MATCH($D260, '2018_commission_structure'!$A$1:$A$4, 0),
MATCH(O$1, '2018_commission_structure'!$A$1:$I$1, 0)), 0)</f>
        <v>18750</v>
      </c>
      <c r="P260" s="11">
        <f>IF(G260&gt;H260, MIN(G260-H260, J260-H260)*
INDEX('2018_commission_structure'!$A$1:$I$4,
MATCH($D260, '2018_commission_structure'!$A$1:$A$4, 0),
MATCH(O$1, '2018_commission_structure'!$A$1:$I$1, 0)), 0)</f>
        <v>37500</v>
      </c>
      <c r="Q260" s="11">
        <f>IF(G260&gt;H260, MIN(G260-H260, I260-H260)*
INDEX('2018_commission_structure'!$A$1:$I$4,
MATCH($D260, '2018_commission_structure'!$A$1:$A$4, 0),
MATCH(P$1, '2018_commission_structure'!$A$1:$I$1, 0)), 0)</f>
        <v>22500</v>
      </c>
      <c r="R260" s="11">
        <f>IF(G260&gt;K260, (G260-K260) *
INDEX('2018_commission_structure'!$A$1:$I$4,
MATCH($D260, '2018_commission_structure'!$A$1:$A$4,0),
MATCH(R$1, '2018_commission_structure'!$A$1:$I$1,0)), 0)</f>
        <v>0</v>
      </c>
      <c r="S260" s="11">
        <f t="shared" si="29"/>
        <v>78750</v>
      </c>
      <c r="T260" s="11" cm="1">
        <f t="array" ref="T260">SUM(E260+O260:Q260)</f>
        <v>245064</v>
      </c>
    </row>
    <row r="261" spans="1:20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 xml:space="preserve"> COUNTIF(deals_closed!D:D,A261)</f>
        <v>14</v>
      </c>
      <c r="G261" s="5">
        <f>SUMIF(deals_closed!D:D, calculations!A261, deals_closed!C:C)</f>
        <v>428435</v>
      </c>
      <c r="H261" s="5">
        <f>VLOOKUP(D261,'2018_commission_structure'!$A$2:$I$4,9,FALSE)</f>
        <v>500000</v>
      </c>
      <c r="I261" s="9">
        <f t="shared" si="24"/>
        <v>625000</v>
      </c>
      <c r="J261" s="8">
        <f t="shared" si="25"/>
        <v>750000</v>
      </c>
      <c r="K261" s="9">
        <f t="shared" si="26"/>
        <v>1000000</v>
      </c>
      <c r="L261" s="10">
        <f t="shared" si="27"/>
        <v>0.85687000000000002</v>
      </c>
      <c r="M261" t="str">
        <f t="shared" si="28"/>
        <v>0-100%</v>
      </c>
      <c r="N261" s="9">
        <f>MIN(H261, G261)*INDEX('2018_commission_structure'!$A$1:$I$4,
MATCH($D261, '2018_commission_structure'!$A$1:$A$4,0),
MATCH(N$1, '2018_commission_structure'!$A$1:$I$1,0))</f>
        <v>42843.5</v>
      </c>
      <c r="O261" s="11">
        <f>IF(G261&gt;H261, MIN(G261-H261, I261-H261)*
INDEX('2018_commission_structure'!$A$1:$I$4,
MATCH($D261, '2018_commission_structure'!$A$1:$A$4, 0),
MATCH(O$1, '2018_commission_structure'!$A$1:$I$1, 0)), 0)</f>
        <v>0</v>
      </c>
      <c r="P261" s="11">
        <f>IF(G261&gt;H261, MIN(G261-H261, J261-H261)*
INDEX('2018_commission_structure'!$A$1:$I$4,
MATCH($D261, '2018_commission_structure'!$A$1:$A$4, 0),
MATCH(O$1, '2018_commission_structure'!$A$1:$I$1, 0)), 0)</f>
        <v>0</v>
      </c>
      <c r="Q261" s="11">
        <f>IF(G261&gt;H261, MIN(G261-H261, I261-H261)*
INDEX('2018_commission_structure'!$A$1:$I$4,
MATCH($D261, '2018_commission_structure'!$A$1:$A$4, 0),
MATCH(P$1, '2018_commission_structure'!$A$1:$I$1, 0)), 0)</f>
        <v>0</v>
      </c>
      <c r="R261" s="11">
        <f>IF(G261&gt;K261, (G261-K261) *
INDEX('2018_commission_structure'!$A$1:$I$4,
MATCH($D261, '2018_commission_structure'!$A$1:$A$4,0),
MATCH(R$1, '2018_commission_structure'!$A$1:$I$1,0)), 0)</f>
        <v>0</v>
      </c>
      <c r="S261" s="11">
        <f t="shared" si="29"/>
        <v>0</v>
      </c>
      <c r="T261" s="11" cm="1">
        <f t="array" ref="T261">SUM(E261+O261:Q261)</f>
        <v>105267</v>
      </c>
    </row>
    <row r="262" spans="1:20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 xml:space="preserve"> COUNTIF(deals_closed!D:D,A262)</f>
        <v>13</v>
      </c>
      <c r="G262" s="5">
        <f>SUMIF(deals_closed!D:D, calculations!A262, deals_closed!C:C)</f>
        <v>475552</v>
      </c>
      <c r="H262" s="5">
        <f>VLOOKUP(D262,'2018_commission_structure'!$A$2:$I$4,9,FALSE)</f>
        <v>600000</v>
      </c>
      <c r="I262" s="9">
        <f t="shared" si="24"/>
        <v>750000</v>
      </c>
      <c r="J262" s="8">
        <f t="shared" si="25"/>
        <v>900000</v>
      </c>
      <c r="K262" s="9">
        <f t="shared" si="26"/>
        <v>1200000</v>
      </c>
      <c r="L262" s="10">
        <f t="shared" si="27"/>
        <v>0.79258666666666666</v>
      </c>
      <c r="M262" t="str">
        <f t="shared" si="28"/>
        <v>0-100%</v>
      </c>
      <c r="N262" s="9">
        <f>MIN(H262, G262)*INDEX('2018_commission_structure'!$A$1:$I$4,
MATCH($D262, '2018_commission_structure'!$A$1:$A$4,0),
MATCH(N$1, '2018_commission_structure'!$A$1:$I$1,0))</f>
        <v>61821.760000000002</v>
      </c>
      <c r="O262" s="11">
        <f>IF(G262&gt;H262, MIN(G262-H262, I262-H262)*
INDEX('2018_commission_structure'!$A$1:$I$4,
MATCH($D262, '2018_commission_structure'!$A$1:$A$4, 0),
MATCH(O$1, '2018_commission_structure'!$A$1:$I$1, 0)), 0)</f>
        <v>0</v>
      </c>
      <c r="P262" s="11">
        <f>IF(G262&gt;H262, MIN(G262-H262, J262-H262)*
INDEX('2018_commission_structure'!$A$1:$I$4,
MATCH($D262, '2018_commission_structure'!$A$1:$A$4, 0),
MATCH(O$1, '2018_commission_structure'!$A$1:$I$1, 0)), 0)</f>
        <v>0</v>
      </c>
      <c r="Q262" s="11">
        <f>IF(G262&gt;H262, MIN(G262-H262, I262-H262)*
INDEX('2018_commission_structure'!$A$1:$I$4,
MATCH($D262, '2018_commission_structure'!$A$1:$A$4, 0),
MATCH(P$1, '2018_commission_structure'!$A$1:$I$1, 0)), 0)</f>
        <v>0</v>
      </c>
      <c r="R262" s="11">
        <f>IF(G262&gt;K262, (G262-K262) *
INDEX('2018_commission_structure'!$A$1:$I$4,
MATCH($D262, '2018_commission_structure'!$A$1:$A$4,0),
MATCH(R$1, '2018_commission_structure'!$A$1:$I$1,0)), 0)</f>
        <v>0</v>
      </c>
      <c r="S262" s="11">
        <f t="shared" si="29"/>
        <v>0</v>
      </c>
      <c r="T262" s="11" cm="1">
        <f t="array" ref="T262">SUM(E262+O262:Q262)</f>
        <v>154893</v>
      </c>
    </row>
    <row r="263" spans="1:20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 xml:space="preserve"> COUNTIF(deals_closed!D:D,A263)</f>
        <v>23</v>
      </c>
      <c r="G263" s="5">
        <f>SUMIF(deals_closed!D:D, calculations!A263, deals_closed!C:C)</f>
        <v>826675</v>
      </c>
      <c r="H263" s="5">
        <f>VLOOKUP(D263,'2018_commission_structure'!$A$2:$I$4,9,FALSE)</f>
        <v>600000</v>
      </c>
      <c r="I263" s="9">
        <f t="shared" si="24"/>
        <v>750000</v>
      </c>
      <c r="J263" s="8">
        <f t="shared" si="25"/>
        <v>900000</v>
      </c>
      <c r="K263" s="9">
        <f t="shared" si="26"/>
        <v>1200000</v>
      </c>
      <c r="L263" s="10">
        <f t="shared" si="27"/>
        <v>1.3777916666666667</v>
      </c>
      <c r="M263" t="str">
        <f t="shared" si="28"/>
        <v>125-150%</v>
      </c>
      <c r="N263" s="9">
        <f>MIN(H263, G263)*INDEX('2018_commission_structure'!$A$1:$I$4,
MATCH($D263, '2018_commission_structure'!$A$1:$A$4,0),
MATCH(N$1, '2018_commission_structure'!$A$1:$I$1,0))</f>
        <v>78000</v>
      </c>
      <c r="O263" s="11">
        <f>IF(G263&gt;H263, MIN(G263-H263, I263-H263)*
INDEX('2018_commission_structure'!$A$1:$I$4,
MATCH($D263, '2018_commission_structure'!$A$1:$A$4, 0),
MATCH(O$1, '2018_commission_structure'!$A$1:$I$1, 0)), 0)</f>
        <v>25500.000000000004</v>
      </c>
      <c r="P263" s="11">
        <f>IF(G263&gt;H263, MIN(G263-H263, J263-H263)*
INDEX('2018_commission_structure'!$A$1:$I$4,
MATCH($D263, '2018_commission_structure'!$A$1:$A$4, 0),
MATCH(O$1, '2018_commission_structure'!$A$1:$I$1, 0)), 0)</f>
        <v>38534.75</v>
      </c>
      <c r="Q263" s="11">
        <f>IF(G263&gt;H263, MIN(G263-H263, I263-H263)*
INDEX('2018_commission_structure'!$A$1:$I$4,
MATCH($D263, '2018_commission_structure'!$A$1:$A$4, 0),
MATCH(P$1, '2018_commission_structure'!$A$1:$I$1, 0)), 0)</f>
        <v>31500</v>
      </c>
      <c r="R263" s="11">
        <f>IF(G263&gt;K263, (G263-K263) *
INDEX('2018_commission_structure'!$A$1:$I$4,
MATCH($D263, '2018_commission_structure'!$A$1:$A$4,0),
MATCH(R$1, '2018_commission_structure'!$A$1:$I$1,0)), 0)</f>
        <v>0</v>
      </c>
      <c r="S263" s="11">
        <f t="shared" si="29"/>
        <v>95534.75</v>
      </c>
      <c r="T263" s="11" cm="1">
        <f t="array" ref="T263">SUM(E263+O263:Q263)</f>
        <v>278402.75</v>
      </c>
    </row>
    <row r="264" spans="1:20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 xml:space="preserve"> COUNTIF(deals_closed!D:D,A264)</f>
        <v>16</v>
      </c>
      <c r="G264" s="5">
        <f>SUMIF(deals_closed!D:D, calculations!A264, deals_closed!C:C)</f>
        <v>619467</v>
      </c>
      <c r="H264" s="5">
        <f>VLOOKUP(D264,'2018_commission_structure'!$A$2:$I$4,9,FALSE)</f>
        <v>750000</v>
      </c>
      <c r="I264" s="9">
        <f t="shared" si="24"/>
        <v>937500</v>
      </c>
      <c r="J264" s="8">
        <f t="shared" si="25"/>
        <v>1125000</v>
      </c>
      <c r="K264" s="9">
        <f t="shared" si="26"/>
        <v>1500000</v>
      </c>
      <c r="L264" s="10">
        <f t="shared" si="27"/>
        <v>0.82595600000000002</v>
      </c>
      <c r="M264" t="str">
        <f t="shared" si="28"/>
        <v>0-100%</v>
      </c>
      <c r="N264" s="9">
        <f>MIN(H264, G264)*INDEX('2018_commission_structure'!$A$1:$I$4,
MATCH($D264, '2018_commission_structure'!$A$1:$A$4,0),
MATCH(N$1, '2018_commission_structure'!$A$1:$I$1,0))</f>
        <v>92920.05</v>
      </c>
      <c r="O264" s="11">
        <f>IF(G264&gt;H264, MIN(G264-H264, I264-H264)*
INDEX('2018_commission_structure'!$A$1:$I$4,
MATCH($D264, '2018_commission_structure'!$A$1:$A$4, 0),
MATCH(O$1, '2018_commission_structure'!$A$1:$I$1, 0)), 0)</f>
        <v>0</v>
      </c>
      <c r="P264" s="11">
        <f>IF(G264&gt;H264, MIN(G264-H264, J264-H264)*
INDEX('2018_commission_structure'!$A$1:$I$4,
MATCH($D264, '2018_commission_structure'!$A$1:$A$4, 0),
MATCH(O$1, '2018_commission_structure'!$A$1:$I$1, 0)), 0)</f>
        <v>0</v>
      </c>
      <c r="Q264" s="11">
        <f>IF(G264&gt;H264, MIN(G264-H264, I264-H264)*
INDEX('2018_commission_structure'!$A$1:$I$4,
MATCH($D264, '2018_commission_structure'!$A$1:$A$4, 0),
MATCH(P$1, '2018_commission_structure'!$A$1:$I$1, 0)), 0)</f>
        <v>0</v>
      </c>
      <c r="R264" s="11">
        <f>IF(G264&gt;K264, (G264-K264) *
INDEX('2018_commission_structure'!$A$1:$I$4,
MATCH($D264, '2018_commission_structure'!$A$1:$A$4,0),
MATCH(R$1, '2018_commission_structure'!$A$1:$I$1,0)), 0)</f>
        <v>0</v>
      </c>
      <c r="S264" s="11">
        <f t="shared" si="29"/>
        <v>0</v>
      </c>
      <c r="T264" s="11" cm="1">
        <f t="array" ref="T264">SUM(E264+O264:Q264)</f>
        <v>372069</v>
      </c>
    </row>
    <row r="265" spans="1:20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 xml:space="preserve"> COUNTIF(deals_closed!D:D,A265)</f>
        <v>19</v>
      </c>
      <c r="G265" s="5">
        <f>SUMIF(deals_closed!D:D, calculations!A265, deals_closed!C:C)</f>
        <v>673446</v>
      </c>
      <c r="H265" s="5">
        <f>VLOOKUP(D265,'2018_commission_structure'!$A$2:$I$4,9,FALSE)</f>
        <v>600000</v>
      </c>
      <c r="I265" s="9">
        <f t="shared" si="24"/>
        <v>750000</v>
      </c>
      <c r="J265" s="8">
        <f t="shared" si="25"/>
        <v>900000</v>
      </c>
      <c r="K265" s="9">
        <f t="shared" si="26"/>
        <v>1200000</v>
      </c>
      <c r="L265" s="10">
        <f t="shared" si="27"/>
        <v>1.1224099999999999</v>
      </c>
      <c r="M265" t="str">
        <f t="shared" si="28"/>
        <v>100-125%</v>
      </c>
      <c r="N265" s="9">
        <f>MIN(H265, G265)*INDEX('2018_commission_structure'!$A$1:$I$4,
MATCH($D265, '2018_commission_structure'!$A$1:$A$4,0),
MATCH(N$1, '2018_commission_structure'!$A$1:$I$1,0))</f>
        <v>78000</v>
      </c>
      <c r="O265" s="11">
        <f>IF(G265&gt;H265, MIN(G265-H265, I265-H265)*
INDEX('2018_commission_structure'!$A$1:$I$4,
MATCH($D265, '2018_commission_structure'!$A$1:$A$4, 0),
MATCH(O$1, '2018_commission_structure'!$A$1:$I$1, 0)), 0)</f>
        <v>12485.820000000002</v>
      </c>
      <c r="P265" s="11">
        <f>IF(G265&gt;H265, MIN(G265-H265, J265-H265)*
INDEX('2018_commission_structure'!$A$1:$I$4,
MATCH($D265, '2018_commission_structure'!$A$1:$A$4, 0),
MATCH(O$1, '2018_commission_structure'!$A$1:$I$1, 0)), 0)</f>
        <v>12485.820000000002</v>
      </c>
      <c r="Q265" s="11">
        <f>IF(G265&gt;H265, MIN(G265-H265, I265-H265)*
INDEX('2018_commission_structure'!$A$1:$I$4,
MATCH($D265, '2018_commission_structure'!$A$1:$A$4, 0),
MATCH(P$1, '2018_commission_structure'!$A$1:$I$1, 0)), 0)</f>
        <v>15423.66</v>
      </c>
      <c r="R265" s="11">
        <f>IF(G265&gt;K265, (G265-K265) *
INDEX('2018_commission_structure'!$A$1:$I$4,
MATCH($D265, '2018_commission_structure'!$A$1:$A$4,0),
MATCH(R$1, '2018_commission_structure'!$A$1:$I$1,0)), 0)</f>
        <v>0</v>
      </c>
      <c r="S265" s="11">
        <f t="shared" si="29"/>
        <v>40395.300000000003</v>
      </c>
      <c r="T265" s="11" cm="1">
        <f t="array" ref="T265">SUM(E265+O265:Q265)</f>
        <v>265986.30000000005</v>
      </c>
    </row>
    <row r="266" spans="1:20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 xml:space="preserve"> COUNTIF(deals_closed!D:D,A266)</f>
        <v>17</v>
      </c>
      <c r="G266" s="5">
        <f>SUMIF(deals_closed!D:D, calculations!A266, deals_closed!C:C)</f>
        <v>573111</v>
      </c>
      <c r="H266" s="5">
        <f>VLOOKUP(D266,'2018_commission_structure'!$A$2:$I$4,9,FALSE)</f>
        <v>600000</v>
      </c>
      <c r="I266" s="9">
        <f t="shared" si="24"/>
        <v>750000</v>
      </c>
      <c r="J266" s="8">
        <f t="shared" si="25"/>
        <v>900000</v>
      </c>
      <c r="K266" s="9">
        <f t="shared" si="26"/>
        <v>1200000</v>
      </c>
      <c r="L266" s="10">
        <f t="shared" si="27"/>
        <v>0.95518499999999995</v>
      </c>
      <c r="M266" t="str">
        <f t="shared" si="28"/>
        <v>0-100%</v>
      </c>
      <c r="N266" s="9">
        <f>MIN(H266, G266)*INDEX('2018_commission_structure'!$A$1:$I$4,
MATCH($D266, '2018_commission_structure'!$A$1:$A$4,0),
MATCH(N$1, '2018_commission_structure'!$A$1:$I$1,0))</f>
        <v>74504.430000000008</v>
      </c>
      <c r="O266" s="11">
        <f>IF(G266&gt;H266, MIN(G266-H266, I266-H266)*
INDEX('2018_commission_structure'!$A$1:$I$4,
MATCH($D266, '2018_commission_structure'!$A$1:$A$4, 0),
MATCH(O$1, '2018_commission_structure'!$A$1:$I$1, 0)), 0)</f>
        <v>0</v>
      </c>
      <c r="P266" s="11">
        <f>IF(G266&gt;H266, MIN(G266-H266, J266-H266)*
INDEX('2018_commission_structure'!$A$1:$I$4,
MATCH($D266, '2018_commission_structure'!$A$1:$A$4, 0),
MATCH(O$1, '2018_commission_structure'!$A$1:$I$1, 0)), 0)</f>
        <v>0</v>
      </c>
      <c r="Q266" s="11">
        <f>IF(G266&gt;H266, MIN(G266-H266, I266-H266)*
INDEX('2018_commission_structure'!$A$1:$I$4,
MATCH($D266, '2018_commission_structure'!$A$1:$A$4, 0),
MATCH(P$1, '2018_commission_structure'!$A$1:$I$1, 0)), 0)</f>
        <v>0</v>
      </c>
      <c r="R266" s="11">
        <f>IF(G266&gt;K266, (G266-K266) *
INDEX('2018_commission_structure'!$A$1:$I$4,
MATCH($D266, '2018_commission_structure'!$A$1:$A$4,0),
MATCH(R$1, '2018_commission_structure'!$A$1:$I$1,0)), 0)</f>
        <v>0</v>
      </c>
      <c r="S266" s="11">
        <f t="shared" si="29"/>
        <v>0</v>
      </c>
      <c r="T266" s="11" cm="1">
        <f t="array" ref="T266">SUM(E266+O266:Q266)</f>
        <v>221988</v>
      </c>
    </row>
    <row r="267" spans="1:20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 xml:space="preserve"> COUNTIF(deals_closed!D:D,A267)</f>
        <v>16</v>
      </c>
      <c r="G267" s="5">
        <f>SUMIF(deals_closed!D:D, calculations!A267, deals_closed!C:C)</f>
        <v>634351</v>
      </c>
      <c r="H267" s="5">
        <f>VLOOKUP(D267,'2018_commission_structure'!$A$2:$I$4,9,FALSE)</f>
        <v>500000</v>
      </c>
      <c r="I267" s="9">
        <f t="shared" si="24"/>
        <v>625000</v>
      </c>
      <c r="J267" s="8">
        <f t="shared" si="25"/>
        <v>750000</v>
      </c>
      <c r="K267" s="9">
        <f t="shared" si="26"/>
        <v>1000000</v>
      </c>
      <c r="L267" s="10">
        <f t="shared" si="27"/>
        <v>1.268702</v>
      </c>
      <c r="M267" t="str">
        <f t="shared" si="28"/>
        <v>125-150%</v>
      </c>
      <c r="N267" s="9">
        <f>MIN(H267, G267)*INDEX('2018_commission_structure'!$A$1:$I$4,
MATCH($D267, '2018_commission_structure'!$A$1:$A$4,0),
MATCH(N$1, '2018_commission_structure'!$A$1:$I$1,0))</f>
        <v>50000</v>
      </c>
      <c r="O267" s="11">
        <f>IF(G267&gt;H267, MIN(G267-H267, I267-H267)*
INDEX('2018_commission_structure'!$A$1:$I$4,
MATCH($D267, '2018_commission_structure'!$A$1:$A$4, 0),
MATCH(O$1, '2018_commission_structure'!$A$1:$I$1, 0)), 0)</f>
        <v>18750</v>
      </c>
      <c r="P267" s="11">
        <f>IF(G267&gt;H267, MIN(G267-H267, J267-H267)*
INDEX('2018_commission_structure'!$A$1:$I$4,
MATCH($D267, '2018_commission_structure'!$A$1:$A$4, 0),
MATCH(O$1, '2018_commission_structure'!$A$1:$I$1, 0)), 0)</f>
        <v>20152.649999999998</v>
      </c>
      <c r="Q267" s="11">
        <f>IF(G267&gt;H267, MIN(G267-H267, I267-H267)*
INDEX('2018_commission_structure'!$A$1:$I$4,
MATCH($D267, '2018_commission_structure'!$A$1:$A$4, 0),
MATCH(P$1, '2018_commission_structure'!$A$1:$I$1, 0)), 0)</f>
        <v>22500</v>
      </c>
      <c r="R267" s="11">
        <f>IF(G267&gt;K267, (G267-K267) *
INDEX('2018_commission_structure'!$A$1:$I$4,
MATCH($D267, '2018_commission_structure'!$A$1:$A$4,0),
MATCH(R$1, '2018_commission_structure'!$A$1:$I$1,0)), 0)</f>
        <v>0</v>
      </c>
      <c r="S267" s="11">
        <f t="shared" si="29"/>
        <v>61402.649999999994</v>
      </c>
      <c r="T267" s="11" cm="1">
        <f t="array" ref="T267">SUM(E267+O267:Q267)</f>
        <v>199882.65</v>
      </c>
    </row>
    <row r="268" spans="1:20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 xml:space="preserve"> COUNTIF(deals_closed!D:D,A268)</f>
        <v>21</v>
      </c>
      <c r="G268" s="5">
        <f>SUMIF(deals_closed!D:D, calculations!A268, deals_closed!C:C)</f>
        <v>823572</v>
      </c>
      <c r="H268" s="5">
        <f>VLOOKUP(D268,'2018_commission_structure'!$A$2:$I$4,9,FALSE)</f>
        <v>600000</v>
      </c>
      <c r="I268" s="9">
        <f t="shared" si="24"/>
        <v>750000</v>
      </c>
      <c r="J268" s="8">
        <f t="shared" si="25"/>
        <v>900000</v>
      </c>
      <c r="K268" s="9">
        <f t="shared" si="26"/>
        <v>1200000</v>
      </c>
      <c r="L268" s="10">
        <f t="shared" si="27"/>
        <v>1.37262</v>
      </c>
      <c r="M268" t="str">
        <f t="shared" si="28"/>
        <v>125-150%</v>
      </c>
      <c r="N268" s="9">
        <f>MIN(H268, G268)*INDEX('2018_commission_structure'!$A$1:$I$4,
MATCH($D268, '2018_commission_structure'!$A$1:$A$4,0),
MATCH(N$1, '2018_commission_structure'!$A$1:$I$1,0))</f>
        <v>78000</v>
      </c>
      <c r="O268" s="11">
        <f>IF(G268&gt;H268, MIN(G268-H268, I268-H268)*
INDEX('2018_commission_structure'!$A$1:$I$4,
MATCH($D268, '2018_commission_structure'!$A$1:$A$4, 0),
MATCH(O$1, '2018_commission_structure'!$A$1:$I$1, 0)), 0)</f>
        <v>25500.000000000004</v>
      </c>
      <c r="P268" s="11">
        <f>IF(G268&gt;H268, MIN(G268-H268, J268-H268)*
INDEX('2018_commission_structure'!$A$1:$I$4,
MATCH($D268, '2018_commission_structure'!$A$1:$A$4, 0),
MATCH(O$1, '2018_commission_structure'!$A$1:$I$1, 0)), 0)</f>
        <v>38007.240000000005</v>
      </c>
      <c r="Q268" s="11">
        <f>IF(G268&gt;H268, MIN(G268-H268, I268-H268)*
INDEX('2018_commission_structure'!$A$1:$I$4,
MATCH($D268, '2018_commission_structure'!$A$1:$A$4, 0),
MATCH(P$1, '2018_commission_structure'!$A$1:$I$1, 0)), 0)</f>
        <v>31500</v>
      </c>
      <c r="R268" s="11">
        <f>IF(G268&gt;K268, (G268-K268) *
INDEX('2018_commission_structure'!$A$1:$I$4,
MATCH($D268, '2018_commission_structure'!$A$1:$A$4,0),
MATCH(R$1, '2018_commission_structure'!$A$1:$I$1,0)), 0)</f>
        <v>0</v>
      </c>
      <c r="S268" s="11">
        <f t="shared" si="29"/>
        <v>95007.24</v>
      </c>
      <c r="T268" s="11" cm="1">
        <f t="array" ref="T268">SUM(E268+O268:Q268)</f>
        <v>262344.24</v>
      </c>
    </row>
    <row r="269" spans="1:20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 xml:space="preserve"> COUNTIF(deals_closed!D:D,A269)</f>
        <v>33</v>
      </c>
      <c r="G269" s="5">
        <f>SUMIF(deals_closed!D:D, calculations!A269, deals_closed!C:C)</f>
        <v>1369014</v>
      </c>
      <c r="H269" s="5">
        <f>VLOOKUP(D269,'2018_commission_structure'!$A$2:$I$4,9,FALSE)</f>
        <v>600000</v>
      </c>
      <c r="I269" s="9">
        <f t="shared" si="24"/>
        <v>750000</v>
      </c>
      <c r="J269" s="8">
        <f t="shared" si="25"/>
        <v>900000</v>
      </c>
      <c r="K269" s="9">
        <f t="shared" si="26"/>
        <v>1200000</v>
      </c>
      <c r="L269" s="10">
        <f t="shared" si="27"/>
        <v>2.2816900000000002</v>
      </c>
      <c r="M269" t="str">
        <f t="shared" si="28"/>
        <v>&gt;200%</v>
      </c>
      <c r="N269" s="9">
        <f>MIN(H269, G269)*INDEX('2018_commission_structure'!$A$1:$I$4,
MATCH($D269, '2018_commission_structure'!$A$1:$A$4,0),
MATCH(N$1, '2018_commission_structure'!$A$1:$I$1,0))</f>
        <v>78000</v>
      </c>
      <c r="O269" s="11">
        <f>IF(G269&gt;H269, MIN(G269-H269, I269-H269)*
INDEX('2018_commission_structure'!$A$1:$I$4,
MATCH($D269, '2018_commission_structure'!$A$1:$A$4, 0),
MATCH(O$1, '2018_commission_structure'!$A$1:$I$1, 0)), 0)</f>
        <v>25500.000000000004</v>
      </c>
      <c r="P269" s="11">
        <f>IF(G269&gt;H269, MIN(G269-H269, J269-H269)*
INDEX('2018_commission_structure'!$A$1:$I$4,
MATCH($D269, '2018_commission_structure'!$A$1:$A$4, 0),
MATCH(O$1, '2018_commission_structure'!$A$1:$I$1, 0)), 0)</f>
        <v>51000.000000000007</v>
      </c>
      <c r="Q269" s="11">
        <f>IF(G269&gt;H269, MIN(G269-H269, I269-H269)*
INDEX('2018_commission_structure'!$A$1:$I$4,
MATCH($D269, '2018_commission_structure'!$A$1:$A$4, 0),
MATCH(P$1, '2018_commission_structure'!$A$1:$I$1, 0)), 0)</f>
        <v>31500</v>
      </c>
      <c r="R269" s="11">
        <f>IF(G269&gt;K269, (G269-K269) *
INDEX('2018_commission_structure'!$A$1:$I$4,
MATCH($D269, '2018_commission_structure'!$A$1:$A$4,0),
MATCH(R$1, '2018_commission_structure'!$A$1:$I$1,0)), 0)</f>
        <v>21971.82</v>
      </c>
      <c r="S269" s="11">
        <f t="shared" si="29"/>
        <v>108000.00000000001</v>
      </c>
      <c r="T269" s="11" cm="1">
        <f t="array" ref="T269">SUM(E269+O269:Q269)</f>
        <v>326961</v>
      </c>
    </row>
    <row r="270" spans="1:20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 xml:space="preserve"> COUNTIF(deals_closed!D:D,A270)</f>
        <v>14</v>
      </c>
      <c r="G270" s="5">
        <f>SUMIF(deals_closed!D:D, calculations!A270, deals_closed!C:C)</f>
        <v>414266</v>
      </c>
      <c r="H270" s="5">
        <f>VLOOKUP(D270,'2018_commission_structure'!$A$2:$I$4,9,FALSE)</f>
        <v>500000</v>
      </c>
      <c r="I270" s="9">
        <f t="shared" si="24"/>
        <v>625000</v>
      </c>
      <c r="J270" s="8">
        <f t="shared" si="25"/>
        <v>750000</v>
      </c>
      <c r="K270" s="9">
        <f t="shared" si="26"/>
        <v>1000000</v>
      </c>
      <c r="L270" s="10">
        <f t="shared" si="27"/>
        <v>0.82853200000000005</v>
      </c>
      <c r="M270" t="str">
        <f t="shared" si="28"/>
        <v>0-100%</v>
      </c>
      <c r="N270" s="9">
        <f>MIN(H270, G270)*INDEX('2018_commission_structure'!$A$1:$I$4,
MATCH($D270, '2018_commission_structure'!$A$1:$A$4,0),
MATCH(N$1, '2018_commission_structure'!$A$1:$I$1,0))</f>
        <v>41426.600000000006</v>
      </c>
      <c r="O270" s="11">
        <f>IF(G270&gt;H270, MIN(G270-H270, I270-H270)*
INDEX('2018_commission_structure'!$A$1:$I$4,
MATCH($D270, '2018_commission_structure'!$A$1:$A$4, 0),
MATCH(O$1, '2018_commission_structure'!$A$1:$I$1, 0)), 0)</f>
        <v>0</v>
      </c>
      <c r="P270" s="11">
        <f>IF(G270&gt;H270, MIN(G270-H270, J270-H270)*
INDEX('2018_commission_structure'!$A$1:$I$4,
MATCH($D270, '2018_commission_structure'!$A$1:$A$4, 0),
MATCH(O$1, '2018_commission_structure'!$A$1:$I$1, 0)), 0)</f>
        <v>0</v>
      </c>
      <c r="Q270" s="11">
        <f>IF(G270&gt;H270, MIN(G270-H270, I270-H270)*
INDEX('2018_commission_structure'!$A$1:$I$4,
MATCH($D270, '2018_commission_structure'!$A$1:$A$4, 0),
MATCH(P$1, '2018_commission_structure'!$A$1:$I$1, 0)), 0)</f>
        <v>0</v>
      </c>
      <c r="R270" s="11">
        <f>IF(G270&gt;K270, (G270-K270) *
INDEX('2018_commission_structure'!$A$1:$I$4,
MATCH($D270, '2018_commission_structure'!$A$1:$A$4,0),
MATCH(R$1, '2018_commission_structure'!$A$1:$I$1,0)), 0)</f>
        <v>0</v>
      </c>
      <c r="S270" s="11">
        <f t="shared" si="29"/>
        <v>0</v>
      </c>
      <c r="T270" s="11" cm="1">
        <f t="array" ref="T270">SUM(E270+O270:Q270)</f>
        <v>173433</v>
      </c>
    </row>
    <row r="271" spans="1:20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 xml:space="preserve"> COUNTIF(deals_closed!D:D,A271)</f>
        <v>19</v>
      </c>
      <c r="G271" s="5">
        <f>SUMIF(deals_closed!D:D, calculations!A271, deals_closed!C:C)</f>
        <v>644436</v>
      </c>
      <c r="H271" s="5">
        <f>VLOOKUP(D271,'2018_commission_structure'!$A$2:$I$4,9,FALSE)</f>
        <v>500000</v>
      </c>
      <c r="I271" s="9">
        <f t="shared" si="24"/>
        <v>625000</v>
      </c>
      <c r="J271" s="8">
        <f t="shared" si="25"/>
        <v>750000</v>
      </c>
      <c r="K271" s="9">
        <f t="shared" si="26"/>
        <v>1000000</v>
      </c>
      <c r="L271" s="10">
        <f t="shared" si="27"/>
        <v>1.288872</v>
      </c>
      <c r="M271" t="str">
        <f t="shared" si="28"/>
        <v>125-150%</v>
      </c>
      <c r="N271" s="9">
        <f>MIN(H271, G271)*INDEX('2018_commission_structure'!$A$1:$I$4,
MATCH($D271, '2018_commission_structure'!$A$1:$A$4,0),
MATCH(N$1, '2018_commission_structure'!$A$1:$I$1,0))</f>
        <v>50000</v>
      </c>
      <c r="O271" s="11">
        <f>IF(G271&gt;H271, MIN(G271-H271, I271-H271)*
INDEX('2018_commission_structure'!$A$1:$I$4,
MATCH($D271, '2018_commission_structure'!$A$1:$A$4, 0),
MATCH(O$1, '2018_commission_structure'!$A$1:$I$1, 0)), 0)</f>
        <v>18750</v>
      </c>
      <c r="P271" s="11">
        <f>IF(G271&gt;H271, MIN(G271-H271, J271-H271)*
INDEX('2018_commission_structure'!$A$1:$I$4,
MATCH($D271, '2018_commission_structure'!$A$1:$A$4, 0),
MATCH(O$1, '2018_commission_structure'!$A$1:$I$1, 0)), 0)</f>
        <v>21665.399999999998</v>
      </c>
      <c r="Q271" s="11">
        <f>IF(G271&gt;H271, MIN(G271-H271, I271-H271)*
INDEX('2018_commission_structure'!$A$1:$I$4,
MATCH($D271, '2018_commission_structure'!$A$1:$A$4, 0),
MATCH(P$1, '2018_commission_structure'!$A$1:$I$1, 0)), 0)</f>
        <v>22500</v>
      </c>
      <c r="R271" s="11">
        <f>IF(G271&gt;K271, (G271-K271) *
INDEX('2018_commission_structure'!$A$1:$I$4,
MATCH($D271, '2018_commission_structure'!$A$1:$A$4,0),
MATCH(R$1, '2018_commission_structure'!$A$1:$I$1,0)), 0)</f>
        <v>0</v>
      </c>
      <c r="S271" s="11">
        <f t="shared" si="29"/>
        <v>62915.399999999994</v>
      </c>
      <c r="T271" s="11" cm="1">
        <f t="array" ref="T271">SUM(E271+O271:Q271)</f>
        <v>214961.4</v>
      </c>
    </row>
    <row r="272" spans="1:20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 xml:space="preserve"> COUNTIF(deals_closed!D:D,A272)</f>
        <v>20</v>
      </c>
      <c r="G272" s="5">
        <f>SUMIF(deals_closed!D:D, calculations!A272, deals_closed!C:C)</f>
        <v>689888</v>
      </c>
      <c r="H272" s="5">
        <f>VLOOKUP(D272,'2018_commission_structure'!$A$2:$I$4,9,FALSE)</f>
        <v>500000</v>
      </c>
      <c r="I272" s="9">
        <f t="shared" si="24"/>
        <v>625000</v>
      </c>
      <c r="J272" s="8">
        <f t="shared" si="25"/>
        <v>750000</v>
      </c>
      <c r="K272" s="9">
        <f t="shared" si="26"/>
        <v>1000000</v>
      </c>
      <c r="L272" s="10">
        <f t="shared" si="27"/>
        <v>1.3797759999999999</v>
      </c>
      <c r="M272" t="str">
        <f t="shared" si="28"/>
        <v>125-150%</v>
      </c>
      <c r="N272" s="9">
        <f>MIN(H272, G272)*INDEX('2018_commission_structure'!$A$1:$I$4,
MATCH($D272, '2018_commission_structure'!$A$1:$A$4,0),
MATCH(N$1, '2018_commission_structure'!$A$1:$I$1,0))</f>
        <v>50000</v>
      </c>
      <c r="O272" s="11">
        <f>IF(G272&gt;H272, MIN(G272-H272, I272-H272)*
INDEX('2018_commission_structure'!$A$1:$I$4,
MATCH($D272, '2018_commission_structure'!$A$1:$A$4, 0),
MATCH(O$1, '2018_commission_structure'!$A$1:$I$1, 0)), 0)</f>
        <v>18750</v>
      </c>
      <c r="P272" s="11">
        <f>IF(G272&gt;H272, MIN(G272-H272, J272-H272)*
INDEX('2018_commission_structure'!$A$1:$I$4,
MATCH($D272, '2018_commission_structure'!$A$1:$A$4, 0),
MATCH(O$1, '2018_commission_structure'!$A$1:$I$1, 0)), 0)</f>
        <v>28483.200000000001</v>
      </c>
      <c r="Q272" s="11">
        <f>IF(G272&gt;H272, MIN(G272-H272, I272-H272)*
INDEX('2018_commission_structure'!$A$1:$I$4,
MATCH($D272, '2018_commission_structure'!$A$1:$A$4, 0),
MATCH(P$1, '2018_commission_structure'!$A$1:$I$1, 0)), 0)</f>
        <v>22500</v>
      </c>
      <c r="R272" s="11">
        <f>IF(G272&gt;K272, (G272-K272) *
INDEX('2018_commission_structure'!$A$1:$I$4,
MATCH($D272, '2018_commission_structure'!$A$1:$A$4,0),
MATCH(R$1, '2018_commission_structure'!$A$1:$I$1,0)), 0)</f>
        <v>0</v>
      </c>
      <c r="S272" s="11">
        <f t="shared" si="29"/>
        <v>69733.2</v>
      </c>
      <c r="T272" s="11" cm="1">
        <f t="array" ref="T272">SUM(E272+O272:Q272)</f>
        <v>239908.2</v>
      </c>
    </row>
    <row r="273" spans="1:20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 xml:space="preserve"> COUNTIF(deals_closed!D:D,A273)</f>
        <v>30</v>
      </c>
      <c r="G273" s="5">
        <f>SUMIF(deals_closed!D:D, calculations!A273, deals_closed!C:C)</f>
        <v>892426</v>
      </c>
      <c r="H273" s="5">
        <f>VLOOKUP(D273,'2018_commission_structure'!$A$2:$I$4,9,FALSE)</f>
        <v>600000</v>
      </c>
      <c r="I273" s="9">
        <f t="shared" si="24"/>
        <v>750000</v>
      </c>
      <c r="J273" s="8">
        <f t="shared" si="25"/>
        <v>900000</v>
      </c>
      <c r="K273" s="9">
        <f t="shared" si="26"/>
        <v>1200000</v>
      </c>
      <c r="L273" s="10">
        <f t="shared" si="27"/>
        <v>1.4873766666666666</v>
      </c>
      <c r="M273" t="str">
        <f t="shared" si="28"/>
        <v>125-150%</v>
      </c>
      <c r="N273" s="9">
        <f>MIN(H273, G273)*INDEX('2018_commission_structure'!$A$1:$I$4,
MATCH($D273, '2018_commission_structure'!$A$1:$A$4,0),
MATCH(N$1, '2018_commission_structure'!$A$1:$I$1,0))</f>
        <v>78000</v>
      </c>
      <c r="O273" s="11">
        <f>IF(G273&gt;H273, MIN(G273-H273, I273-H273)*
INDEX('2018_commission_structure'!$A$1:$I$4,
MATCH($D273, '2018_commission_structure'!$A$1:$A$4, 0),
MATCH(O$1, '2018_commission_structure'!$A$1:$I$1, 0)), 0)</f>
        <v>25500.000000000004</v>
      </c>
      <c r="P273" s="11">
        <f>IF(G273&gt;H273, MIN(G273-H273, J273-H273)*
INDEX('2018_commission_structure'!$A$1:$I$4,
MATCH($D273, '2018_commission_structure'!$A$1:$A$4, 0),
MATCH(O$1, '2018_commission_structure'!$A$1:$I$1, 0)), 0)</f>
        <v>49712.420000000006</v>
      </c>
      <c r="Q273" s="11">
        <f>IF(G273&gt;H273, MIN(G273-H273, I273-H273)*
INDEX('2018_commission_structure'!$A$1:$I$4,
MATCH($D273, '2018_commission_structure'!$A$1:$A$4, 0),
MATCH(P$1, '2018_commission_structure'!$A$1:$I$1, 0)), 0)</f>
        <v>31500</v>
      </c>
      <c r="R273" s="11">
        <f>IF(G273&gt;K273, (G273-K273) *
INDEX('2018_commission_structure'!$A$1:$I$4,
MATCH($D273, '2018_commission_structure'!$A$1:$A$4,0),
MATCH(R$1, '2018_commission_structure'!$A$1:$I$1,0)), 0)</f>
        <v>0</v>
      </c>
      <c r="S273" s="11">
        <f t="shared" si="29"/>
        <v>106712.42000000001</v>
      </c>
      <c r="T273" s="11" cm="1">
        <f t="array" ref="T273">SUM(E273+O273:Q273)</f>
        <v>301817.42000000004</v>
      </c>
    </row>
    <row r="274" spans="1:20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 xml:space="preserve"> COUNTIF(deals_closed!D:D,A274)</f>
        <v>19</v>
      </c>
      <c r="G274" s="5">
        <f>SUMIF(deals_closed!D:D, calculations!A274, deals_closed!C:C)</f>
        <v>601444</v>
      </c>
      <c r="H274" s="5">
        <f>VLOOKUP(D274,'2018_commission_structure'!$A$2:$I$4,9,FALSE)</f>
        <v>600000</v>
      </c>
      <c r="I274" s="9">
        <f t="shared" si="24"/>
        <v>750000</v>
      </c>
      <c r="J274" s="8">
        <f t="shared" si="25"/>
        <v>900000</v>
      </c>
      <c r="K274" s="9">
        <f t="shared" si="26"/>
        <v>1200000</v>
      </c>
      <c r="L274" s="10">
        <f t="shared" si="27"/>
        <v>1.0024066666666667</v>
      </c>
      <c r="M274" t="str">
        <f t="shared" si="28"/>
        <v>100-125%</v>
      </c>
      <c r="N274" s="9">
        <f>MIN(H274, G274)*INDEX('2018_commission_structure'!$A$1:$I$4,
MATCH($D274, '2018_commission_structure'!$A$1:$A$4,0),
MATCH(N$1, '2018_commission_structure'!$A$1:$I$1,0))</f>
        <v>78000</v>
      </c>
      <c r="O274" s="11">
        <f>IF(G274&gt;H274, MIN(G274-H274, I274-H274)*
INDEX('2018_commission_structure'!$A$1:$I$4,
MATCH($D274, '2018_commission_structure'!$A$1:$A$4, 0),
MATCH(O$1, '2018_commission_structure'!$A$1:$I$1, 0)), 0)</f>
        <v>245.48000000000002</v>
      </c>
      <c r="P274" s="11">
        <f>IF(G274&gt;H274, MIN(G274-H274, J274-H274)*
INDEX('2018_commission_structure'!$A$1:$I$4,
MATCH($D274, '2018_commission_structure'!$A$1:$A$4, 0),
MATCH(O$1, '2018_commission_structure'!$A$1:$I$1, 0)), 0)</f>
        <v>245.48000000000002</v>
      </c>
      <c r="Q274" s="11">
        <f>IF(G274&gt;H274, MIN(G274-H274, I274-H274)*
INDEX('2018_commission_structure'!$A$1:$I$4,
MATCH($D274, '2018_commission_structure'!$A$1:$A$4, 0),
MATCH(P$1, '2018_commission_structure'!$A$1:$I$1, 0)), 0)</f>
        <v>303.24</v>
      </c>
      <c r="R274" s="11">
        <f>IF(G274&gt;K274, (G274-K274) *
INDEX('2018_commission_structure'!$A$1:$I$4,
MATCH($D274, '2018_commission_structure'!$A$1:$A$4,0),
MATCH(R$1, '2018_commission_structure'!$A$1:$I$1,0)), 0)</f>
        <v>0</v>
      </c>
      <c r="S274" s="11">
        <f t="shared" si="29"/>
        <v>794.2</v>
      </c>
      <c r="T274" s="11" cm="1">
        <f t="array" ref="T274">SUM(E274+O274:Q274)</f>
        <v>183974.2</v>
      </c>
    </row>
    <row r="275" spans="1:20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 xml:space="preserve"> COUNTIF(deals_closed!D:D,A275)</f>
        <v>33</v>
      </c>
      <c r="G275" s="5">
        <f>SUMIF(deals_closed!D:D, calculations!A275, deals_closed!C:C)</f>
        <v>1259829</v>
      </c>
      <c r="H275" s="5">
        <f>VLOOKUP(D275,'2018_commission_structure'!$A$2:$I$4,9,FALSE)</f>
        <v>600000</v>
      </c>
      <c r="I275" s="9">
        <f t="shared" si="24"/>
        <v>750000</v>
      </c>
      <c r="J275" s="8">
        <f t="shared" si="25"/>
        <v>900000</v>
      </c>
      <c r="K275" s="9">
        <f t="shared" si="26"/>
        <v>1200000</v>
      </c>
      <c r="L275" s="10">
        <f t="shared" si="27"/>
        <v>2.0997150000000002</v>
      </c>
      <c r="M275" t="str">
        <f t="shared" si="28"/>
        <v>&gt;200%</v>
      </c>
      <c r="N275" s="9">
        <f>MIN(H275, G275)*INDEX('2018_commission_structure'!$A$1:$I$4,
MATCH($D275, '2018_commission_structure'!$A$1:$A$4,0),
MATCH(N$1, '2018_commission_structure'!$A$1:$I$1,0))</f>
        <v>78000</v>
      </c>
      <c r="O275" s="11">
        <f>IF(G275&gt;H275, MIN(G275-H275, I275-H275)*
INDEX('2018_commission_structure'!$A$1:$I$4,
MATCH($D275, '2018_commission_structure'!$A$1:$A$4, 0),
MATCH(O$1, '2018_commission_structure'!$A$1:$I$1, 0)), 0)</f>
        <v>25500.000000000004</v>
      </c>
      <c r="P275" s="11">
        <f>IF(G275&gt;H275, MIN(G275-H275, J275-H275)*
INDEX('2018_commission_structure'!$A$1:$I$4,
MATCH($D275, '2018_commission_structure'!$A$1:$A$4, 0),
MATCH(O$1, '2018_commission_structure'!$A$1:$I$1, 0)), 0)</f>
        <v>51000.000000000007</v>
      </c>
      <c r="Q275" s="11">
        <f>IF(G275&gt;H275, MIN(G275-H275, I275-H275)*
INDEX('2018_commission_structure'!$A$1:$I$4,
MATCH($D275, '2018_commission_structure'!$A$1:$A$4, 0),
MATCH(P$1, '2018_commission_structure'!$A$1:$I$1, 0)), 0)</f>
        <v>31500</v>
      </c>
      <c r="R275" s="11">
        <f>IF(G275&gt;K275, (G275-K275) *
INDEX('2018_commission_structure'!$A$1:$I$4,
MATCH($D275, '2018_commission_structure'!$A$1:$A$4,0),
MATCH(R$1, '2018_commission_structure'!$A$1:$I$1,0)), 0)</f>
        <v>7777.77</v>
      </c>
      <c r="S275" s="11">
        <f t="shared" si="29"/>
        <v>108000.00000000001</v>
      </c>
      <c r="T275" s="11" cm="1">
        <f t="array" ref="T275">SUM(E275+O275:Q275)</f>
        <v>339555</v>
      </c>
    </row>
    <row r="276" spans="1:20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 xml:space="preserve"> COUNTIF(deals_closed!D:D,A276)</f>
        <v>13</v>
      </c>
      <c r="G276" s="5">
        <f>SUMIF(deals_closed!D:D, calculations!A276, deals_closed!C:C)</f>
        <v>462339</v>
      </c>
      <c r="H276" s="5">
        <f>VLOOKUP(D276,'2018_commission_structure'!$A$2:$I$4,9,FALSE)</f>
        <v>600000</v>
      </c>
      <c r="I276" s="9">
        <f t="shared" si="24"/>
        <v>750000</v>
      </c>
      <c r="J276" s="8">
        <f t="shared" si="25"/>
        <v>900000</v>
      </c>
      <c r="K276" s="9">
        <f t="shared" si="26"/>
        <v>1200000</v>
      </c>
      <c r="L276" s="10">
        <f t="shared" si="27"/>
        <v>0.77056500000000006</v>
      </c>
      <c r="M276" t="str">
        <f t="shared" si="28"/>
        <v>0-100%</v>
      </c>
      <c r="N276" s="9">
        <f>MIN(H276, G276)*INDEX('2018_commission_structure'!$A$1:$I$4,
MATCH($D276, '2018_commission_structure'!$A$1:$A$4,0),
MATCH(N$1, '2018_commission_structure'!$A$1:$I$1,0))</f>
        <v>60104.07</v>
      </c>
      <c r="O276" s="11">
        <f>IF(G276&gt;H276, MIN(G276-H276, I276-H276)*
INDEX('2018_commission_structure'!$A$1:$I$4,
MATCH($D276, '2018_commission_structure'!$A$1:$A$4, 0),
MATCH(O$1, '2018_commission_structure'!$A$1:$I$1, 0)), 0)</f>
        <v>0</v>
      </c>
      <c r="P276" s="11">
        <f>IF(G276&gt;H276, MIN(G276-H276, J276-H276)*
INDEX('2018_commission_structure'!$A$1:$I$4,
MATCH($D276, '2018_commission_structure'!$A$1:$A$4, 0),
MATCH(O$1, '2018_commission_structure'!$A$1:$I$1, 0)), 0)</f>
        <v>0</v>
      </c>
      <c r="Q276" s="11">
        <f>IF(G276&gt;H276, MIN(G276-H276, I276-H276)*
INDEX('2018_commission_structure'!$A$1:$I$4,
MATCH($D276, '2018_commission_structure'!$A$1:$A$4, 0),
MATCH(P$1, '2018_commission_structure'!$A$1:$I$1, 0)), 0)</f>
        <v>0</v>
      </c>
      <c r="R276" s="11">
        <f>IF(G276&gt;K276, (G276-K276) *
INDEX('2018_commission_structure'!$A$1:$I$4,
MATCH($D276, '2018_commission_structure'!$A$1:$A$4,0),
MATCH(R$1, '2018_commission_structure'!$A$1:$I$1,0)), 0)</f>
        <v>0</v>
      </c>
      <c r="S276" s="11">
        <f t="shared" si="29"/>
        <v>0</v>
      </c>
      <c r="T276" s="11" cm="1">
        <f t="array" ref="T276">SUM(E276+O276:Q276)</f>
        <v>214983</v>
      </c>
    </row>
    <row r="277" spans="1:20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 xml:space="preserve"> COUNTIF(deals_closed!D:D,A277)</f>
        <v>14</v>
      </c>
      <c r="G277" s="5">
        <f>SUMIF(deals_closed!D:D, calculations!A277, deals_closed!C:C)</f>
        <v>458541</v>
      </c>
      <c r="H277" s="5">
        <f>VLOOKUP(D277,'2018_commission_structure'!$A$2:$I$4,9,FALSE)</f>
        <v>500000</v>
      </c>
      <c r="I277" s="9">
        <f t="shared" si="24"/>
        <v>625000</v>
      </c>
      <c r="J277" s="8">
        <f t="shared" si="25"/>
        <v>750000</v>
      </c>
      <c r="K277" s="9">
        <f t="shared" si="26"/>
        <v>1000000</v>
      </c>
      <c r="L277" s="10">
        <f t="shared" si="27"/>
        <v>0.91708199999999995</v>
      </c>
      <c r="M277" t="str">
        <f t="shared" si="28"/>
        <v>0-100%</v>
      </c>
      <c r="N277" s="9">
        <f>MIN(H277, G277)*INDEX('2018_commission_structure'!$A$1:$I$4,
MATCH($D277, '2018_commission_structure'!$A$1:$A$4,0),
MATCH(N$1, '2018_commission_structure'!$A$1:$I$1,0))</f>
        <v>45854.100000000006</v>
      </c>
      <c r="O277" s="11">
        <f>IF(G277&gt;H277, MIN(G277-H277, I277-H277)*
INDEX('2018_commission_structure'!$A$1:$I$4,
MATCH($D277, '2018_commission_structure'!$A$1:$A$4, 0),
MATCH(O$1, '2018_commission_structure'!$A$1:$I$1, 0)), 0)</f>
        <v>0</v>
      </c>
      <c r="P277" s="11">
        <f>IF(G277&gt;H277, MIN(G277-H277, J277-H277)*
INDEX('2018_commission_structure'!$A$1:$I$4,
MATCH($D277, '2018_commission_structure'!$A$1:$A$4, 0),
MATCH(O$1, '2018_commission_structure'!$A$1:$I$1, 0)), 0)</f>
        <v>0</v>
      </c>
      <c r="Q277" s="11">
        <f>IF(G277&gt;H277, MIN(G277-H277, I277-H277)*
INDEX('2018_commission_structure'!$A$1:$I$4,
MATCH($D277, '2018_commission_structure'!$A$1:$A$4, 0),
MATCH(P$1, '2018_commission_structure'!$A$1:$I$1, 0)), 0)</f>
        <v>0</v>
      </c>
      <c r="R277" s="11">
        <f>IF(G277&gt;K277, (G277-K277) *
INDEX('2018_commission_structure'!$A$1:$I$4,
MATCH($D277, '2018_commission_structure'!$A$1:$A$4,0),
MATCH(R$1, '2018_commission_structure'!$A$1:$I$1,0)), 0)</f>
        <v>0</v>
      </c>
      <c r="S277" s="11">
        <f t="shared" si="29"/>
        <v>0</v>
      </c>
      <c r="T277" s="11" cm="1">
        <f t="array" ref="T277">SUM(E277+O277:Q277)</f>
        <v>185832</v>
      </c>
    </row>
    <row r="278" spans="1:20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 xml:space="preserve"> COUNTIF(deals_closed!D:D,A278)</f>
        <v>31</v>
      </c>
      <c r="G278" s="5">
        <f>SUMIF(deals_closed!D:D, calculations!A278, deals_closed!C:C)</f>
        <v>1026059</v>
      </c>
      <c r="H278" s="5">
        <f>VLOOKUP(D278,'2018_commission_structure'!$A$2:$I$4,9,FALSE)</f>
        <v>600000</v>
      </c>
      <c r="I278" s="9">
        <f t="shared" si="24"/>
        <v>750000</v>
      </c>
      <c r="J278" s="8">
        <f t="shared" si="25"/>
        <v>900000</v>
      </c>
      <c r="K278" s="9">
        <f t="shared" si="26"/>
        <v>1200000</v>
      </c>
      <c r="L278" s="10">
        <f t="shared" si="27"/>
        <v>1.7100983333333333</v>
      </c>
      <c r="M278" t="str">
        <f t="shared" si="28"/>
        <v>150-200%</v>
      </c>
      <c r="N278" s="9">
        <f>MIN(H278, G278)*INDEX('2018_commission_structure'!$A$1:$I$4,
MATCH($D278, '2018_commission_structure'!$A$1:$A$4,0),
MATCH(N$1, '2018_commission_structure'!$A$1:$I$1,0))</f>
        <v>78000</v>
      </c>
      <c r="O278" s="11">
        <f>IF(G278&gt;H278, MIN(G278-H278, I278-H278)*
INDEX('2018_commission_structure'!$A$1:$I$4,
MATCH($D278, '2018_commission_structure'!$A$1:$A$4, 0),
MATCH(O$1, '2018_commission_structure'!$A$1:$I$1, 0)), 0)</f>
        <v>25500.000000000004</v>
      </c>
      <c r="P278" s="11">
        <f>IF(G278&gt;H278, MIN(G278-H278, J278-H278)*
INDEX('2018_commission_structure'!$A$1:$I$4,
MATCH($D278, '2018_commission_structure'!$A$1:$A$4, 0),
MATCH(O$1, '2018_commission_structure'!$A$1:$I$1, 0)), 0)</f>
        <v>51000.000000000007</v>
      </c>
      <c r="Q278" s="11">
        <f>IF(G278&gt;H278, MIN(G278-H278, I278-H278)*
INDEX('2018_commission_structure'!$A$1:$I$4,
MATCH($D278, '2018_commission_structure'!$A$1:$A$4, 0),
MATCH(P$1, '2018_commission_structure'!$A$1:$I$1, 0)), 0)</f>
        <v>31500</v>
      </c>
      <c r="R278" s="11">
        <f>IF(G278&gt;K278, (G278-K278) *
INDEX('2018_commission_structure'!$A$1:$I$4,
MATCH($D278, '2018_commission_structure'!$A$1:$A$4,0),
MATCH(R$1, '2018_commission_structure'!$A$1:$I$1,0)), 0)</f>
        <v>0</v>
      </c>
      <c r="S278" s="11">
        <f t="shared" si="29"/>
        <v>108000.00000000001</v>
      </c>
      <c r="T278" s="11" cm="1">
        <f t="array" ref="T278">SUM(E278+O278:Q278)</f>
        <v>322839</v>
      </c>
    </row>
    <row r="279" spans="1:20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 xml:space="preserve"> COUNTIF(deals_closed!D:D,A279)</f>
        <v>21</v>
      </c>
      <c r="G279" s="5">
        <f>SUMIF(deals_closed!D:D, calculations!A279, deals_closed!C:C)</f>
        <v>609653</v>
      </c>
      <c r="H279" s="5">
        <f>VLOOKUP(D279,'2018_commission_structure'!$A$2:$I$4,9,FALSE)</f>
        <v>750000</v>
      </c>
      <c r="I279" s="9">
        <f t="shared" si="24"/>
        <v>937500</v>
      </c>
      <c r="J279" s="8">
        <f t="shared" si="25"/>
        <v>1125000</v>
      </c>
      <c r="K279" s="9">
        <f t="shared" si="26"/>
        <v>1500000</v>
      </c>
      <c r="L279" s="10">
        <f t="shared" si="27"/>
        <v>0.81287066666666663</v>
      </c>
      <c r="M279" t="str">
        <f t="shared" si="28"/>
        <v>0-100%</v>
      </c>
      <c r="N279" s="9">
        <f>MIN(H279, G279)*INDEX('2018_commission_structure'!$A$1:$I$4,
MATCH($D279, '2018_commission_structure'!$A$1:$A$4,0),
MATCH(N$1, '2018_commission_structure'!$A$1:$I$1,0))</f>
        <v>91447.95</v>
      </c>
      <c r="O279" s="11">
        <f>IF(G279&gt;H279, MIN(G279-H279, I279-H279)*
INDEX('2018_commission_structure'!$A$1:$I$4,
MATCH($D279, '2018_commission_structure'!$A$1:$A$4, 0),
MATCH(O$1, '2018_commission_structure'!$A$1:$I$1, 0)), 0)</f>
        <v>0</v>
      </c>
      <c r="P279" s="11">
        <f>IF(G279&gt;H279, MIN(G279-H279, J279-H279)*
INDEX('2018_commission_structure'!$A$1:$I$4,
MATCH($D279, '2018_commission_structure'!$A$1:$A$4, 0),
MATCH(O$1, '2018_commission_structure'!$A$1:$I$1, 0)), 0)</f>
        <v>0</v>
      </c>
      <c r="Q279" s="11">
        <f>IF(G279&gt;H279, MIN(G279-H279, I279-H279)*
INDEX('2018_commission_structure'!$A$1:$I$4,
MATCH($D279, '2018_commission_structure'!$A$1:$A$4, 0),
MATCH(P$1, '2018_commission_structure'!$A$1:$I$1, 0)), 0)</f>
        <v>0</v>
      </c>
      <c r="R279" s="11">
        <f>IF(G279&gt;K279, (G279-K279) *
INDEX('2018_commission_structure'!$A$1:$I$4,
MATCH($D279, '2018_commission_structure'!$A$1:$A$4,0),
MATCH(R$1, '2018_commission_structure'!$A$1:$I$1,0)), 0)</f>
        <v>0</v>
      </c>
      <c r="S279" s="11">
        <f t="shared" si="29"/>
        <v>0</v>
      </c>
      <c r="T279" s="11" cm="1">
        <f t="array" ref="T279">SUM(E279+O279:Q279)</f>
        <v>333051</v>
      </c>
    </row>
    <row r="280" spans="1:20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 xml:space="preserve"> COUNTIF(deals_closed!D:D,A280)</f>
        <v>20</v>
      </c>
      <c r="G280" s="5">
        <f>SUMIF(deals_closed!D:D, calculations!A280, deals_closed!C:C)</f>
        <v>752931</v>
      </c>
      <c r="H280" s="5">
        <f>VLOOKUP(D280,'2018_commission_structure'!$A$2:$I$4,9,FALSE)</f>
        <v>600000</v>
      </c>
      <c r="I280" s="9">
        <f t="shared" si="24"/>
        <v>750000</v>
      </c>
      <c r="J280" s="8">
        <f t="shared" si="25"/>
        <v>900000</v>
      </c>
      <c r="K280" s="9">
        <f t="shared" si="26"/>
        <v>1200000</v>
      </c>
      <c r="L280" s="10">
        <f t="shared" si="27"/>
        <v>1.254885</v>
      </c>
      <c r="M280" t="str">
        <f t="shared" si="28"/>
        <v>125-150%</v>
      </c>
      <c r="N280" s="9">
        <f>MIN(H280, G280)*INDEX('2018_commission_structure'!$A$1:$I$4,
MATCH($D280, '2018_commission_structure'!$A$1:$A$4,0),
MATCH(N$1, '2018_commission_structure'!$A$1:$I$1,0))</f>
        <v>78000</v>
      </c>
      <c r="O280" s="11">
        <f>IF(G280&gt;H280, MIN(G280-H280, I280-H280)*
INDEX('2018_commission_structure'!$A$1:$I$4,
MATCH($D280, '2018_commission_structure'!$A$1:$A$4, 0),
MATCH(O$1, '2018_commission_structure'!$A$1:$I$1, 0)), 0)</f>
        <v>25500.000000000004</v>
      </c>
      <c r="P280" s="11">
        <f>IF(G280&gt;H280, MIN(G280-H280, J280-H280)*
INDEX('2018_commission_structure'!$A$1:$I$4,
MATCH($D280, '2018_commission_structure'!$A$1:$A$4, 0),
MATCH(O$1, '2018_commission_structure'!$A$1:$I$1, 0)), 0)</f>
        <v>25998.27</v>
      </c>
      <c r="Q280" s="11">
        <f>IF(G280&gt;H280, MIN(G280-H280, I280-H280)*
INDEX('2018_commission_structure'!$A$1:$I$4,
MATCH($D280, '2018_commission_structure'!$A$1:$A$4, 0),
MATCH(P$1, '2018_commission_structure'!$A$1:$I$1, 0)), 0)</f>
        <v>31500</v>
      </c>
      <c r="R280" s="11">
        <f>IF(G280&gt;K280, (G280-K280) *
INDEX('2018_commission_structure'!$A$1:$I$4,
MATCH($D280, '2018_commission_structure'!$A$1:$A$4,0),
MATCH(R$1, '2018_commission_structure'!$A$1:$I$1,0)), 0)</f>
        <v>0</v>
      </c>
      <c r="S280" s="11">
        <f t="shared" si="29"/>
        <v>82998.27</v>
      </c>
      <c r="T280" s="11" cm="1">
        <f t="array" ref="T280">SUM(E280+O280:Q280)</f>
        <v>233322.27000000002</v>
      </c>
    </row>
    <row r="281" spans="1:20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 xml:space="preserve"> COUNTIF(deals_closed!D:D,A281)</f>
        <v>20</v>
      </c>
      <c r="G281" s="5">
        <f>SUMIF(deals_closed!D:D, calculations!A281, deals_closed!C:C)</f>
        <v>766017</v>
      </c>
      <c r="H281" s="5">
        <f>VLOOKUP(D281,'2018_commission_structure'!$A$2:$I$4,9,FALSE)</f>
        <v>600000</v>
      </c>
      <c r="I281" s="9">
        <f t="shared" si="24"/>
        <v>750000</v>
      </c>
      <c r="J281" s="8">
        <f t="shared" si="25"/>
        <v>900000</v>
      </c>
      <c r="K281" s="9">
        <f t="shared" si="26"/>
        <v>1200000</v>
      </c>
      <c r="L281" s="10">
        <f t="shared" si="27"/>
        <v>1.2766949999999999</v>
      </c>
      <c r="M281" t="str">
        <f t="shared" si="28"/>
        <v>125-150%</v>
      </c>
      <c r="N281" s="9">
        <f>MIN(H281, G281)*INDEX('2018_commission_structure'!$A$1:$I$4,
MATCH($D281, '2018_commission_structure'!$A$1:$A$4,0),
MATCH(N$1, '2018_commission_structure'!$A$1:$I$1,0))</f>
        <v>78000</v>
      </c>
      <c r="O281" s="11">
        <f>IF(G281&gt;H281, MIN(G281-H281, I281-H281)*
INDEX('2018_commission_structure'!$A$1:$I$4,
MATCH($D281, '2018_commission_structure'!$A$1:$A$4, 0),
MATCH(O$1, '2018_commission_structure'!$A$1:$I$1, 0)), 0)</f>
        <v>25500.000000000004</v>
      </c>
      <c r="P281" s="11">
        <f>IF(G281&gt;H281, MIN(G281-H281, J281-H281)*
INDEX('2018_commission_structure'!$A$1:$I$4,
MATCH($D281, '2018_commission_structure'!$A$1:$A$4, 0),
MATCH(O$1, '2018_commission_structure'!$A$1:$I$1, 0)), 0)</f>
        <v>28222.890000000003</v>
      </c>
      <c r="Q281" s="11">
        <f>IF(G281&gt;H281, MIN(G281-H281, I281-H281)*
INDEX('2018_commission_structure'!$A$1:$I$4,
MATCH($D281, '2018_commission_structure'!$A$1:$A$4, 0),
MATCH(P$1, '2018_commission_structure'!$A$1:$I$1, 0)), 0)</f>
        <v>31500</v>
      </c>
      <c r="R281" s="11">
        <f>IF(G281&gt;K281, (G281-K281) *
INDEX('2018_commission_structure'!$A$1:$I$4,
MATCH($D281, '2018_commission_structure'!$A$1:$A$4,0),
MATCH(R$1, '2018_commission_structure'!$A$1:$I$1,0)), 0)</f>
        <v>0</v>
      </c>
      <c r="S281" s="11">
        <f t="shared" si="29"/>
        <v>85222.890000000014</v>
      </c>
      <c r="T281" s="11" cm="1">
        <f t="array" ref="T281">SUM(E281+O281:Q281)</f>
        <v>302821.89</v>
      </c>
    </row>
    <row r="282" spans="1:20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 xml:space="preserve"> COUNTIF(deals_closed!D:D,A282)</f>
        <v>27</v>
      </c>
      <c r="G282" s="5">
        <f>SUMIF(deals_closed!D:D, calculations!A282, deals_closed!C:C)</f>
        <v>1065238</v>
      </c>
      <c r="H282" s="5">
        <f>VLOOKUP(D282,'2018_commission_structure'!$A$2:$I$4,9,FALSE)</f>
        <v>750000</v>
      </c>
      <c r="I282" s="9">
        <f t="shared" si="24"/>
        <v>937500</v>
      </c>
      <c r="J282" s="8">
        <f t="shared" si="25"/>
        <v>1125000</v>
      </c>
      <c r="K282" s="9">
        <f t="shared" si="26"/>
        <v>1500000</v>
      </c>
      <c r="L282" s="10">
        <f t="shared" si="27"/>
        <v>1.4203173333333334</v>
      </c>
      <c r="M282" t="str">
        <f t="shared" si="28"/>
        <v>125-150%</v>
      </c>
      <c r="N282" s="9">
        <f>MIN(H282, G282)*INDEX('2018_commission_structure'!$A$1:$I$4,
MATCH($D282, '2018_commission_structure'!$A$1:$A$4,0),
MATCH(N$1, '2018_commission_structure'!$A$1:$I$1,0))</f>
        <v>112500</v>
      </c>
      <c r="O282" s="11">
        <f>IF(G282&gt;H282, MIN(G282-H282, I282-H282)*
INDEX('2018_commission_structure'!$A$1:$I$4,
MATCH($D282, '2018_commission_structure'!$A$1:$A$4, 0),
MATCH(O$1, '2018_commission_structure'!$A$1:$I$1, 0)), 0)</f>
        <v>35625</v>
      </c>
      <c r="P282" s="11">
        <f>IF(G282&gt;H282, MIN(G282-H282, J282-H282)*
INDEX('2018_commission_structure'!$A$1:$I$4,
MATCH($D282, '2018_commission_structure'!$A$1:$A$4, 0),
MATCH(O$1, '2018_commission_structure'!$A$1:$I$1, 0)), 0)</f>
        <v>59895.22</v>
      </c>
      <c r="Q282" s="11">
        <f>IF(G282&gt;H282, MIN(G282-H282, I282-H282)*
INDEX('2018_commission_structure'!$A$1:$I$4,
MATCH($D282, '2018_commission_structure'!$A$1:$A$4, 0),
MATCH(P$1, '2018_commission_structure'!$A$1:$I$1, 0)), 0)</f>
        <v>43125</v>
      </c>
      <c r="R282" s="11">
        <f>IF(G282&gt;K282, (G282-K282) *
INDEX('2018_commission_structure'!$A$1:$I$4,
MATCH($D282, '2018_commission_structure'!$A$1:$A$4,0),
MATCH(R$1, '2018_commission_structure'!$A$1:$I$1,0)), 0)</f>
        <v>0</v>
      </c>
      <c r="S282" s="11">
        <f t="shared" si="29"/>
        <v>138645.22</v>
      </c>
      <c r="T282" s="11" cm="1">
        <f t="array" ref="T282">SUM(E282+O282:Q282)</f>
        <v>389136.22</v>
      </c>
    </row>
    <row r="283" spans="1:20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 xml:space="preserve"> COUNTIF(deals_closed!D:D,A283)</f>
        <v>15</v>
      </c>
      <c r="G283" s="5">
        <f>SUMIF(deals_closed!D:D, calculations!A283, deals_closed!C:C)</f>
        <v>599656</v>
      </c>
      <c r="H283" s="5">
        <f>VLOOKUP(D283,'2018_commission_structure'!$A$2:$I$4,9,FALSE)</f>
        <v>500000</v>
      </c>
      <c r="I283" s="9">
        <f t="shared" si="24"/>
        <v>625000</v>
      </c>
      <c r="J283" s="8">
        <f t="shared" si="25"/>
        <v>750000</v>
      </c>
      <c r="K283" s="9">
        <f t="shared" si="26"/>
        <v>1000000</v>
      </c>
      <c r="L283" s="10">
        <f t="shared" si="27"/>
        <v>1.1993119999999999</v>
      </c>
      <c r="M283" t="str">
        <f t="shared" si="28"/>
        <v>100-125%</v>
      </c>
      <c r="N283" s="9">
        <f>MIN(H283, G283)*INDEX('2018_commission_structure'!$A$1:$I$4,
MATCH($D283, '2018_commission_structure'!$A$1:$A$4,0),
MATCH(N$1, '2018_commission_structure'!$A$1:$I$1,0))</f>
        <v>50000</v>
      </c>
      <c r="O283" s="11">
        <f>IF(G283&gt;H283, MIN(G283-H283, I283-H283)*
INDEX('2018_commission_structure'!$A$1:$I$4,
MATCH($D283, '2018_commission_structure'!$A$1:$A$4, 0),
MATCH(O$1, '2018_commission_structure'!$A$1:$I$1, 0)), 0)</f>
        <v>14948.4</v>
      </c>
      <c r="P283" s="11">
        <f>IF(G283&gt;H283, MIN(G283-H283, J283-H283)*
INDEX('2018_commission_structure'!$A$1:$I$4,
MATCH($D283, '2018_commission_structure'!$A$1:$A$4, 0),
MATCH(O$1, '2018_commission_structure'!$A$1:$I$1, 0)), 0)</f>
        <v>14948.4</v>
      </c>
      <c r="Q283" s="11">
        <f>IF(G283&gt;H283, MIN(G283-H283, I283-H283)*
INDEX('2018_commission_structure'!$A$1:$I$4,
MATCH($D283, '2018_commission_structure'!$A$1:$A$4, 0),
MATCH(P$1, '2018_commission_structure'!$A$1:$I$1, 0)), 0)</f>
        <v>17938.079999999998</v>
      </c>
      <c r="R283" s="11">
        <f>IF(G283&gt;K283, (G283-K283) *
INDEX('2018_commission_structure'!$A$1:$I$4,
MATCH($D283, '2018_commission_structure'!$A$1:$A$4,0),
MATCH(R$1, '2018_commission_structure'!$A$1:$I$1,0)), 0)</f>
        <v>0</v>
      </c>
      <c r="S283" s="11">
        <f t="shared" si="29"/>
        <v>47834.879999999997</v>
      </c>
      <c r="T283" s="11" cm="1">
        <f t="array" ref="T283">SUM(E283+O283:Q283)</f>
        <v>145517.88</v>
      </c>
    </row>
    <row r="284" spans="1:20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 xml:space="preserve"> COUNTIF(deals_closed!D:D,A284)</f>
        <v>14</v>
      </c>
      <c r="G284" s="5">
        <f>SUMIF(deals_closed!D:D, calculations!A284, deals_closed!C:C)</f>
        <v>445363</v>
      </c>
      <c r="H284" s="5">
        <f>VLOOKUP(D284,'2018_commission_structure'!$A$2:$I$4,9,FALSE)</f>
        <v>500000</v>
      </c>
      <c r="I284" s="9">
        <f t="shared" si="24"/>
        <v>625000</v>
      </c>
      <c r="J284" s="8">
        <f t="shared" si="25"/>
        <v>750000</v>
      </c>
      <c r="K284" s="9">
        <f t="shared" si="26"/>
        <v>1000000</v>
      </c>
      <c r="L284" s="10">
        <f t="shared" si="27"/>
        <v>0.89072600000000002</v>
      </c>
      <c r="M284" t="str">
        <f t="shared" si="28"/>
        <v>0-100%</v>
      </c>
      <c r="N284" s="9">
        <f>MIN(H284, G284)*INDEX('2018_commission_structure'!$A$1:$I$4,
MATCH($D284, '2018_commission_structure'!$A$1:$A$4,0),
MATCH(N$1, '2018_commission_structure'!$A$1:$I$1,0))</f>
        <v>44536.3</v>
      </c>
      <c r="O284" s="11">
        <f>IF(G284&gt;H284, MIN(G284-H284, I284-H284)*
INDEX('2018_commission_structure'!$A$1:$I$4,
MATCH($D284, '2018_commission_structure'!$A$1:$A$4, 0),
MATCH(O$1, '2018_commission_structure'!$A$1:$I$1, 0)), 0)</f>
        <v>0</v>
      </c>
      <c r="P284" s="11">
        <f>IF(G284&gt;H284, MIN(G284-H284, J284-H284)*
INDEX('2018_commission_structure'!$A$1:$I$4,
MATCH($D284, '2018_commission_structure'!$A$1:$A$4, 0),
MATCH(O$1, '2018_commission_structure'!$A$1:$I$1, 0)), 0)</f>
        <v>0</v>
      </c>
      <c r="Q284" s="11">
        <f>IF(G284&gt;H284, MIN(G284-H284, I284-H284)*
INDEX('2018_commission_structure'!$A$1:$I$4,
MATCH($D284, '2018_commission_structure'!$A$1:$A$4, 0),
MATCH(P$1, '2018_commission_structure'!$A$1:$I$1, 0)), 0)</f>
        <v>0</v>
      </c>
      <c r="R284" s="11">
        <f>IF(G284&gt;K284, (G284-K284) *
INDEX('2018_commission_structure'!$A$1:$I$4,
MATCH($D284, '2018_commission_structure'!$A$1:$A$4,0),
MATCH(R$1, '2018_commission_structure'!$A$1:$I$1,0)), 0)</f>
        <v>0</v>
      </c>
      <c r="S284" s="11">
        <f t="shared" si="29"/>
        <v>0</v>
      </c>
      <c r="T284" s="11" cm="1">
        <f t="array" ref="T284">SUM(E284+O284:Q284)</f>
        <v>160203</v>
      </c>
    </row>
    <row r="285" spans="1:20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 xml:space="preserve"> COUNTIF(deals_closed!D:D,A285)</f>
        <v>15</v>
      </c>
      <c r="G285" s="5">
        <f>SUMIF(deals_closed!D:D, calculations!A285, deals_closed!C:C)</f>
        <v>574225</v>
      </c>
      <c r="H285" s="5">
        <f>VLOOKUP(D285,'2018_commission_structure'!$A$2:$I$4,9,FALSE)</f>
        <v>750000</v>
      </c>
      <c r="I285" s="9">
        <f t="shared" si="24"/>
        <v>937500</v>
      </c>
      <c r="J285" s="8">
        <f t="shared" si="25"/>
        <v>1125000</v>
      </c>
      <c r="K285" s="9">
        <f t="shared" si="26"/>
        <v>1500000</v>
      </c>
      <c r="L285" s="10">
        <f t="shared" si="27"/>
        <v>0.76563333333333339</v>
      </c>
      <c r="M285" t="str">
        <f t="shared" si="28"/>
        <v>0-100%</v>
      </c>
      <c r="N285" s="9">
        <f>MIN(H285, G285)*INDEX('2018_commission_structure'!$A$1:$I$4,
MATCH($D285, '2018_commission_structure'!$A$1:$A$4,0),
MATCH(N$1, '2018_commission_structure'!$A$1:$I$1,0))</f>
        <v>86133.75</v>
      </c>
      <c r="O285" s="11">
        <f>IF(G285&gt;H285, MIN(G285-H285, I285-H285)*
INDEX('2018_commission_structure'!$A$1:$I$4,
MATCH($D285, '2018_commission_structure'!$A$1:$A$4, 0),
MATCH(O$1, '2018_commission_structure'!$A$1:$I$1, 0)), 0)</f>
        <v>0</v>
      </c>
      <c r="P285" s="11">
        <f>IF(G285&gt;H285, MIN(G285-H285, J285-H285)*
INDEX('2018_commission_structure'!$A$1:$I$4,
MATCH($D285, '2018_commission_structure'!$A$1:$A$4, 0),
MATCH(O$1, '2018_commission_structure'!$A$1:$I$1, 0)), 0)</f>
        <v>0</v>
      </c>
      <c r="Q285" s="11">
        <f>IF(G285&gt;H285, MIN(G285-H285, I285-H285)*
INDEX('2018_commission_structure'!$A$1:$I$4,
MATCH($D285, '2018_commission_structure'!$A$1:$A$4, 0),
MATCH(P$1, '2018_commission_structure'!$A$1:$I$1, 0)), 0)</f>
        <v>0</v>
      </c>
      <c r="R285" s="11">
        <f>IF(G285&gt;K285, (G285-K285) *
INDEX('2018_commission_structure'!$A$1:$I$4,
MATCH($D285, '2018_commission_structure'!$A$1:$A$4,0),
MATCH(R$1, '2018_commission_structure'!$A$1:$I$1,0)), 0)</f>
        <v>0</v>
      </c>
      <c r="S285" s="11">
        <f t="shared" si="29"/>
        <v>0</v>
      </c>
      <c r="T285" s="11" cm="1">
        <f t="array" ref="T285">SUM(E285+O285:Q285)</f>
        <v>281166</v>
      </c>
    </row>
    <row r="286" spans="1:20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 xml:space="preserve"> COUNTIF(deals_closed!D:D,A286)</f>
        <v>21</v>
      </c>
      <c r="G286" s="5">
        <f>SUMIF(deals_closed!D:D, calculations!A286, deals_closed!C:C)</f>
        <v>851536</v>
      </c>
      <c r="H286" s="5">
        <f>VLOOKUP(D286,'2018_commission_structure'!$A$2:$I$4,9,FALSE)</f>
        <v>500000</v>
      </c>
      <c r="I286" s="9">
        <f t="shared" si="24"/>
        <v>625000</v>
      </c>
      <c r="J286" s="8">
        <f t="shared" si="25"/>
        <v>750000</v>
      </c>
      <c r="K286" s="9">
        <f t="shared" si="26"/>
        <v>1000000</v>
      </c>
      <c r="L286" s="10">
        <f t="shared" si="27"/>
        <v>1.7030719999999999</v>
      </c>
      <c r="M286" t="str">
        <f t="shared" si="28"/>
        <v>150-200%</v>
      </c>
      <c r="N286" s="9">
        <f>MIN(H286, G286)*INDEX('2018_commission_structure'!$A$1:$I$4,
MATCH($D286, '2018_commission_structure'!$A$1:$A$4,0),
MATCH(N$1, '2018_commission_structure'!$A$1:$I$1,0))</f>
        <v>50000</v>
      </c>
      <c r="O286" s="11">
        <f>IF(G286&gt;H286, MIN(G286-H286, I286-H286)*
INDEX('2018_commission_structure'!$A$1:$I$4,
MATCH($D286, '2018_commission_structure'!$A$1:$A$4, 0),
MATCH(O$1, '2018_commission_structure'!$A$1:$I$1, 0)), 0)</f>
        <v>18750</v>
      </c>
      <c r="P286" s="11">
        <f>IF(G286&gt;H286, MIN(G286-H286, J286-H286)*
INDEX('2018_commission_structure'!$A$1:$I$4,
MATCH($D286, '2018_commission_structure'!$A$1:$A$4, 0),
MATCH(O$1, '2018_commission_structure'!$A$1:$I$1, 0)), 0)</f>
        <v>37500</v>
      </c>
      <c r="Q286" s="11">
        <f>IF(G286&gt;H286, MIN(G286-H286, I286-H286)*
INDEX('2018_commission_structure'!$A$1:$I$4,
MATCH($D286, '2018_commission_structure'!$A$1:$A$4, 0),
MATCH(P$1, '2018_commission_structure'!$A$1:$I$1, 0)), 0)</f>
        <v>22500</v>
      </c>
      <c r="R286" s="11">
        <f>IF(G286&gt;K286, (G286-K286) *
INDEX('2018_commission_structure'!$A$1:$I$4,
MATCH($D286, '2018_commission_structure'!$A$1:$A$4,0),
MATCH(R$1, '2018_commission_structure'!$A$1:$I$1,0)), 0)</f>
        <v>0</v>
      </c>
      <c r="S286" s="11">
        <f t="shared" si="29"/>
        <v>78750</v>
      </c>
      <c r="T286" s="11" cm="1">
        <f t="array" ref="T286">SUM(E286+O286:Q286)</f>
        <v>175974</v>
      </c>
    </row>
    <row r="287" spans="1:20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 xml:space="preserve"> COUNTIF(deals_closed!D:D,A287)</f>
        <v>20</v>
      </c>
      <c r="G287" s="5">
        <f>SUMIF(deals_closed!D:D, calculations!A287, deals_closed!C:C)</f>
        <v>595273</v>
      </c>
      <c r="H287" s="5">
        <f>VLOOKUP(D287,'2018_commission_structure'!$A$2:$I$4,9,FALSE)</f>
        <v>600000</v>
      </c>
      <c r="I287" s="9">
        <f t="shared" si="24"/>
        <v>750000</v>
      </c>
      <c r="J287" s="8">
        <f t="shared" si="25"/>
        <v>900000</v>
      </c>
      <c r="K287" s="9">
        <f t="shared" si="26"/>
        <v>1200000</v>
      </c>
      <c r="L287" s="10">
        <f t="shared" si="27"/>
        <v>0.99212166666666668</v>
      </c>
      <c r="M287" t="str">
        <f t="shared" si="28"/>
        <v>0-100%</v>
      </c>
      <c r="N287" s="9">
        <f>MIN(H287, G287)*INDEX('2018_commission_structure'!$A$1:$I$4,
MATCH($D287, '2018_commission_structure'!$A$1:$A$4,0),
MATCH(N$1, '2018_commission_structure'!$A$1:$I$1,0))</f>
        <v>77385.490000000005</v>
      </c>
      <c r="O287" s="11">
        <f>IF(G287&gt;H287, MIN(G287-H287, I287-H287)*
INDEX('2018_commission_structure'!$A$1:$I$4,
MATCH($D287, '2018_commission_structure'!$A$1:$A$4, 0),
MATCH(O$1, '2018_commission_structure'!$A$1:$I$1, 0)), 0)</f>
        <v>0</v>
      </c>
      <c r="P287" s="11">
        <f>IF(G287&gt;H287, MIN(G287-H287, J287-H287)*
INDEX('2018_commission_structure'!$A$1:$I$4,
MATCH($D287, '2018_commission_structure'!$A$1:$A$4, 0),
MATCH(O$1, '2018_commission_structure'!$A$1:$I$1, 0)), 0)</f>
        <v>0</v>
      </c>
      <c r="Q287" s="11">
        <f>IF(G287&gt;H287, MIN(G287-H287, I287-H287)*
INDEX('2018_commission_structure'!$A$1:$I$4,
MATCH($D287, '2018_commission_structure'!$A$1:$A$4, 0),
MATCH(P$1, '2018_commission_structure'!$A$1:$I$1, 0)), 0)</f>
        <v>0</v>
      </c>
      <c r="R287" s="11">
        <f>IF(G287&gt;K287, (G287-K287) *
INDEX('2018_commission_structure'!$A$1:$I$4,
MATCH($D287, '2018_commission_structure'!$A$1:$A$4,0),
MATCH(R$1, '2018_commission_structure'!$A$1:$I$1,0)), 0)</f>
        <v>0</v>
      </c>
      <c r="S287" s="11">
        <f t="shared" si="29"/>
        <v>0</v>
      </c>
      <c r="T287" s="11" cm="1">
        <f t="array" ref="T287">SUM(E287+O287:Q287)</f>
        <v>159372</v>
      </c>
    </row>
    <row r="288" spans="1:20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 xml:space="preserve"> COUNTIF(deals_closed!D:D,A288)</f>
        <v>20</v>
      </c>
      <c r="G288" s="5">
        <f>SUMIF(deals_closed!D:D, calculations!A288, deals_closed!C:C)</f>
        <v>603952</v>
      </c>
      <c r="H288" s="5">
        <f>VLOOKUP(D288,'2018_commission_structure'!$A$2:$I$4,9,FALSE)</f>
        <v>500000</v>
      </c>
      <c r="I288" s="9">
        <f t="shared" si="24"/>
        <v>625000</v>
      </c>
      <c r="J288" s="8">
        <f t="shared" si="25"/>
        <v>750000</v>
      </c>
      <c r="K288" s="9">
        <f t="shared" si="26"/>
        <v>1000000</v>
      </c>
      <c r="L288" s="10">
        <f t="shared" si="27"/>
        <v>1.2079040000000001</v>
      </c>
      <c r="M288" t="str">
        <f t="shared" si="28"/>
        <v>100-125%</v>
      </c>
      <c r="N288" s="9">
        <f>MIN(H288, G288)*INDEX('2018_commission_structure'!$A$1:$I$4,
MATCH($D288, '2018_commission_structure'!$A$1:$A$4,0),
MATCH(N$1, '2018_commission_structure'!$A$1:$I$1,0))</f>
        <v>50000</v>
      </c>
      <c r="O288" s="11">
        <f>IF(G288&gt;H288, MIN(G288-H288, I288-H288)*
INDEX('2018_commission_structure'!$A$1:$I$4,
MATCH($D288, '2018_commission_structure'!$A$1:$A$4, 0),
MATCH(O$1, '2018_commission_structure'!$A$1:$I$1, 0)), 0)</f>
        <v>15592.8</v>
      </c>
      <c r="P288" s="11">
        <f>IF(G288&gt;H288, MIN(G288-H288, J288-H288)*
INDEX('2018_commission_structure'!$A$1:$I$4,
MATCH($D288, '2018_commission_structure'!$A$1:$A$4, 0),
MATCH(O$1, '2018_commission_structure'!$A$1:$I$1, 0)), 0)</f>
        <v>15592.8</v>
      </c>
      <c r="Q288" s="11">
        <f>IF(G288&gt;H288, MIN(G288-H288, I288-H288)*
INDEX('2018_commission_structure'!$A$1:$I$4,
MATCH($D288, '2018_commission_structure'!$A$1:$A$4, 0),
MATCH(P$1, '2018_commission_structure'!$A$1:$I$1, 0)), 0)</f>
        <v>18711.36</v>
      </c>
      <c r="R288" s="11">
        <f>IF(G288&gt;K288, (G288-K288) *
INDEX('2018_commission_structure'!$A$1:$I$4,
MATCH($D288, '2018_commission_structure'!$A$1:$A$4,0),
MATCH(R$1, '2018_commission_structure'!$A$1:$I$1,0)), 0)</f>
        <v>0</v>
      </c>
      <c r="S288" s="11">
        <f t="shared" si="29"/>
        <v>49896.959999999999</v>
      </c>
      <c r="T288" s="11" cm="1">
        <f t="array" ref="T288">SUM(E288+O288:Q288)</f>
        <v>238941.96000000002</v>
      </c>
    </row>
    <row r="289" spans="1:20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 xml:space="preserve"> COUNTIF(deals_closed!D:D,A289)</f>
        <v>15</v>
      </c>
      <c r="G289" s="5">
        <f>SUMIF(deals_closed!D:D, calculations!A289, deals_closed!C:C)</f>
        <v>450892</v>
      </c>
      <c r="H289" s="5">
        <f>VLOOKUP(D289,'2018_commission_structure'!$A$2:$I$4,9,FALSE)</f>
        <v>600000</v>
      </c>
      <c r="I289" s="9">
        <f t="shared" si="24"/>
        <v>750000</v>
      </c>
      <c r="J289" s="8">
        <f t="shared" si="25"/>
        <v>900000</v>
      </c>
      <c r="K289" s="9">
        <f t="shared" si="26"/>
        <v>1200000</v>
      </c>
      <c r="L289" s="10">
        <f t="shared" si="27"/>
        <v>0.75148666666666664</v>
      </c>
      <c r="M289" t="str">
        <f t="shared" si="28"/>
        <v>0-100%</v>
      </c>
      <c r="N289" s="9">
        <f>MIN(H289, G289)*INDEX('2018_commission_structure'!$A$1:$I$4,
MATCH($D289, '2018_commission_structure'!$A$1:$A$4,0),
MATCH(N$1, '2018_commission_structure'!$A$1:$I$1,0))</f>
        <v>58615.96</v>
      </c>
      <c r="O289" s="11">
        <f>IF(G289&gt;H289, MIN(G289-H289, I289-H289)*
INDEX('2018_commission_structure'!$A$1:$I$4,
MATCH($D289, '2018_commission_structure'!$A$1:$A$4, 0),
MATCH(O$1, '2018_commission_structure'!$A$1:$I$1, 0)), 0)</f>
        <v>0</v>
      </c>
      <c r="P289" s="11">
        <f>IF(G289&gt;H289, MIN(G289-H289, J289-H289)*
INDEX('2018_commission_structure'!$A$1:$I$4,
MATCH($D289, '2018_commission_structure'!$A$1:$A$4, 0),
MATCH(O$1, '2018_commission_structure'!$A$1:$I$1, 0)), 0)</f>
        <v>0</v>
      </c>
      <c r="Q289" s="11">
        <f>IF(G289&gt;H289, MIN(G289-H289, I289-H289)*
INDEX('2018_commission_structure'!$A$1:$I$4,
MATCH($D289, '2018_commission_structure'!$A$1:$A$4, 0),
MATCH(P$1, '2018_commission_structure'!$A$1:$I$1, 0)), 0)</f>
        <v>0</v>
      </c>
      <c r="R289" s="11">
        <f>IF(G289&gt;K289, (G289-K289) *
INDEX('2018_commission_structure'!$A$1:$I$4,
MATCH($D289, '2018_commission_structure'!$A$1:$A$4,0),
MATCH(R$1, '2018_commission_structure'!$A$1:$I$1,0)), 0)</f>
        <v>0</v>
      </c>
      <c r="S289" s="11">
        <f t="shared" si="29"/>
        <v>0</v>
      </c>
      <c r="T289" s="11" cm="1">
        <f t="array" ref="T289">SUM(E289+O289:Q289)</f>
        <v>184425</v>
      </c>
    </row>
    <row r="290" spans="1:20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 xml:space="preserve"> COUNTIF(deals_closed!D:D,A290)</f>
        <v>21</v>
      </c>
      <c r="G290" s="5">
        <f>SUMIF(deals_closed!D:D, calculations!A290, deals_closed!C:C)</f>
        <v>771024</v>
      </c>
      <c r="H290" s="5">
        <f>VLOOKUP(D290,'2018_commission_structure'!$A$2:$I$4,9,FALSE)</f>
        <v>600000</v>
      </c>
      <c r="I290" s="9">
        <f t="shared" si="24"/>
        <v>750000</v>
      </c>
      <c r="J290" s="8">
        <f t="shared" si="25"/>
        <v>900000</v>
      </c>
      <c r="K290" s="9">
        <f t="shared" si="26"/>
        <v>1200000</v>
      </c>
      <c r="L290" s="10">
        <f t="shared" si="27"/>
        <v>1.28504</v>
      </c>
      <c r="M290" t="str">
        <f t="shared" si="28"/>
        <v>125-150%</v>
      </c>
      <c r="N290" s="9">
        <f>MIN(H290, G290)*INDEX('2018_commission_structure'!$A$1:$I$4,
MATCH($D290, '2018_commission_structure'!$A$1:$A$4,0),
MATCH(N$1, '2018_commission_structure'!$A$1:$I$1,0))</f>
        <v>78000</v>
      </c>
      <c r="O290" s="11">
        <f>IF(G290&gt;H290, MIN(G290-H290, I290-H290)*
INDEX('2018_commission_structure'!$A$1:$I$4,
MATCH($D290, '2018_commission_structure'!$A$1:$A$4, 0),
MATCH(O$1, '2018_commission_structure'!$A$1:$I$1, 0)), 0)</f>
        <v>25500.000000000004</v>
      </c>
      <c r="P290" s="11">
        <f>IF(G290&gt;H290, MIN(G290-H290, J290-H290)*
INDEX('2018_commission_structure'!$A$1:$I$4,
MATCH($D290, '2018_commission_structure'!$A$1:$A$4, 0),
MATCH(O$1, '2018_commission_structure'!$A$1:$I$1, 0)), 0)</f>
        <v>29074.080000000002</v>
      </c>
      <c r="Q290" s="11">
        <f>IF(G290&gt;H290, MIN(G290-H290, I290-H290)*
INDEX('2018_commission_structure'!$A$1:$I$4,
MATCH($D290, '2018_commission_structure'!$A$1:$A$4, 0),
MATCH(P$1, '2018_commission_structure'!$A$1:$I$1, 0)), 0)</f>
        <v>31500</v>
      </c>
      <c r="R290" s="11">
        <f>IF(G290&gt;K290, (G290-K290) *
INDEX('2018_commission_structure'!$A$1:$I$4,
MATCH($D290, '2018_commission_structure'!$A$1:$A$4,0),
MATCH(R$1, '2018_commission_structure'!$A$1:$I$1,0)), 0)</f>
        <v>0</v>
      </c>
      <c r="S290" s="11">
        <f t="shared" si="29"/>
        <v>86074.08</v>
      </c>
      <c r="T290" s="11" cm="1">
        <f t="array" ref="T290">SUM(E290+O290:Q290)</f>
        <v>315373.08</v>
      </c>
    </row>
    <row r="291" spans="1:20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 xml:space="preserve"> COUNTIF(deals_closed!D:D,A291)</f>
        <v>15</v>
      </c>
      <c r="G291" s="5">
        <f>SUMIF(deals_closed!D:D, calculations!A291, deals_closed!C:C)</f>
        <v>560614</v>
      </c>
      <c r="H291" s="5">
        <f>VLOOKUP(D291,'2018_commission_structure'!$A$2:$I$4,9,FALSE)</f>
        <v>600000</v>
      </c>
      <c r="I291" s="9">
        <f t="shared" si="24"/>
        <v>750000</v>
      </c>
      <c r="J291" s="8">
        <f t="shared" si="25"/>
        <v>900000</v>
      </c>
      <c r="K291" s="9">
        <f t="shared" si="26"/>
        <v>1200000</v>
      </c>
      <c r="L291" s="10">
        <f t="shared" si="27"/>
        <v>0.93435666666666661</v>
      </c>
      <c r="M291" t="str">
        <f t="shared" si="28"/>
        <v>0-100%</v>
      </c>
      <c r="N291" s="9">
        <f>MIN(H291, G291)*INDEX('2018_commission_structure'!$A$1:$I$4,
MATCH($D291, '2018_commission_structure'!$A$1:$A$4,0),
MATCH(N$1, '2018_commission_structure'!$A$1:$I$1,0))</f>
        <v>72879.820000000007</v>
      </c>
      <c r="O291" s="11">
        <f>IF(G291&gt;H291, MIN(G291-H291, I291-H291)*
INDEX('2018_commission_structure'!$A$1:$I$4,
MATCH($D291, '2018_commission_structure'!$A$1:$A$4, 0),
MATCH(O$1, '2018_commission_structure'!$A$1:$I$1, 0)), 0)</f>
        <v>0</v>
      </c>
      <c r="P291" s="11">
        <f>IF(G291&gt;H291, MIN(G291-H291, J291-H291)*
INDEX('2018_commission_structure'!$A$1:$I$4,
MATCH($D291, '2018_commission_structure'!$A$1:$A$4, 0),
MATCH(O$1, '2018_commission_structure'!$A$1:$I$1, 0)), 0)</f>
        <v>0</v>
      </c>
      <c r="Q291" s="11">
        <f>IF(G291&gt;H291, MIN(G291-H291, I291-H291)*
INDEX('2018_commission_structure'!$A$1:$I$4,
MATCH($D291, '2018_commission_structure'!$A$1:$A$4, 0),
MATCH(P$1, '2018_commission_structure'!$A$1:$I$1, 0)), 0)</f>
        <v>0</v>
      </c>
      <c r="R291" s="11">
        <f>IF(G291&gt;K291, (G291-K291) *
INDEX('2018_commission_structure'!$A$1:$I$4,
MATCH($D291, '2018_commission_structure'!$A$1:$A$4,0),
MATCH(R$1, '2018_commission_structure'!$A$1:$I$1,0)), 0)</f>
        <v>0</v>
      </c>
      <c r="S291" s="11">
        <f t="shared" si="29"/>
        <v>0</v>
      </c>
      <c r="T291" s="11" cm="1">
        <f t="array" ref="T291">SUM(E291+O291:Q291)</f>
        <v>174957</v>
      </c>
    </row>
    <row r="292" spans="1:20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 xml:space="preserve"> COUNTIF(deals_closed!D:D,A292)</f>
        <v>21</v>
      </c>
      <c r="G292" s="5">
        <f>SUMIF(deals_closed!D:D, calculations!A292, deals_closed!C:C)</f>
        <v>714330</v>
      </c>
      <c r="H292" s="5">
        <f>VLOOKUP(D292,'2018_commission_structure'!$A$2:$I$4,9,FALSE)</f>
        <v>600000</v>
      </c>
      <c r="I292" s="9">
        <f t="shared" si="24"/>
        <v>750000</v>
      </c>
      <c r="J292" s="8">
        <f t="shared" si="25"/>
        <v>900000</v>
      </c>
      <c r="K292" s="9">
        <f t="shared" si="26"/>
        <v>1200000</v>
      </c>
      <c r="L292" s="10">
        <f t="shared" si="27"/>
        <v>1.19055</v>
      </c>
      <c r="M292" t="str">
        <f t="shared" si="28"/>
        <v>100-125%</v>
      </c>
      <c r="N292" s="9">
        <f>MIN(H292, G292)*INDEX('2018_commission_structure'!$A$1:$I$4,
MATCH($D292, '2018_commission_structure'!$A$1:$A$4,0),
MATCH(N$1, '2018_commission_structure'!$A$1:$I$1,0))</f>
        <v>78000</v>
      </c>
      <c r="O292" s="11">
        <f>IF(G292&gt;H292, MIN(G292-H292, I292-H292)*
INDEX('2018_commission_structure'!$A$1:$I$4,
MATCH($D292, '2018_commission_structure'!$A$1:$A$4, 0),
MATCH(O$1, '2018_commission_structure'!$A$1:$I$1, 0)), 0)</f>
        <v>19436.100000000002</v>
      </c>
      <c r="P292" s="11">
        <f>IF(G292&gt;H292, MIN(G292-H292, J292-H292)*
INDEX('2018_commission_structure'!$A$1:$I$4,
MATCH($D292, '2018_commission_structure'!$A$1:$A$4, 0),
MATCH(O$1, '2018_commission_structure'!$A$1:$I$1, 0)), 0)</f>
        <v>19436.100000000002</v>
      </c>
      <c r="Q292" s="11">
        <f>IF(G292&gt;H292, MIN(G292-H292, I292-H292)*
INDEX('2018_commission_structure'!$A$1:$I$4,
MATCH($D292, '2018_commission_structure'!$A$1:$A$4, 0),
MATCH(P$1, '2018_commission_structure'!$A$1:$I$1, 0)), 0)</f>
        <v>24009.3</v>
      </c>
      <c r="R292" s="11">
        <f>IF(G292&gt;K292, (G292-K292) *
INDEX('2018_commission_structure'!$A$1:$I$4,
MATCH($D292, '2018_commission_structure'!$A$1:$A$4,0),
MATCH(R$1, '2018_commission_structure'!$A$1:$I$1,0)), 0)</f>
        <v>0</v>
      </c>
      <c r="S292" s="11">
        <f t="shared" si="29"/>
        <v>62881.5</v>
      </c>
      <c r="T292" s="11" cm="1">
        <f t="array" ref="T292">SUM(E292+O292:Q292)</f>
        <v>227779.5</v>
      </c>
    </row>
    <row r="293" spans="1:20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 xml:space="preserve"> COUNTIF(deals_closed!D:D,A293)</f>
        <v>15</v>
      </c>
      <c r="G293" s="5">
        <f>SUMIF(deals_closed!D:D, calculations!A293, deals_closed!C:C)</f>
        <v>512176</v>
      </c>
      <c r="H293" s="5">
        <f>VLOOKUP(D293,'2018_commission_structure'!$A$2:$I$4,9,FALSE)</f>
        <v>750000</v>
      </c>
      <c r="I293" s="9">
        <f t="shared" si="24"/>
        <v>937500</v>
      </c>
      <c r="J293" s="8">
        <f t="shared" si="25"/>
        <v>1125000</v>
      </c>
      <c r="K293" s="9">
        <f t="shared" si="26"/>
        <v>1500000</v>
      </c>
      <c r="L293" s="10">
        <f t="shared" si="27"/>
        <v>0.68290133333333336</v>
      </c>
      <c r="M293" t="str">
        <f t="shared" si="28"/>
        <v>0-100%</v>
      </c>
      <c r="N293" s="9">
        <f>MIN(H293, G293)*INDEX('2018_commission_structure'!$A$1:$I$4,
MATCH($D293, '2018_commission_structure'!$A$1:$A$4,0),
MATCH(N$1, '2018_commission_structure'!$A$1:$I$1,0))</f>
        <v>76826.399999999994</v>
      </c>
      <c r="O293" s="11">
        <f>IF(G293&gt;H293, MIN(G293-H293, I293-H293)*
INDEX('2018_commission_structure'!$A$1:$I$4,
MATCH($D293, '2018_commission_structure'!$A$1:$A$4, 0),
MATCH(O$1, '2018_commission_structure'!$A$1:$I$1, 0)), 0)</f>
        <v>0</v>
      </c>
      <c r="P293" s="11">
        <f>IF(G293&gt;H293, MIN(G293-H293, J293-H293)*
INDEX('2018_commission_structure'!$A$1:$I$4,
MATCH($D293, '2018_commission_structure'!$A$1:$A$4, 0),
MATCH(O$1, '2018_commission_structure'!$A$1:$I$1, 0)), 0)</f>
        <v>0</v>
      </c>
      <c r="Q293" s="11">
        <f>IF(G293&gt;H293, MIN(G293-H293, I293-H293)*
INDEX('2018_commission_structure'!$A$1:$I$4,
MATCH($D293, '2018_commission_structure'!$A$1:$A$4, 0),
MATCH(P$1, '2018_commission_structure'!$A$1:$I$1, 0)), 0)</f>
        <v>0</v>
      </c>
      <c r="R293" s="11">
        <f>IF(G293&gt;K293, (G293-K293) *
INDEX('2018_commission_structure'!$A$1:$I$4,
MATCH($D293, '2018_commission_structure'!$A$1:$A$4,0),
MATCH(R$1, '2018_commission_structure'!$A$1:$I$1,0)), 0)</f>
        <v>0</v>
      </c>
      <c r="S293" s="11">
        <f t="shared" si="29"/>
        <v>0</v>
      </c>
      <c r="T293" s="11" cm="1">
        <f t="array" ref="T293">SUM(E293+O293:Q293)</f>
        <v>353532</v>
      </c>
    </row>
    <row r="294" spans="1:20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 xml:space="preserve"> COUNTIF(deals_closed!D:D,A294)</f>
        <v>13</v>
      </c>
      <c r="G294" s="5">
        <f>SUMIF(deals_closed!D:D, calculations!A294, deals_closed!C:C)</f>
        <v>438197</v>
      </c>
      <c r="H294" s="5">
        <f>VLOOKUP(D294,'2018_commission_structure'!$A$2:$I$4,9,FALSE)</f>
        <v>600000</v>
      </c>
      <c r="I294" s="9">
        <f t="shared" si="24"/>
        <v>750000</v>
      </c>
      <c r="J294" s="8">
        <f t="shared" si="25"/>
        <v>900000</v>
      </c>
      <c r="K294" s="9">
        <f t="shared" si="26"/>
        <v>1200000</v>
      </c>
      <c r="L294" s="10">
        <f t="shared" si="27"/>
        <v>0.73032833333333336</v>
      </c>
      <c r="M294" t="str">
        <f t="shared" si="28"/>
        <v>0-100%</v>
      </c>
      <c r="N294" s="9">
        <f>MIN(H294, G294)*INDEX('2018_commission_structure'!$A$1:$I$4,
MATCH($D294, '2018_commission_structure'!$A$1:$A$4,0),
MATCH(N$1, '2018_commission_structure'!$A$1:$I$1,0))</f>
        <v>56965.61</v>
      </c>
      <c r="O294" s="11">
        <f>IF(G294&gt;H294, MIN(G294-H294, I294-H294)*
INDEX('2018_commission_structure'!$A$1:$I$4,
MATCH($D294, '2018_commission_structure'!$A$1:$A$4, 0),
MATCH(O$1, '2018_commission_structure'!$A$1:$I$1, 0)), 0)</f>
        <v>0</v>
      </c>
      <c r="P294" s="11">
        <f>IF(G294&gt;H294, MIN(G294-H294, J294-H294)*
INDEX('2018_commission_structure'!$A$1:$I$4,
MATCH($D294, '2018_commission_structure'!$A$1:$A$4, 0),
MATCH(O$1, '2018_commission_structure'!$A$1:$I$1, 0)), 0)</f>
        <v>0</v>
      </c>
      <c r="Q294" s="11">
        <f>IF(G294&gt;H294, MIN(G294-H294, I294-H294)*
INDEX('2018_commission_structure'!$A$1:$I$4,
MATCH($D294, '2018_commission_structure'!$A$1:$A$4, 0),
MATCH(P$1, '2018_commission_structure'!$A$1:$I$1, 0)), 0)</f>
        <v>0</v>
      </c>
      <c r="R294" s="11">
        <f>IF(G294&gt;K294, (G294-K294) *
INDEX('2018_commission_structure'!$A$1:$I$4,
MATCH($D294, '2018_commission_structure'!$A$1:$A$4,0),
MATCH(R$1, '2018_commission_structure'!$A$1:$I$1,0)), 0)</f>
        <v>0</v>
      </c>
      <c r="S294" s="11">
        <f t="shared" si="29"/>
        <v>0</v>
      </c>
      <c r="T294" s="11" cm="1">
        <f t="array" ref="T294">SUM(E294+O294:Q294)</f>
        <v>238506</v>
      </c>
    </row>
    <row r="295" spans="1:20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 xml:space="preserve"> COUNTIF(deals_closed!D:D,A295)</f>
        <v>23</v>
      </c>
      <c r="G295" s="5">
        <f>SUMIF(deals_closed!D:D, calculations!A295, deals_closed!C:C)</f>
        <v>913755</v>
      </c>
      <c r="H295" s="5">
        <f>VLOOKUP(D295,'2018_commission_structure'!$A$2:$I$4,9,FALSE)</f>
        <v>600000</v>
      </c>
      <c r="I295" s="9">
        <f t="shared" si="24"/>
        <v>750000</v>
      </c>
      <c r="J295" s="8">
        <f t="shared" si="25"/>
        <v>900000</v>
      </c>
      <c r="K295" s="9">
        <f t="shared" si="26"/>
        <v>1200000</v>
      </c>
      <c r="L295" s="10">
        <f t="shared" si="27"/>
        <v>1.5229250000000001</v>
      </c>
      <c r="M295" t="str">
        <f t="shared" si="28"/>
        <v>150-200%</v>
      </c>
      <c r="N295" s="9">
        <f>MIN(H295, G295)*INDEX('2018_commission_structure'!$A$1:$I$4,
MATCH($D295, '2018_commission_structure'!$A$1:$A$4,0),
MATCH(N$1, '2018_commission_structure'!$A$1:$I$1,0))</f>
        <v>78000</v>
      </c>
      <c r="O295" s="11">
        <f>IF(G295&gt;H295, MIN(G295-H295, I295-H295)*
INDEX('2018_commission_structure'!$A$1:$I$4,
MATCH($D295, '2018_commission_structure'!$A$1:$A$4, 0),
MATCH(O$1, '2018_commission_structure'!$A$1:$I$1, 0)), 0)</f>
        <v>25500.000000000004</v>
      </c>
      <c r="P295" s="11">
        <f>IF(G295&gt;H295, MIN(G295-H295, J295-H295)*
INDEX('2018_commission_structure'!$A$1:$I$4,
MATCH($D295, '2018_commission_structure'!$A$1:$A$4, 0),
MATCH(O$1, '2018_commission_structure'!$A$1:$I$1, 0)), 0)</f>
        <v>51000.000000000007</v>
      </c>
      <c r="Q295" s="11">
        <f>IF(G295&gt;H295, MIN(G295-H295, I295-H295)*
INDEX('2018_commission_structure'!$A$1:$I$4,
MATCH($D295, '2018_commission_structure'!$A$1:$A$4, 0),
MATCH(P$1, '2018_commission_structure'!$A$1:$I$1, 0)), 0)</f>
        <v>31500</v>
      </c>
      <c r="R295" s="11">
        <f>IF(G295&gt;K295, (G295-K295) *
INDEX('2018_commission_structure'!$A$1:$I$4,
MATCH($D295, '2018_commission_structure'!$A$1:$A$4,0),
MATCH(R$1, '2018_commission_structure'!$A$1:$I$1,0)), 0)</f>
        <v>0</v>
      </c>
      <c r="S295" s="11">
        <f t="shared" si="29"/>
        <v>108000.00000000001</v>
      </c>
      <c r="T295" s="11" cm="1">
        <f t="array" ref="T295">SUM(E295+O295:Q295)</f>
        <v>272067</v>
      </c>
    </row>
    <row r="296" spans="1:20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 xml:space="preserve"> COUNTIF(deals_closed!D:D,A296)</f>
        <v>24</v>
      </c>
      <c r="G296" s="5">
        <f>SUMIF(deals_closed!D:D, calculations!A296, deals_closed!C:C)</f>
        <v>775092</v>
      </c>
      <c r="H296" s="5">
        <f>VLOOKUP(D296,'2018_commission_structure'!$A$2:$I$4,9,FALSE)</f>
        <v>750000</v>
      </c>
      <c r="I296" s="9">
        <f t="shared" si="24"/>
        <v>937500</v>
      </c>
      <c r="J296" s="8">
        <f t="shared" si="25"/>
        <v>1125000</v>
      </c>
      <c r="K296" s="9">
        <f t="shared" si="26"/>
        <v>1500000</v>
      </c>
      <c r="L296" s="10">
        <f t="shared" si="27"/>
        <v>1.0334559999999999</v>
      </c>
      <c r="M296" t="str">
        <f t="shared" si="28"/>
        <v>100-125%</v>
      </c>
      <c r="N296" s="9">
        <f>MIN(H296, G296)*INDEX('2018_commission_structure'!$A$1:$I$4,
MATCH($D296, '2018_commission_structure'!$A$1:$A$4,0),
MATCH(N$1, '2018_commission_structure'!$A$1:$I$1,0))</f>
        <v>112500</v>
      </c>
      <c r="O296" s="11">
        <f>IF(G296&gt;H296, MIN(G296-H296, I296-H296)*
INDEX('2018_commission_structure'!$A$1:$I$4,
MATCH($D296, '2018_commission_structure'!$A$1:$A$4, 0),
MATCH(O$1, '2018_commission_structure'!$A$1:$I$1, 0)), 0)</f>
        <v>4767.4800000000005</v>
      </c>
      <c r="P296" s="11">
        <f>IF(G296&gt;H296, MIN(G296-H296, J296-H296)*
INDEX('2018_commission_structure'!$A$1:$I$4,
MATCH($D296, '2018_commission_structure'!$A$1:$A$4, 0),
MATCH(O$1, '2018_commission_structure'!$A$1:$I$1, 0)), 0)</f>
        <v>4767.4800000000005</v>
      </c>
      <c r="Q296" s="11">
        <f>IF(G296&gt;H296, MIN(G296-H296, I296-H296)*
INDEX('2018_commission_structure'!$A$1:$I$4,
MATCH($D296, '2018_commission_structure'!$A$1:$A$4, 0),
MATCH(P$1, '2018_commission_structure'!$A$1:$I$1, 0)), 0)</f>
        <v>5771.16</v>
      </c>
      <c r="R296" s="11">
        <f>IF(G296&gt;K296, (G296-K296) *
INDEX('2018_commission_structure'!$A$1:$I$4,
MATCH($D296, '2018_commission_structure'!$A$1:$A$4,0),
MATCH(R$1, '2018_commission_structure'!$A$1:$I$1,0)), 0)</f>
        <v>0</v>
      </c>
      <c r="S296" s="11">
        <f t="shared" si="29"/>
        <v>15306.12</v>
      </c>
      <c r="T296" s="11" cm="1">
        <f t="array" ref="T296">SUM(E296+O296:Q296)</f>
        <v>300669.12</v>
      </c>
    </row>
    <row r="297" spans="1:20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 xml:space="preserve"> COUNTIF(deals_closed!D:D,A297)</f>
        <v>16</v>
      </c>
      <c r="G297" s="5">
        <f>SUMIF(deals_closed!D:D, calculations!A297, deals_closed!C:C)</f>
        <v>516401</v>
      </c>
      <c r="H297" s="5">
        <f>VLOOKUP(D297,'2018_commission_structure'!$A$2:$I$4,9,FALSE)</f>
        <v>500000</v>
      </c>
      <c r="I297" s="9">
        <f t="shared" si="24"/>
        <v>625000</v>
      </c>
      <c r="J297" s="8">
        <f t="shared" si="25"/>
        <v>750000</v>
      </c>
      <c r="K297" s="9">
        <f t="shared" si="26"/>
        <v>1000000</v>
      </c>
      <c r="L297" s="10">
        <f t="shared" si="27"/>
        <v>1.032802</v>
      </c>
      <c r="M297" t="str">
        <f t="shared" si="28"/>
        <v>100-125%</v>
      </c>
      <c r="N297" s="9">
        <f>MIN(H297, G297)*INDEX('2018_commission_structure'!$A$1:$I$4,
MATCH($D297, '2018_commission_structure'!$A$1:$A$4,0),
MATCH(N$1, '2018_commission_structure'!$A$1:$I$1,0))</f>
        <v>50000</v>
      </c>
      <c r="O297" s="11">
        <f>IF(G297&gt;H297, MIN(G297-H297, I297-H297)*
INDEX('2018_commission_structure'!$A$1:$I$4,
MATCH($D297, '2018_commission_structure'!$A$1:$A$4, 0),
MATCH(O$1, '2018_commission_structure'!$A$1:$I$1, 0)), 0)</f>
        <v>2460.15</v>
      </c>
      <c r="P297" s="11">
        <f>IF(G297&gt;H297, MIN(G297-H297, J297-H297)*
INDEX('2018_commission_structure'!$A$1:$I$4,
MATCH($D297, '2018_commission_structure'!$A$1:$A$4, 0),
MATCH(O$1, '2018_commission_structure'!$A$1:$I$1, 0)), 0)</f>
        <v>2460.15</v>
      </c>
      <c r="Q297" s="11">
        <f>IF(G297&gt;H297, MIN(G297-H297, I297-H297)*
INDEX('2018_commission_structure'!$A$1:$I$4,
MATCH($D297, '2018_commission_structure'!$A$1:$A$4, 0),
MATCH(P$1, '2018_commission_structure'!$A$1:$I$1, 0)), 0)</f>
        <v>2952.18</v>
      </c>
      <c r="R297" s="11">
        <f>IF(G297&gt;K297, (G297-K297) *
INDEX('2018_commission_structure'!$A$1:$I$4,
MATCH($D297, '2018_commission_structure'!$A$1:$A$4,0),
MATCH(R$1, '2018_commission_structure'!$A$1:$I$1,0)), 0)</f>
        <v>0</v>
      </c>
      <c r="S297" s="11">
        <f t="shared" si="29"/>
        <v>7872.48</v>
      </c>
      <c r="T297" s="11" cm="1">
        <f t="array" ref="T297">SUM(E297+O297:Q297)</f>
        <v>176976.48</v>
      </c>
    </row>
    <row r="298" spans="1:20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 xml:space="preserve"> COUNTIF(deals_closed!D:D,A298)</f>
        <v>21</v>
      </c>
      <c r="G298" s="5">
        <f>SUMIF(deals_closed!D:D, calculations!A298, deals_closed!C:C)</f>
        <v>621231</v>
      </c>
      <c r="H298" s="5">
        <f>VLOOKUP(D298,'2018_commission_structure'!$A$2:$I$4,9,FALSE)</f>
        <v>750000</v>
      </c>
      <c r="I298" s="9">
        <f t="shared" si="24"/>
        <v>937500</v>
      </c>
      <c r="J298" s="8">
        <f t="shared" si="25"/>
        <v>1125000</v>
      </c>
      <c r="K298" s="9">
        <f t="shared" si="26"/>
        <v>1500000</v>
      </c>
      <c r="L298" s="10">
        <f t="shared" si="27"/>
        <v>0.82830800000000004</v>
      </c>
      <c r="M298" t="str">
        <f t="shared" si="28"/>
        <v>0-100%</v>
      </c>
      <c r="N298" s="9">
        <f>MIN(H298, G298)*INDEX('2018_commission_structure'!$A$1:$I$4,
MATCH($D298, '2018_commission_structure'!$A$1:$A$4,0),
MATCH(N$1, '2018_commission_structure'!$A$1:$I$1,0))</f>
        <v>93184.65</v>
      </c>
      <c r="O298" s="11">
        <f>IF(G298&gt;H298, MIN(G298-H298, I298-H298)*
INDEX('2018_commission_structure'!$A$1:$I$4,
MATCH($D298, '2018_commission_structure'!$A$1:$A$4, 0),
MATCH(O$1, '2018_commission_structure'!$A$1:$I$1, 0)), 0)</f>
        <v>0</v>
      </c>
      <c r="P298" s="11">
        <f>IF(G298&gt;H298, MIN(G298-H298, J298-H298)*
INDEX('2018_commission_structure'!$A$1:$I$4,
MATCH($D298, '2018_commission_structure'!$A$1:$A$4, 0),
MATCH(O$1, '2018_commission_structure'!$A$1:$I$1, 0)), 0)</f>
        <v>0</v>
      </c>
      <c r="Q298" s="11">
        <f>IF(G298&gt;H298, MIN(G298-H298, I298-H298)*
INDEX('2018_commission_structure'!$A$1:$I$4,
MATCH($D298, '2018_commission_structure'!$A$1:$A$4, 0),
MATCH(P$1, '2018_commission_structure'!$A$1:$I$1, 0)), 0)</f>
        <v>0</v>
      </c>
      <c r="R298" s="11">
        <f>IF(G298&gt;K298, (G298-K298) *
INDEX('2018_commission_structure'!$A$1:$I$4,
MATCH($D298, '2018_commission_structure'!$A$1:$A$4,0),
MATCH(R$1, '2018_commission_structure'!$A$1:$I$1,0)), 0)</f>
        <v>0</v>
      </c>
      <c r="S298" s="11">
        <f t="shared" si="29"/>
        <v>0</v>
      </c>
      <c r="T298" s="11" cm="1">
        <f t="array" ref="T298">SUM(E298+O298:Q298)</f>
        <v>308469</v>
      </c>
    </row>
    <row r="299" spans="1:20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 xml:space="preserve"> COUNTIF(deals_closed!D:D,A299)</f>
        <v>17</v>
      </c>
      <c r="G299" s="5">
        <f>SUMIF(deals_closed!D:D, calculations!A299, deals_closed!C:C)</f>
        <v>544437</v>
      </c>
      <c r="H299" s="5">
        <f>VLOOKUP(D299,'2018_commission_structure'!$A$2:$I$4,9,FALSE)</f>
        <v>500000</v>
      </c>
      <c r="I299" s="9">
        <f t="shared" si="24"/>
        <v>625000</v>
      </c>
      <c r="J299" s="8">
        <f t="shared" si="25"/>
        <v>750000</v>
      </c>
      <c r="K299" s="9">
        <f t="shared" si="26"/>
        <v>1000000</v>
      </c>
      <c r="L299" s="10">
        <f t="shared" si="27"/>
        <v>1.0888739999999999</v>
      </c>
      <c r="M299" t="str">
        <f t="shared" si="28"/>
        <v>100-125%</v>
      </c>
      <c r="N299" s="9">
        <f>MIN(H299, G299)*INDEX('2018_commission_structure'!$A$1:$I$4,
MATCH($D299, '2018_commission_structure'!$A$1:$A$4,0),
MATCH(N$1, '2018_commission_structure'!$A$1:$I$1,0))</f>
        <v>50000</v>
      </c>
      <c r="O299" s="11">
        <f>IF(G299&gt;H299, MIN(G299-H299, I299-H299)*
INDEX('2018_commission_structure'!$A$1:$I$4,
MATCH($D299, '2018_commission_structure'!$A$1:$A$4, 0),
MATCH(O$1, '2018_commission_structure'!$A$1:$I$1, 0)), 0)</f>
        <v>6665.55</v>
      </c>
      <c r="P299" s="11">
        <f>IF(G299&gt;H299, MIN(G299-H299, J299-H299)*
INDEX('2018_commission_structure'!$A$1:$I$4,
MATCH($D299, '2018_commission_structure'!$A$1:$A$4, 0),
MATCH(O$1, '2018_commission_structure'!$A$1:$I$1, 0)), 0)</f>
        <v>6665.55</v>
      </c>
      <c r="Q299" s="11">
        <f>IF(G299&gt;H299, MIN(G299-H299, I299-H299)*
INDEX('2018_commission_structure'!$A$1:$I$4,
MATCH($D299, '2018_commission_structure'!$A$1:$A$4, 0),
MATCH(P$1, '2018_commission_structure'!$A$1:$I$1, 0)), 0)</f>
        <v>7998.66</v>
      </c>
      <c r="R299" s="11">
        <f>IF(G299&gt;K299, (G299-K299) *
INDEX('2018_commission_structure'!$A$1:$I$4,
MATCH($D299, '2018_commission_structure'!$A$1:$A$4,0),
MATCH(R$1, '2018_commission_structure'!$A$1:$I$1,0)), 0)</f>
        <v>0</v>
      </c>
      <c r="S299" s="11">
        <f t="shared" si="29"/>
        <v>21329.760000000002</v>
      </c>
      <c r="T299" s="11" cm="1">
        <f t="array" ref="T299">SUM(E299+O299:Q299)</f>
        <v>111803.76000000001</v>
      </c>
    </row>
    <row r="300" spans="1:20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 xml:space="preserve"> COUNTIF(deals_closed!D:D,A300)</f>
        <v>17</v>
      </c>
      <c r="G300" s="5">
        <f>SUMIF(deals_closed!D:D, calculations!A300, deals_closed!C:C)</f>
        <v>647443</v>
      </c>
      <c r="H300" s="5">
        <f>VLOOKUP(D300,'2018_commission_structure'!$A$2:$I$4,9,FALSE)</f>
        <v>600000</v>
      </c>
      <c r="I300" s="9">
        <f t="shared" si="24"/>
        <v>750000</v>
      </c>
      <c r="J300" s="8">
        <f t="shared" si="25"/>
        <v>900000</v>
      </c>
      <c r="K300" s="9">
        <f t="shared" si="26"/>
        <v>1200000</v>
      </c>
      <c r="L300" s="10">
        <f t="shared" si="27"/>
        <v>1.0790716666666667</v>
      </c>
      <c r="M300" t="str">
        <f t="shared" si="28"/>
        <v>100-125%</v>
      </c>
      <c r="N300" s="9">
        <f>MIN(H300, G300)*INDEX('2018_commission_structure'!$A$1:$I$4,
MATCH($D300, '2018_commission_structure'!$A$1:$A$4,0),
MATCH(N$1, '2018_commission_structure'!$A$1:$I$1,0))</f>
        <v>78000</v>
      </c>
      <c r="O300" s="11">
        <f>IF(G300&gt;H300, MIN(G300-H300, I300-H300)*
INDEX('2018_commission_structure'!$A$1:$I$4,
MATCH($D300, '2018_commission_structure'!$A$1:$A$4, 0),
MATCH(O$1, '2018_commission_structure'!$A$1:$I$1, 0)), 0)</f>
        <v>8065.31</v>
      </c>
      <c r="P300" s="11">
        <f>IF(G300&gt;H300, MIN(G300-H300, J300-H300)*
INDEX('2018_commission_structure'!$A$1:$I$4,
MATCH($D300, '2018_commission_structure'!$A$1:$A$4, 0),
MATCH(O$1, '2018_commission_structure'!$A$1:$I$1, 0)), 0)</f>
        <v>8065.31</v>
      </c>
      <c r="Q300" s="11">
        <f>IF(G300&gt;H300, MIN(G300-H300, I300-H300)*
INDEX('2018_commission_structure'!$A$1:$I$4,
MATCH($D300, '2018_commission_structure'!$A$1:$A$4, 0),
MATCH(P$1, '2018_commission_structure'!$A$1:$I$1, 0)), 0)</f>
        <v>9963.0299999999988</v>
      </c>
      <c r="R300" s="11">
        <f>IF(G300&gt;K300, (G300-K300) *
INDEX('2018_commission_structure'!$A$1:$I$4,
MATCH($D300, '2018_commission_structure'!$A$1:$A$4,0),
MATCH(R$1, '2018_commission_structure'!$A$1:$I$1,0)), 0)</f>
        <v>0</v>
      </c>
      <c r="S300" s="11">
        <f t="shared" si="29"/>
        <v>26093.65</v>
      </c>
      <c r="T300" s="11" cm="1">
        <f t="array" ref="T300">SUM(E300+O300:Q300)</f>
        <v>176246.65</v>
      </c>
    </row>
    <row r="301" spans="1:20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 xml:space="preserve"> COUNTIF(deals_closed!D:D,A301)</f>
        <v>18</v>
      </c>
      <c r="G301" s="5">
        <f>SUMIF(deals_closed!D:D, calculations!A301, deals_closed!C:C)</f>
        <v>717326</v>
      </c>
      <c r="H301" s="5">
        <f>VLOOKUP(D301,'2018_commission_structure'!$A$2:$I$4,9,FALSE)</f>
        <v>600000</v>
      </c>
      <c r="I301" s="9">
        <f t="shared" si="24"/>
        <v>750000</v>
      </c>
      <c r="J301" s="8">
        <f t="shared" si="25"/>
        <v>900000</v>
      </c>
      <c r="K301" s="9">
        <f t="shared" si="26"/>
        <v>1200000</v>
      </c>
      <c r="L301" s="10">
        <f t="shared" si="27"/>
        <v>1.1955433333333334</v>
      </c>
      <c r="M301" t="str">
        <f t="shared" si="28"/>
        <v>100-125%</v>
      </c>
      <c r="N301" s="9">
        <f>MIN(H301, G301)*INDEX('2018_commission_structure'!$A$1:$I$4,
MATCH($D301, '2018_commission_structure'!$A$1:$A$4,0),
MATCH(N$1, '2018_commission_structure'!$A$1:$I$1,0))</f>
        <v>78000</v>
      </c>
      <c r="O301" s="11">
        <f>IF(G301&gt;H301, MIN(G301-H301, I301-H301)*
INDEX('2018_commission_structure'!$A$1:$I$4,
MATCH($D301, '2018_commission_structure'!$A$1:$A$4, 0),
MATCH(O$1, '2018_commission_structure'!$A$1:$I$1, 0)), 0)</f>
        <v>19945.420000000002</v>
      </c>
      <c r="P301" s="11">
        <f>IF(G301&gt;H301, MIN(G301-H301, J301-H301)*
INDEX('2018_commission_structure'!$A$1:$I$4,
MATCH($D301, '2018_commission_structure'!$A$1:$A$4, 0),
MATCH(O$1, '2018_commission_structure'!$A$1:$I$1, 0)), 0)</f>
        <v>19945.420000000002</v>
      </c>
      <c r="Q301" s="11">
        <f>IF(G301&gt;H301, MIN(G301-H301, I301-H301)*
INDEX('2018_commission_structure'!$A$1:$I$4,
MATCH($D301, '2018_commission_structure'!$A$1:$A$4, 0),
MATCH(P$1, '2018_commission_structure'!$A$1:$I$1, 0)), 0)</f>
        <v>24638.46</v>
      </c>
      <c r="R301" s="11">
        <f>IF(G301&gt;K301, (G301-K301) *
INDEX('2018_commission_structure'!$A$1:$I$4,
MATCH($D301, '2018_commission_structure'!$A$1:$A$4,0),
MATCH(R$1, '2018_commission_structure'!$A$1:$I$1,0)), 0)</f>
        <v>0</v>
      </c>
      <c r="S301" s="11">
        <f t="shared" si="29"/>
        <v>64529.3</v>
      </c>
      <c r="T301" s="11" cm="1">
        <f t="array" ref="T301">SUM(E301+O301:Q301)</f>
        <v>224702.3</v>
      </c>
    </row>
    <row r="302" spans="1:20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 xml:space="preserve"> COUNTIF(deals_closed!D:D,A302)</f>
        <v>21</v>
      </c>
      <c r="G302" s="5">
        <f>SUMIF(deals_closed!D:D, calculations!A302, deals_closed!C:C)</f>
        <v>785622</v>
      </c>
      <c r="H302" s="5">
        <f>VLOOKUP(D302,'2018_commission_structure'!$A$2:$I$4,9,FALSE)</f>
        <v>500000</v>
      </c>
      <c r="I302" s="9">
        <f t="shared" si="24"/>
        <v>625000</v>
      </c>
      <c r="J302" s="8">
        <f t="shared" si="25"/>
        <v>750000</v>
      </c>
      <c r="K302" s="9">
        <f t="shared" si="26"/>
        <v>1000000</v>
      </c>
      <c r="L302" s="10">
        <f t="shared" si="27"/>
        <v>1.5712440000000001</v>
      </c>
      <c r="M302" t="str">
        <f t="shared" si="28"/>
        <v>150-200%</v>
      </c>
      <c r="N302" s="9">
        <f>MIN(H302, G302)*INDEX('2018_commission_structure'!$A$1:$I$4,
MATCH($D302, '2018_commission_structure'!$A$1:$A$4,0),
MATCH(N$1, '2018_commission_structure'!$A$1:$I$1,0))</f>
        <v>50000</v>
      </c>
      <c r="O302" s="11">
        <f>IF(G302&gt;H302, MIN(G302-H302, I302-H302)*
INDEX('2018_commission_structure'!$A$1:$I$4,
MATCH($D302, '2018_commission_structure'!$A$1:$A$4, 0),
MATCH(O$1, '2018_commission_structure'!$A$1:$I$1, 0)), 0)</f>
        <v>18750</v>
      </c>
      <c r="P302" s="11">
        <f>IF(G302&gt;H302, MIN(G302-H302, J302-H302)*
INDEX('2018_commission_structure'!$A$1:$I$4,
MATCH($D302, '2018_commission_structure'!$A$1:$A$4, 0),
MATCH(O$1, '2018_commission_structure'!$A$1:$I$1, 0)), 0)</f>
        <v>37500</v>
      </c>
      <c r="Q302" s="11">
        <f>IF(G302&gt;H302, MIN(G302-H302, I302-H302)*
INDEX('2018_commission_structure'!$A$1:$I$4,
MATCH($D302, '2018_commission_structure'!$A$1:$A$4, 0),
MATCH(P$1, '2018_commission_structure'!$A$1:$I$1, 0)), 0)</f>
        <v>22500</v>
      </c>
      <c r="R302" s="11">
        <f>IF(G302&gt;K302, (G302-K302) *
INDEX('2018_commission_structure'!$A$1:$I$4,
MATCH($D302, '2018_commission_structure'!$A$1:$A$4,0),
MATCH(R$1, '2018_commission_structure'!$A$1:$I$1,0)), 0)</f>
        <v>0</v>
      </c>
      <c r="S302" s="11">
        <f t="shared" si="29"/>
        <v>78750</v>
      </c>
      <c r="T302" s="11" cm="1">
        <f t="array" ref="T302">SUM(E302+O302:Q302)</f>
        <v>187416</v>
      </c>
    </row>
    <row r="303" spans="1:20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 xml:space="preserve"> COUNTIF(deals_closed!D:D,A303)</f>
        <v>24</v>
      </c>
      <c r="G303" s="5">
        <f>SUMIF(deals_closed!D:D, calculations!A303, deals_closed!C:C)</f>
        <v>655607</v>
      </c>
      <c r="H303" s="5">
        <f>VLOOKUP(D303,'2018_commission_structure'!$A$2:$I$4,9,FALSE)</f>
        <v>600000</v>
      </c>
      <c r="I303" s="9">
        <f t="shared" si="24"/>
        <v>750000</v>
      </c>
      <c r="J303" s="8">
        <f t="shared" si="25"/>
        <v>900000</v>
      </c>
      <c r="K303" s="9">
        <f t="shared" si="26"/>
        <v>1200000</v>
      </c>
      <c r="L303" s="10">
        <f t="shared" si="27"/>
        <v>1.0926783333333334</v>
      </c>
      <c r="M303" t="str">
        <f t="shared" si="28"/>
        <v>100-125%</v>
      </c>
      <c r="N303" s="9">
        <f>MIN(H303, G303)*INDEX('2018_commission_structure'!$A$1:$I$4,
MATCH($D303, '2018_commission_structure'!$A$1:$A$4,0),
MATCH(N$1, '2018_commission_structure'!$A$1:$I$1,0))</f>
        <v>78000</v>
      </c>
      <c r="O303" s="11">
        <f>IF(G303&gt;H303, MIN(G303-H303, I303-H303)*
INDEX('2018_commission_structure'!$A$1:$I$4,
MATCH($D303, '2018_commission_structure'!$A$1:$A$4, 0),
MATCH(O$1, '2018_commission_structure'!$A$1:$I$1, 0)), 0)</f>
        <v>9453.19</v>
      </c>
      <c r="P303" s="11">
        <f>IF(G303&gt;H303, MIN(G303-H303, J303-H303)*
INDEX('2018_commission_structure'!$A$1:$I$4,
MATCH($D303, '2018_commission_structure'!$A$1:$A$4, 0),
MATCH(O$1, '2018_commission_structure'!$A$1:$I$1, 0)), 0)</f>
        <v>9453.19</v>
      </c>
      <c r="Q303" s="11">
        <f>IF(G303&gt;H303, MIN(G303-H303, I303-H303)*
INDEX('2018_commission_structure'!$A$1:$I$4,
MATCH($D303, '2018_commission_structure'!$A$1:$A$4, 0),
MATCH(P$1, '2018_commission_structure'!$A$1:$I$1, 0)), 0)</f>
        <v>11677.47</v>
      </c>
      <c r="R303" s="11">
        <f>IF(G303&gt;K303, (G303-K303) *
INDEX('2018_commission_structure'!$A$1:$I$4,
MATCH($D303, '2018_commission_structure'!$A$1:$A$4,0),
MATCH(R$1, '2018_commission_structure'!$A$1:$I$1,0)), 0)</f>
        <v>0</v>
      </c>
      <c r="S303" s="11">
        <f t="shared" si="29"/>
        <v>30583.85</v>
      </c>
      <c r="T303" s="11" cm="1">
        <f t="array" ref="T303">SUM(E303+O303:Q303)</f>
        <v>254716.85</v>
      </c>
    </row>
    <row r="304" spans="1:20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 xml:space="preserve"> COUNTIF(deals_closed!D:D,A304)</f>
        <v>25</v>
      </c>
      <c r="G304" s="5">
        <f>SUMIF(deals_closed!D:D, calculations!A304, deals_closed!C:C)</f>
        <v>711521</v>
      </c>
      <c r="H304" s="5">
        <f>VLOOKUP(D304,'2018_commission_structure'!$A$2:$I$4,9,FALSE)</f>
        <v>600000</v>
      </c>
      <c r="I304" s="9">
        <f t="shared" si="24"/>
        <v>750000</v>
      </c>
      <c r="J304" s="8">
        <f t="shared" si="25"/>
        <v>900000</v>
      </c>
      <c r="K304" s="9">
        <f t="shared" si="26"/>
        <v>1200000</v>
      </c>
      <c r="L304" s="10">
        <f t="shared" si="27"/>
        <v>1.1858683333333333</v>
      </c>
      <c r="M304" t="str">
        <f t="shared" si="28"/>
        <v>100-125%</v>
      </c>
      <c r="N304" s="9">
        <f>MIN(H304, G304)*INDEX('2018_commission_structure'!$A$1:$I$4,
MATCH($D304, '2018_commission_structure'!$A$1:$A$4,0),
MATCH(N$1, '2018_commission_structure'!$A$1:$I$1,0))</f>
        <v>78000</v>
      </c>
      <c r="O304" s="11">
        <f>IF(G304&gt;H304, MIN(G304-H304, I304-H304)*
INDEX('2018_commission_structure'!$A$1:$I$4,
MATCH($D304, '2018_commission_structure'!$A$1:$A$4, 0),
MATCH(O$1, '2018_commission_structure'!$A$1:$I$1, 0)), 0)</f>
        <v>18958.57</v>
      </c>
      <c r="P304" s="11">
        <f>IF(G304&gt;H304, MIN(G304-H304, J304-H304)*
INDEX('2018_commission_structure'!$A$1:$I$4,
MATCH($D304, '2018_commission_structure'!$A$1:$A$4, 0),
MATCH(O$1, '2018_commission_structure'!$A$1:$I$1, 0)), 0)</f>
        <v>18958.57</v>
      </c>
      <c r="Q304" s="11">
        <f>IF(G304&gt;H304, MIN(G304-H304, I304-H304)*
INDEX('2018_commission_structure'!$A$1:$I$4,
MATCH($D304, '2018_commission_structure'!$A$1:$A$4, 0),
MATCH(P$1, '2018_commission_structure'!$A$1:$I$1, 0)), 0)</f>
        <v>23419.41</v>
      </c>
      <c r="R304" s="11">
        <f>IF(G304&gt;K304, (G304-K304) *
INDEX('2018_commission_structure'!$A$1:$I$4,
MATCH($D304, '2018_commission_structure'!$A$1:$A$4,0),
MATCH(R$1, '2018_commission_structure'!$A$1:$I$1,0)), 0)</f>
        <v>0</v>
      </c>
      <c r="S304" s="11">
        <f t="shared" si="29"/>
        <v>61336.55</v>
      </c>
      <c r="T304" s="11" cm="1">
        <f t="array" ref="T304">SUM(E304+O304:Q304)</f>
        <v>275194.55000000005</v>
      </c>
    </row>
    <row r="305" spans="1:20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 xml:space="preserve"> COUNTIF(deals_closed!D:D,A305)</f>
        <v>25</v>
      </c>
      <c r="G305" s="5">
        <f>SUMIF(deals_closed!D:D, calculations!A305, deals_closed!C:C)</f>
        <v>815097</v>
      </c>
      <c r="H305" s="5">
        <f>VLOOKUP(D305,'2018_commission_structure'!$A$2:$I$4,9,FALSE)</f>
        <v>750000</v>
      </c>
      <c r="I305" s="9">
        <f t="shared" si="24"/>
        <v>937500</v>
      </c>
      <c r="J305" s="8">
        <f t="shared" si="25"/>
        <v>1125000</v>
      </c>
      <c r="K305" s="9">
        <f t="shared" si="26"/>
        <v>1500000</v>
      </c>
      <c r="L305" s="10">
        <f t="shared" si="27"/>
        <v>1.0867960000000001</v>
      </c>
      <c r="M305" t="str">
        <f t="shared" si="28"/>
        <v>100-125%</v>
      </c>
      <c r="N305" s="9">
        <f>MIN(H305, G305)*INDEX('2018_commission_structure'!$A$1:$I$4,
MATCH($D305, '2018_commission_structure'!$A$1:$A$4,0),
MATCH(N$1, '2018_commission_structure'!$A$1:$I$1,0))</f>
        <v>112500</v>
      </c>
      <c r="O305" s="11">
        <f>IF(G305&gt;H305, MIN(G305-H305, I305-H305)*
INDEX('2018_commission_structure'!$A$1:$I$4,
MATCH($D305, '2018_commission_structure'!$A$1:$A$4, 0),
MATCH(O$1, '2018_commission_structure'!$A$1:$I$1, 0)), 0)</f>
        <v>12368.43</v>
      </c>
      <c r="P305" s="11">
        <f>IF(G305&gt;H305, MIN(G305-H305, J305-H305)*
INDEX('2018_commission_structure'!$A$1:$I$4,
MATCH($D305, '2018_commission_structure'!$A$1:$A$4, 0),
MATCH(O$1, '2018_commission_structure'!$A$1:$I$1, 0)), 0)</f>
        <v>12368.43</v>
      </c>
      <c r="Q305" s="11">
        <f>IF(G305&gt;H305, MIN(G305-H305, I305-H305)*
INDEX('2018_commission_structure'!$A$1:$I$4,
MATCH($D305, '2018_commission_structure'!$A$1:$A$4, 0),
MATCH(P$1, '2018_commission_structure'!$A$1:$I$1, 0)), 0)</f>
        <v>14972.310000000001</v>
      </c>
      <c r="R305" s="11">
        <f>IF(G305&gt;K305, (G305-K305) *
INDEX('2018_commission_structure'!$A$1:$I$4,
MATCH($D305, '2018_commission_structure'!$A$1:$A$4,0),
MATCH(R$1, '2018_commission_structure'!$A$1:$I$1,0)), 0)</f>
        <v>0</v>
      </c>
      <c r="S305" s="11">
        <f t="shared" si="29"/>
        <v>39709.17</v>
      </c>
      <c r="T305" s="11" cm="1">
        <f t="array" ref="T305">SUM(E305+O305:Q305)</f>
        <v>407986.17</v>
      </c>
    </row>
    <row r="306" spans="1:20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 xml:space="preserve"> COUNTIF(deals_closed!D:D,A306)</f>
        <v>22</v>
      </c>
      <c r="G306" s="5">
        <f>SUMIF(deals_closed!D:D, calculations!A306, deals_closed!C:C)</f>
        <v>716671</v>
      </c>
      <c r="H306" s="5">
        <f>VLOOKUP(D306,'2018_commission_structure'!$A$2:$I$4,9,FALSE)</f>
        <v>600000</v>
      </c>
      <c r="I306" s="9">
        <f t="shared" si="24"/>
        <v>750000</v>
      </c>
      <c r="J306" s="8">
        <f t="shared" si="25"/>
        <v>900000</v>
      </c>
      <c r="K306" s="9">
        <f t="shared" si="26"/>
        <v>1200000</v>
      </c>
      <c r="L306" s="10">
        <f t="shared" si="27"/>
        <v>1.1944516666666667</v>
      </c>
      <c r="M306" t="str">
        <f t="shared" si="28"/>
        <v>100-125%</v>
      </c>
      <c r="N306" s="9">
        <f>MIN(H306, G306)*INDEX('2018_commission_structure'!$A$1:$I$4,
MATCH($D306, '2018_commission_structure'!$A$1:$A$4,0),
MATCH(N$1, '2018_commission_structure'!$A$1:$I$1,0))</f>
        <v>78000</v>
      </c>
      <c r="O306" s="11">
        <f>IF(G306&gt;H306, MIN(G306-H306, I306-H306)*
INDEX('2018_commission_structure'!$A$1:$I$4,
MATCH($D306, '2018_commission_structure'!$A$1:$A$4, 0),
MATCH(O$1, '2018_commission_structure'!$A$1:$I$1, 0)), 0)</f>
        <v>19834.07</v>
      </c>
      <c r="P306" s="11">
        <f>IF(G306&gt;H306, MIN(G306-H306, J306-H306)*
INDEX('2018_commission_structure'!$A$1:$I$4,
MATCH($D306, '2018_commission_structure'!$A$1:$A$4, 0),
MATCH(O$1, '2018_commission_structure'!$A$1:$I$1, 0)), 0)</f>
        <v>19834.07</v>
      </c>
      <c r="Q306" s="11">
        <f>IF(G306&gt;H306, MIN(G306-H306, I306-H306)*
INDEX('2018_commission_structure'!$A$1:$I$4,
MATCH($D306, '2018_commission_structure'!$A$1:$A$4, 0),
MATCH(P$1, '2018_commission_structure'!$A$1:$I$1, 0)), 0)</f>
        <v>24500.91</v>
      </c>
      <c r="R306" s="11">
        <f>IF(G306&gt;K306, (G306-K306) *
INDEX('2018_commission_structure'!$A$1:$I$4,
MATCH($D306, '2018_commission_structure'!$A$1:$A$4,0),
MATCH(R$1, '2018_commission_structure'!$A$1:$I$1,0)), 0)</f>
        <v>0</v>
      </c>
      <c r="S306" s="11">
        <f t="shared" si="29"/>
        <v>64169.05</v>
      </c>
      <c r="T306" s="11" cm="1">
        <f t="array" ref="T306">SUM(E306+O306:Q306)</f>
        <v>284870.05000000005</v>
      </c>
    </row>
    <row r="307" spans="1:20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 xml:space="preserve"> COUNTIF(deals_closed!D:D,A307)</f>
        <v>27</v>
      </c>
      <c r="G307" s="5">
        <f>SUMIF(deals_closed!D:D, calculations!A307, deals_closed!C:C)</f>
        <v>948935</v>
      </c>
      <c r="H307" s="5">
        <f>VLOOKUP(D307,'2018_commission_structure'!$A$2:$I$4,9,FALSE)</f>
        <v>750000</v>
      </c>
      <c r="I307" s="9">
        <f t="shared" si="24"/>
        <v>937500</v>
      </c>
      <c r="J307" s="8">
        <f t="shared" si="25"/>
        <v>1125000</v>
      </c>
      <c r="K307" s="9">
        <f t="shared" si="26"/>
        <v>1500000</v>
      </c>
      <c r="L307" s="10">
        <f t="shared" si="27"/>
        <v>1.2652466666666666</v>
      </c>
      <c r="M307" t="str">
        <f t="shared" si="28"/>
        <v>125-150%</v>
      </c>
      <c r="N307" s="9">
        <f>MIN(H307, G307)*INDEX('2018_commission_structure'!$A$1:$I$4,
MATCH($D307, '2018_commission_structure'!$A$1:$A$4,0),
MATCH(N$1, '2018_commission_structure'!$A$1:$I$1,0))</f>
        <v>112500</v>
      </c>
      <c r="O307" s="11">
        <f>IF(G307&gt;H307, MIN(G307-H307, I307-H307)*
INDEX('2018_commission_structure'!$A$1:$I$4,
MATCH($D307, '2018_commission_structure'!$A$1:$A$4, 0),
MATCH(O$1, '2018_commission_structure'!$A$1:$I$1, 0)), 0)</f>
        <v>35625</v>
      </c>
      <c r="P307" s="11">
        <f>IF(G307&gt;H307, MIN(G307-H307, J307-H307)*
INDEX('2018_commission_structure'!$A$1:$I$4,
MATCH($D307, '2018_commission_structure'!$A$1:$A$4, 0),
MATCH(O$1, '2018_commission_structure'!$A$1:$I$1, 0)), 0)</f>
        <v>37797.65</v>
      </c>
      <c r="Q307" s="11">
        <f>IF(G307&gt;H307, MIN(G307-H307, I307-H307)*
INDEX('2018_commission_structure'!$A$1:$I$4,
MATCH($D307, '2018_commission_structure'!$A$1:$A$4, 0),
MATCH(P$1, '2018_commission_structure'!$A$1:$I$1, 0)), 0)</f>
        <v>43125</v>
      </c>
      <c r="R307" s="11">
        <f>IF(G307&gt;K307, (G307-K307) *
INDEX('2018_commission_structure'!$A$1:$I$4,
MATCH($D307, '2018_commission_structure'!$A$1:$A$4,0),
MATCH(R$1, '2018_commission_structure'!$A$1:$I$1,0)), 0)</f>
        <v>0</v>
      </c>
      <c r="S307" s="11">
        <f t="shared" si="29"/>
        <v>116547.65</v>
      </c>
      <c r="T307" s="11" cm="1">
        <f t="array" ref="T307">SUM(E307+O307:Q307)</f>
        <v>480471.65</v>
      </c>
    </row>
    <row r="308" spans="1:20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 xml:space="preserve"> COUNTIF(deals_closed!D:D,A308)</f>
        <v>19</v>
      </c>
      <c r="G308" s="5">
        <f>SUMIF(deals_closed!D:D, calculations!A308, deals_closed!C:C)</f>
        <v>673026</v>
      </c>
      <c r="H308" s="5">
        <f>VLOOKUP(D308,'2018_commission_structure'!$A$2:$I$4,9,FALSE)</f>
        <v>500000</v>
      </c>
      <c r="I308" s="9">
        <f t="shared" si="24"/>
        <v>625000</v>
      </c>
      <c r="J308" s="8">
        <f t="shared" si="25"/>
        <v>750000</v>
      </c>
      <c r="K308" s="9">
        <f t="shared" si="26"/>
        <v>1000000</v>
      </c>
      <c r="L308" s="10">
        <f t="shared" si="27"/>
        <v>1.346052</v>
      </c>
      <c r="M308" t="str">
        <f t="shared" si="28"/>
        <v>125-150%</v>
      </c>
      <c r="N308" s="9">
        <f>MIN(H308, G308)*INDEX('2018_commission_structure'!$A$1:$I$4,
MATCH($D308, '2018_commission_structure'!$A$1:$A$4,0),
MATCH(N$1, '2018_commission_structure'!$A$1:$I$1,0))</f>
        <v>50000</v>
      </c>
      <c r="O308" s="11">
        <f>IF(G308&gt;H308, MIN(G308-H308, I308-H308)*
INDEX('2018_commission_structure'!$A$1:$I$4,
MATCH($D308, '2018_commission_structure'!$A$1:$A$4, 0),
MATCH(O$1, '2018_commission_structure'!$A$1:$I$1, 0)), 0)</f>
        <v>18750</v>
      </c>
      <c r="P308" s="11">
        <f>IF(G308&gt;H308, MIN(G308-H308, J308-H308)*
INDEX('2018_commission_structure'!$A$1:$I$4,
MATCH($D308, '2018_commission_structure'!$A$1:$A$4, 0),
MATCH(O$1, '2018_commission_structure'!$A$1:$I$1, 0)), 0)</f>
        <v>25953.899999999998</v>
      </c>
      <c r="Q308" s="11">
        <f>IF(G308&gt;H308, MIN(G308-H308, I308-H308)*
INDEX('2018_commission_structure'!$A$1:$I$4,
MATCH($D308, '2018_commission_structure'!$A$1:$A$4, 0),
MATCH(P$1, '2018_commission_structure'!$A$1:$I$1, 0)), 0)</f>
        <v>22500</v>
      </c>
      <c r="R308" s="11">
        <f>IF(G308&gt;K308, (G308-K308) *
INDEX('2018_commission_structure'!$A$1:$I$4,
MATCH($D308, '2018_commission_structure'!$A$1:$A$4,0),
MATCH(R$1, '2018_commission_structure'!$A$1:$I$1,0)), 0)</f>
        <v>0</v>
      </c>
      <c r="S308" s="11">
        <f t="shared" si="29"/>
        <v>67203.899999999994</v>
      </c>
      <c r="T308" s="11" cm="1">
        <f t="array" ref="T308">SUM(E308+O308:Q308)</f>
        <v>221880.9</v>
      </c>
    </row>
    <row r="309" spans="1:20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 xml:space="preserve"> COUNTIF(deals_closed!D:D,A309)</f>
        <v>30</v>
      </c>
      <c r="G309" s="5">
        <f>SUMIF(deals_closed!D:D, calculations!A309, deals_closed!C:C)</f>
        <v>1056123</v>
      </c>
      <c r="H309" s="5">
        <f>VLOOKUP(D309,'2018_commission_structure'!$A$2:$I$4,9,FALSE)</f>
        <v>500000</v>
      </c>
      <c r="I309" s="9">
        <f t="shared" si="24"/>
        <v>625000</v>
      </c>
      <c r="J309" s="8">
        <f t="shared" si="25"/>
        <v>750000</v>
      </c>
      <c r="K309" s="9">
        <f t="shared" si="26"/>
        <v>1000000</v>
      </c>
      <c r="L309" s="10">
        <f t="shared" si="27"/>
        <v>2.1122459999999998</v>
      </c>
      <c r="M309" t="str">
        <f t="shared" si="28"/>
        <v>&gt;200%</v>
      </c>
      <c r="N309" s="9">
        <f>MIN(H309, G309)*INDEX('2018_commission_structure'!$A$1:$I$4,
MATCH($D309, '2018_commission_structure'!$A$1:$A$4,0),
MATCH(N$1, '2018_commission_structure'!$A$1:$I$1,0))</f>
        <v>50000</v>
      </c>
      <c r="O309" s="11">
        <f>IF(G309&gt;H309, MIN(G309-H309, I309-H309)*
INDEX('2018_commission_structure'!$A$1:$I$4,
MATCH($D309, '2018_commission_structure'!$A$1:$A$4, 0),
MATCH(O$1, '2018_commission_structure'!$A$1:$I$1, 0)), 0)</f>
        <v>18750</v>
      </c>
      <c r="P309" s="11">
        <f>IF(G309&gt;H309, MIN(G309-H309, J309-H309)*
INDEX('2018_commission_structure'!$A$1:$I$4,
MATCH($D309, '2018_commission_structure'!$A$1:$A$4, 0),
MATCH(O$1, '2018_commission_structure'!$A$1:$I$1, 0)), 0)</f>
        <v>37500</v>
      </c>
      <c r="Q309" s="11">
        <f>IF(G309&gt;H309, MIN(G309-H309, I309-H309)*
INDEX('2018_commission_structure'!$A$1:$I$4,
MATCH($D309, '2018_commission_structure'!$A$1:$A$4, 0),
MATCH(P$1, '2018_commission_structure'!$A$1:$I$1, 0)), 0)</f>
        <v>22500</v>
      </c>
      <c r="R309" s="11">
        <f>IF(G309&gt;K309, (G309-K309) *
INDEX('2018_commission_structure'!$A$1:$I$4,
MATCH($D309, '2018_commission_structure'!$A$1:$A$4,0),
MATCH(R$1, '2018_commission_structure'!$A$1:$I$1,0)), 0)</f>
        <v>5612.3</v>
      </c>
      <c r="S309" s="11">
        <f t="shared" si="29"/>
        <v>78750</v>
      </c>
      <c r="T309" s="11" cm="1">
        <f t="array" ref="T309">SUM(E309+O309:Q309)</f>
        <v>190275</v>
      </c>
    </row>
    <row r="310" spans="1:20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 xml:space="preserve"> COUNTIF(deals_closed!D:D,A310)</f>
        <v>28</v>
      </c>
      <c r="G310" s="5">
        <f>SUMIF(deals_closed!D:D, calculations!A310, deals_closed!C:C)</f>
        <v>1074426</v>
      </c>
      <c r="H310" s="5">
        <f>VLOOKUP(D310,'2018_commission_structure'!$A$2:$I$4,9,FALSE)</f>
        <v>750000</v>
      </c>
      <c r="I310" s="9">
        <f t="shared" si="24"/>
        <v>937500</v>
      </c>
      <c r="J310" s="8">
        <f t="shared" si="25"/>
        <v>1125000</v>
      </c>
      <c r="K310" s="9">
        <f t="shared" si="26"/>
        <v>1500000</v>
      </c>
      <c r="L310" s="10">
        <f t="shared" si="27"/>
        <v>1.4325680000000001</v>
      </c>
      <c r="M310" t="str">
        <f t="shared" si="28"/>
        <v>125-150%</v>
      </c>
      <c r="N310" s="9">
        <f>MIN(H310, G310)*INDEX('2018_commission_structure'!$A$1:$I$4,
MATCH($D310, '2018_commission_structure'!$A$1:$A$4,0),
MATCH(N$1, '2018_commission_structure'!$A$1:$I$1,0))</f>
        <v>112500</v>
      </c>
      <c r="O310" s="11">
        <f>IF(G310&gt;H310, MIN(G310-H310, I310-H310)*
INDEX('2018_commission_structure'!$A$1:$I$4,
MATCH($D310, '2018_commission_structure'!$A$1:$A$4, 0),
MATCH(O$1, '2018_commission_structure'!$A$1:$I$1, 0)), 0)</f>
        <v>35625</v>
      </c>
      <c r="P310" s="11">
        <f>IF(G310&gt;H310, MIN(G310-H310, J310-H310)*
INDEX('2018_commission_structure'!$A$1:$I$4,
MATCH($D310, '2018_commission_structure'!$A$1:$A$4, 0),
MATCH(O$1, '2018_commission_structure'!$A$1:$I$1, 0)), 0)</f>
        <v>61640.94</v>
      </c>
      <c r="Q310" s="11">
        <f>IF(G310&gt;H310, MIN(G310-H310, I310-H310)*
INDEX('2018_commission_structure'!$A$1:$I$4,
MATCH($D310, '2018_commission_structure'!$A$1:$A$4, 0),
MATCH(P$1, '2018_commission_structure'!$A$1:$I$1, 0)), 0)</f>
        <v>43125</v>
      </c>
      <c r="R310" s="11">
        <f>IF(G310&gt;K310, (G310-K310) *
INDEX('2018_commission_structure'!$A$1:$I$4,
MATCH($D310, '2018_commission_structure'!$A$1:$A$4,0),
MATCH(R$1, '2018_commission_structure'!$A$1:$I$1,0)), 0)</f>
        <v>0</v>
      </c>
      <c r="S310" s="11">
        <f t="shared" si="29"/>
        <v>140390.94</v>
      </c>
      <c r="T310" s="11" cm="1">
        <f t="array" ref="T310">SUM(E310+O310:Q310)</f>
        <v>427961.94</v>
      </c>
    </row>
    <row r="311" spans="1:20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 xml:space="preserve"> COUNTIF(deals_closed!D:D,A311)</f>
        <v>28</v>
      </c>
      <c r="G311" s="5">
        <f>SUMIF(deals_closed!D:D, calculations!A311, deals_closed!C:C)</f>
        <v>946209</v>
      </c>
      <c r="H311" s="5">
        <f>VLOOKUP(D311,'2018_commission_structure'!$A$2:$I$4,9,FALSE)</f>
        <v>600000</v>
      </c>
      <c r="I311" s="9">
        <f t="shared" si="24"/>
        <v>750000</v>
      </c>
      <c r="J311" s="8">
        <f t="shared" si="25"/>
        <v>900000</v>
      </c>
      <c r="K311" s="9">
        <f t="shared" si="26"/>
        <v>1200000</v>
      </c>
      <c r="L311" s="10">
        <f t="shared" si="27"/>
        <v>1.5770150000000001</v>
      </c>
      <c r="M311" t="str">
        <f t="shared" si="28"/>
        <v>150-200%</v>
      </c>
      <c r="N311" s="9">
        <f>MIN(H311, G311)*INDEX('2018_commission_structure'!$A$1:$I$4,
MATCH($D311, '2018_commission_structure'!$A$1:$A$4,0),
MATCH(N$1, '2018_commission_structure'!$A$1:$I$1,0))</f>
        <v>78000</v>
      </c>
      <c r="O311" s="11">
        <f>IF(G311&gt;H311, MIN(G311-H311, I311-H311)*
INDEX('2018_commission_structure'!$A$1:$I$4,
MATCH($D311, '2018_commission_structure'!$A$1:$A$4, 0),
MATCH(O$1, '2018_commission_structure'!$A$1:$I$1, 0)), 0)</f>
        <v>25500.000000000004</v>
      </c>
      <c r="P311" s="11">
        <f>IF(G311&gt;H311, MIN(G311-H311, J311-H311)*
INDEX('2018_commission_structure'!$A$1:$I$4,
MATCH($D311, '2018_commission_structure'!$A$1:$A$4, 0),
MATCH(O$1, '2018_commission_structure'!$A$1:$I$1, 0)), 0)</f>
        <v>51000.000000000007</v>
      </c>
      <c r="Q311" s="11">
        <f>IF(G311&gt;H311, MIN(G311-H311, I311-H311)*
INDEX('2018_commission_structure'!$A$1:$I$4,
MATCH($D311, '2018_commission_structure'!$A$1:$A$4, 0),
MATCH(P$1, '2018_commission_structure'!$A$1:$I$1, 0)), 0)</f>
        <v>31500</v>
      </c>
      <c r="R311" s="11">
        <f>IF(G311&gt;K311, (G311-K311) *
INDEX('2018_commission_structure'!$A$1:$I$4,
MATCH($D311, '2018_commission_structure'!$A$1:$A$4,0),
MATCH(R$1, '2018_commission_structure'!$A$1:$I$1,0)), 0)</f>
        <v>0</v>
      </c>
      <c r="S311" s="11">
        <f t="shared" si="29"/>
        <v>108000.00000000001</v>
      </c>
      <c r="T311" s="11" cm="1">
        <f t="array" ref="T311">SUM(E311+O311:Q311)</f>
        <v>267612</v>
      </c>
    </row>
    <row r="312" spans="1:20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 xml:space="preserve"> COUNTIF(deals_closed!D:D,A312)</f>
        <v>24</v>
      </c>
      <c r="G312" s="5">
        <f>SUMIF(deals_closed!D:D, calculations!A312, deals_closed!C:C)</f>
        <v>722087</v>
      </c>
      <c r="H312" s="5">
        <f>VLOOKUP(D312,'2018_commission_structure'!$A$2:$I$4,9,FALSE)</f>
        <v>500000</v>
      </c>
      <c r="I312" s="9">
        <f t="shared" si="24"/>
        <v>625000</v>
      </c>
      <c r="J312" s="8">
        <f t="shared" si="25"/>
        <v>750000</v>
      </c>
      <c r="K312" s="9">
        <f t="shared" si="26"/>
        <v>1000000</v>
      </c>
      <c r="L312" s="10">
        <f t="shared" si="27"/>
        <v>1.4441740000000001</v>
      </c>
      <c r="M312" t="str">
        <f t="shared" si="28"/>
        <v>125-150%</v>
      </c>
      <c r="N312" s="9">
        <f>MIN(H312, G312)*INDEX('2018_commission_structure'!$A$1:$I$4,
MATCH($D312, '2018_commission_structure'!$A$1:$A$4,0),
MATCH(N$1, '2018_commission_structure'!$A$1:$I$1,0))</f>
        <v>50000</v>
      </c>
      <c r="O312" s="11">
        <f>IF(G312&gt;H312, MIN(G312-H312, I312-H312)*
INDEX('2018_commission_structure'!$A$1:$I$4,
MATCH($D312, '2018_commission_structure'!$A$1:$A$4, 0),
MATCH(O$1, '2018_commission_structure'!$A$1:$I$1, 0)), 0)</f>
        <v>18750</v>
      </c>
      <c r="P312" s="11">
        <f>IF(G312&gt;H312, MIN(G312-H312, J312-H312)*
INDEX('2018_commission_structure'!$A$1:$I$4,
MATCH($D312, '2018_commission_structure'!$A$1:$A$4, 0),
MATCH(O$1, '2018_commission_structure'!$A$1:$I$1, 0)), 0)</f>
        <v>33313.049999999996</v>
      </c>
      <c r="Q312" s="11">
        <f>IF(G312&gt;H312, MIN(G312-H312, I312-H312)*
INDEX('2018_commission_structure'!$A$1:$I$4,
MATCH($D312, '2018_commission_structure'!$A$1:$A$4, 0),
MATCH(P$1, '2018_commission_structure'!$A$1:$I$1, 0)), 0)</f>
        <v>22500</v>
      </c>
      <c r="R312" s="11">
        <f>IF(G312&gt;K312, (G312-K312) *
INDEX('2018_commission_structure'!$A$1:$I$4,
MATCH($D312, '2018_commission_structure'!$A$1:$A$4,0),
MATCH(R$1, '2018_commission_structure'!$A$1:$I$1,0)), 0)</f>
        <v>0</v>
      </c>
      <c r="S312" s="11">
        <f t="shared" si="29"/>
        <v>74563.049999999988</v>
      </c>
      <c r="T312" s="11" cm="1">
        <f t="array" ref="T312">SUM(E312+O312:Q312)</f>
        <v>171124.05</v>
      </c>
    </row>
    <row r="313" spans="1:20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 xml:space="preserve"> COUNTIF(deals_closed!D:D,A313)</f>
        <v>20</v>
      </c>
      <c r="G313" s="5">
        <f>SUMIF(deals_closed!D:D, calculations!A313, deals_closed!C:C)</f>
        <v>711786</v>
      </c>
      <c r="H313" s="5">
        <f>VLOOKUP(D313,'2018_commission_structure'!$A$2:$I$4,9,FALSE)</f>
        <v>500000</v>
      </c>
      <c r="I313" s="9">
        <f t="shared" si="24"/>
        <v>625000</v>
      </c>
      <c r="J313" s="8">
        <f t="shared" si="25"/>
        <v>750000</v>
      </c>
      <c r="K313" s="9">
        <f t="shared" si="26"/>
        <v>1000000</v>
      </c>
      <c r="L313" s="10">
        <f t="shared" si="27"/>
        <v>1.4235720000000001</v>
      </c>
      <c r="M313" t="str">
        <f t="shared" si="28"/>
        <v>125-150%</v>
      </c>
      <c r="N313" s="9">
        <f>MIN(H313, G313)*INDEX('2018_commission_structure'!$A$1:$I$4,
MATCH($D313, '2018_commission_structure'!$A$1:$A$4,0),
MATCH(N$1, '2018_commission_structure'!$A$1:$I$1,0))</f>
        <v>50000</v>
      </c>
      <c r="O313" s="11">
        <f>IF(G313&gt;H313, MIN(G313-H313, I313-H313)*
INDEX('2018_commission_structure'!$A$1:$I$4,
MATCH($D313, '2018_commission_structure'!$A$1:$A$4, 0),
MATCH(O$1, '2018_commission_structure'!$A$1:$I$1, 0)), 0)</f>
        <v>18750</v>
      </c>
      <c r="P313" s="11">
        <f>IF(G313&gt;H313, MIN(G313-H313, J313-H313)*
INDEX('2018_commission_structure'!$A$1:$I$4,
MATCH($D313, '2018_commission_structure'!$A$1:$A$4, 0),
MATCH(O$1, '2018_commission_structure'!$A$1:$I$1, 0)), 0)</f>
        <v>31767.899999999998</v>
      </c>
      <c r="Q313" s="11">
        <f>IF(G313&gt;H313, MIN(G313-H313, I313-H313)*
INDEX('2018_commission_structure'!$A$1:$I$4,
MATCH($D313, '2018_commission_structure'!$A$1:$A$4, 0),
MATCH(P$1, '2018_commission_structure'!$A$1:$I$1, 0)), 0)</f>
        <v>22500</v>
      </c>
      <c r="R313" s="11">
        <f>IF(G313&gt;K313, (G313-K313) *
INDEX('2018_commission_structure'!$A$1:$I$4,
MATCH($D313, '2018_commission_structure'!$A$1:$A$4,0),
MATCH(R$1, '2018_commission_structure'!$A$1:$I$1,0)), 0)</f>
        <v>0</v>
      </c>
      <c r="S313" s="11">
        <f t="shared" si="29"/>
        <v>73017.899999999994</v>
      </c>
      <c r="T313" s="11" cm="1">
        <f t="array" ref="T313">SUM(E313+O313:Q313)</f>
        <v>215769.9</v>
      </c>
    </row>
    <row r="314" spans="1:20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 xml:space="preserve"> COUNTIF(deals_closed!D:D,A314)</f>
        <v>24</v>
      </c>
      <c r="G314" s="5">
        <f>SUMIF(deals_closed!D:D, calculations!A314, deals_closed!C:C)</f>
        <v>773542</v>
      </c>
      <c r="H314" s="5">
        <f>VLOOKUP(D314,'2018_commission_structure'!$A$2:$I$4,9,FALSE)</f>
        <v>750000</v>
      </c>
      <c r="I314" s="9">
        <f t="shared" si="24"/>
        <v>937500</v>
      </c>
      <c r="J314" s="8">
        <f t="shared" si="25"/>
        <v>1125000</v>
      </c>
      <c r="K314" s="9">
        <f t="shared" si="26"/>
        <v>1500000</v>
      </c>
      <c r="L314" s="10">
        <f t="shared" si="27"/>
        <v>1.0313893333333333</v>
      </c>
      <c r="M314" t="str">
        <f t="shared" si="28"/>
        <v>100-125%</v>
      </c>
      <c r="N314" s="9">
        <f>MIN(H314, G314)*INDEX('2018_commission_structure'!$A$1:$I$4,
MATCH($D314, '2018_commission_structure'!$A$1:$A$4,0),
MATCH(N$1, '2018_commission_structure'!$A$1:$I$1,0))</f>
        <v>112500</v>
      </c>
      <c r="O314" s="11">
        <f>IF(G314&gt;H314, MIN(G314-H314, I314-H314)*
INDEX('2018_commission_structure'!$A$1:$I$4,
MATCH($D314, '2018_commission_structure'!$A$1:$A$4, 0),
MATCH(O$1, '2018_commission_structure'!$A$1:$I$1, 0)), 0)</f>
        <v>4472.9800000000005</v>
      </c>
      <c r="P314" s="11">
        <f>IF(G314&gt;H314, MIN(G314-H314, J314-H314)*
INDEX('2018_commission_structure'!$A$1:$I$4,
MATCH($D314, '2018_commission_structure'!$A$1:$A$4, 0),
MATCH(O$1, '2018_commission_structure'!$A$1:$I$1, 0)), 0)</f>
        <v>4472.9800000000005</v>
      </c>
      <c r="Q314" s="11">
        <f>IF(G314&gt;H314, MIN(G314-H314, I314-H314)*
INDEX('2018_commission_structure'!$A$1:$I$4,
MATCH($D314, '2018_commission_structure'!$A$1:$A$4, 0),
MATCH(P$1, '2018_commission_structure'!$A$1:$I$1, 0)), 0)</f>
        <v>5414.66</v>
      </c>
      <c r="R314" s="11">
        <f>IF(G314&gt;K314, (G314-K314) *
INDEX('2018_commission_structure'!$A$1:$I$4,
MATCH($D314, '2018_commission_structure'!$A$1:$A$4,0),
MATCH(R$1, '2018_commission_structure'!$A$1:$I$1,0)), 0)</f>
        <v>0</v>
      </c>
      <c r="S314" s="11">
        <f t="shared" si="29"/>
        <v>14360.62</v>
      </c>
      <c r="T314" s="11" cm="1">
        <f t="array" ref="T314">SUM(E314+O314:Q314)</f>
        <v>293363.62</v>
      </c>
    </row>
    <row r="315" spans="1:20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 xml:space="preserve"> COUNTIF(deals_closed!D:D,A315)</f>
        <v>22</v>
      </c>
      <c r="G315" s="5">
        <f>SUMIF(deals_closed!D:D, calculations!A315, deals_closed!C:C)</f>
        <v>717332</v>
      </c>
      <c r="H315" s="5">
        <f>VLOOKUP(D315,'2018_commission_structure'!$A$2:$I$4,9,FALSE)</f>
        <v>750000</v>
      </c>
      <c r="I315" s="9">
        <f t="shared" si="24"/>
        <v>937500</v>
      </c>
      <c r="J315" s="8">
        <f t="shared" si="25"/>
        <v>1125000</v>
      </c>
      <c r="K315" s="9">
        <f t="shared" si="26"/>
        <v>1500000</v>
      </c>
      <c r="L315" s="10">
        <f t="shared" si="27"/>
        <v>0.95644266666666666</v>
      </c>
      <c r="M315" t="str">
        <f t="shared" si="28"/>
        <v>0-100%</v>
      </c>
      <c r="N315" s="9">
        <f>MIN(H315, G315)*INDEX('2018_commission_structure'!$A$1:$I$4,
MATCH($D315, '2018_commission_structure'!$A$1:$A$4,0),
MATCH(N$1, '2018_commission_structure'!$A$1:$I$1,0))</f>
        <v>107599.8</v>
      </c>
      <c r="O315" s="11">
        <f>IF(G315&gt;H315, MIN(G315-H315, I315-H315)*
INDEX('2018_commission_structure'!$A$1:$I$4,
MATCH($D315, '2018_commission_structure'!$A$1:$A$4, 0),
MATCH(O$1, '2018_commission_structure'!$A$1:$I$1, 0)), 0)</f>
        <v>0</v>
      </c>
      <c r="P315" s="11">
        <f>IF(G315&gt;H315, MIN(G315-H315, J315-H315)*
INDEX('2018_commission_structure'!$A$1:$I$4,
MATCH($D315, '2018_commission_structure'!$A$1:$A$4, 0),
MATCH(O$1, '2018_commission_structure'!$A$1:$I$1, 0)), 0)</f>
        <v>0</v>
      </c>
      <c r="Q315" s="11">
        <f>IF(G315&gt;H315, MIN(G315-H315, I315-H315)*
INDEX('2018_commission_structure'!$A$1:$I$4,
MATCH($D315, '2018_commission_structure'!$A$1:$A$4, 0),
MATCH(P$1, '2018_commission_structure'!$A$1:$I$1, 0)), 0)</f>
        <v>0</v>
      </c>
      <c r="R315" s="11">
        <f>IF(G315&gt;K315, (G315-K315) *
INDEX('2018_commission_structure'!$A$1:$I$4,
MATCH($D315, '2018_commission_structure'!$A$1:$A$4,0),
MATCH(R$1, '2018_commission_structure'!$A$1:$I$1,0)), 0)</f>
        <v>0</v>
      </c>
      <c r="S315" s="11">
        <f t="shared" si="29"/>
        <v>0</v>
      </c>
      <c r="T315" s="11" cm="1">
        <f t="array" ref="T315">SUM(E315+O315:Q315)</f>
        <v>249687</v>
      </c>
    </row>
    <row r="316" spans="1:20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 xml:space="preserve"> COUNTIF(deals_closed!D:D,A316)</f>
        <v>23</v>
      </c>
      <c r="G316" s="5">
        <f>SUMIF(deals_closed!D:D, calculations!A316, deals_closed!C:C)</f>
        <v>855810</v>
      </c>
      <c r="H316" s="5">
        <f>VLOOKUP(D316,'2018_commission_structure'!$A$2:$I$4,9,FALSE)</f>
        <v>750000</v>
      </c>
      <c r="I316" s="9">
        <f t="shared" si="24"/>
        <v>937500</v>
      </c>
      <c r="J316" s="8">
        <f t="shared" si="25"/>
        <v>1125000</v>
      </c>
      <c r="K316" s="9">
        <f t="shared" si="26"/>
        <v>1500000</v>
      </c>
      <c r="L316" s="10">
        <f t="shared" si="27"/>
        <v>1.1410800000000001</v>
      </c>
      <c r="M316" t="str">
        <f t="shared" si="28"/>
        <v>100-125%</v>
      </c>
      <c r="N316" s="9">
        <f>MIN(H316, G316)*INDEX('2018_commission_structure'!$A$1:$I$4,
MATCH($D316, '2018_commission_structure'!$A$1:$A$4,0),
MATCH(N$1, '2018_commission_structure'!$A$1:$I$1,0))</f>
        <v>112500</v>
      </c>
      <c r="O316" s="11">
        <f>IF(G316&gt;H316, MIN(G316-H316, I316-H316)*
INDEX('2018_commission_structure'!$A$1:$I$4,
MATCH($D316, '2018_commission_structure'!$A$1:$A$4, 0),
MATCH(O$1, '2018_commission_structure'!$A$1:$I$1, 0)), 0)</f>
        <v>20103.900000000001</v>
      </c>
      <c r="P316" s="11">
        <f>IF(G316&gt;H316, MIN(G316-H316, J316-H316)*
INDEX('2018_commission_structure'!$A$1:$I$4,
MATCH($D316, '2018_commission_structure'!$A$1:$A$4, 0),
MATCH(O$1, '2018_commission_structure'!$A$1:$I$1, 0)), 0)</f>
        <v>20103.900000000001</v>
      </c>
      <c r="Q316" s="11">
        <f>IF(G316&gt;H316, MIN(G316-H316, I316-H316)*
INDEX('2018_commission_structure'!$A$1:$I$4,
MATCH($D316, '2018_commission_structure'!$A$1:$A$4, 0),
MATCH(P$1, '2018_commission_structure'!$A$1:$I$1, 0)), 0)</f>
        <v>24336.3</v>
      </c>
      <c r="R316" s="11">
        <f>IF(G316&gt;K316, (G316-K316) *
INDEX('2018_commission_structure'!$A$1:$I$4,
MATCH($D316, '2018_commission_structure'!$A$1:$A$4,0),
MATCH(R$1, '2018_commission_structure'!$A$1:$I$1,0)), 0)</f>
        <v>0</v>
      </c>
      <c r="S316" s="11">
        <f t="shared" si="29"/>
        <v>64544.100000000006</v>
      </c>
      <c r="T316" s="11" cm="1">
        <f t="array" ref="T316">SUM(E316+O316:Q316)</f>
        <v>292535.09999999998</v>
      </c>
    </row>
    <row r="317" spans="1:20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 xml:space="preserve"> COUNTIF(deals_closed!D:D,A317)</f>
        <v>20</v>
      </c>
      <c r="G317" s="5">
        <f>SUMIF(deals_closed!D:D, calculations!A317, deals_closed!C:C)</f>
        <v>575546</v>
      </c>
      <c r="H317" s="5">
        <f>VLOOKUP(D317,'2018_commission_structure'!$A$2:$I$4,9,FALSE)</f>
        <v>600000</v>
      </c>
      <c r="I317" s="9">
        <f t="shared" si="24"/>
        <v>750000</v>
      </c>
      <c r="J317" s="8">
        <f t="shared" si="25"/>
        <v>900000</v>
      </c>
      <c r="K317" s="9">
        <f t="shared" si="26"/>
        <v>1200000</v>
      </c>
      <c r="L317" s="10">
        <f t="shared" si="27"/>
        <v>0.95924333333333334</v>
      </c>
      <c r="M317" t="str">
        <f t="shared" si="28"/>
        <v>0-100%</v>
      </c>
      <c r="N317" s="9">
        <f>MIN(H317, G317)*INDEX('2018_commission_structure'!$A$1:$I$4,
MATCH($D317, '2018_commission_structure'!$A$1:$A$4,0),
MATCH(N$1, '2018_commission_structure'!$A$1:$I$1,0))</f>
        <v>74820.98</v>
      </c>
      <c r="O317" s="11">
        <f>IF(G317&gt;H317, MIN(G317-H317, I317-H317)*
INDEX('2018_commission_structure'!$A$1:$I$4,
MATCH($D317, '2018_commission_structure'!$A$1:$A$4, 0),
MATCH(O$1, '2018_commission_structure'!$A$1:$I$1, 0)), 0)</f>
        <v>0</v>
      </c>
      <c r="P317" s="11">
        <f>IF(G317&gt;H317, MIN(G317-H317, J317-H317)*
INDEX('2018_commission_structure'!$A$1:$I$4,
MATCH($D317, '2018_commission_structure'!$A$1:$A$4, 0),
MATCH(O$1, '2018_commission_structure'!$A$1:$I$1, 0)), 0)</f>
        <v>0</v>
      </c>
      <c r="Q317" s="11">
        <f>IF(G317&gt;H317, MIN(G317-H317, I317-H317)*
INDEX('2018_commission_structure'!$A$1:$I$4,
MATCH($D317, '2018_commission_structure'!$A$1:$A$4, 0),
MATCH(P$1, '2018_commission_structure'!$A$1:$I$1, 0)), 0)</f>
        <v>0</v>
      </c>
      <c r="R317" s="11">
        <f>IF(G317&gt;K317, (G317-K317) *
INDEX('2018_commission_structure'!$A$1:$I$4,
MATCH($D317, '2018_commission_structure'!$A$1:$A$4,0),
MATCH(R$1, '2018_commission_structure'!$A$1:$I$1,0)), 0)</f>
        <v>0</v>
      </c>
      <c r="S317" s="11">
        <f t="shared" si="29"/>
        <v>0</v>
      </c>
      <c r="T317" s="11" cm="1">
        <f t="array" ref="T317">SUM(E317+O317:Q317)</f>
        <v>217077</v>
      </c>
    </row>
    <row r="318" spans="1:20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 xml:space="preserve"> COUNTIF(deals_closed!D:D,A318)</f>
        <v>23</v>
      </c>
      <c r="G318" s="5">
        <f>SUMIF(deals_closed!D:D, calculations!A318, deals_closed!C:C)</f>
        <v>831460</v>
      </c>
      <c r="H318" s="5">
        <f>VLOOKUP(D318,'2018_commission_structure'!$A$2:$I$4,9,FALSE)</f>
        <v>600000</v>
      </c>
      <c r="I318" s="9">
        <f t="shared" si="24"/>
        <v>750000</v>
      </c>
      <c r="J318" s="8">
        <f t="shared" si="25"/>
        <v>900000</v>
      </c>
      <c r="K318" s="9">
        <f t="shared" si="26"/>
        <v>1200000</v>
      </c>
      <c r="L318" s="10">
        <f t="shared" si="27"/>
        <v>1.3857666666666666</v>
      </c>
      <c r="M318" t="str">
        <f t="shared" si="28"/>
        <v>125-150%</v>
      </c>
      <c r="N318" s="9">
        <f>MIN(H318, G318)*INDEX('2018_commission_structure'!$A$1:$I$4,
MATCH($D318, '2018_commission_structure'!$A$1:$A$4,0),
MATCH(N$1, '2018_commission_structure'!$A$1:$I$1,0))</f>
        <v>78000</v>
      </c>
      <c r="O318" s="11">
        <f>IF(G318&gt;H318, MIN(G318-H318, I318-H318)*
INDEX('2018_commission_structure'!$A$1:$I$4,
MATCH($D318, '2018_commission_structure'!$A$1:$A$4, 0),
MATCH(O$1, '2018_commission_structure'!$A$1:$I$1, 0)), 0)</f>
        <v>25500.000000000004</v>
      </c>
      <c r="P318" s="11">
        <f>IF(G318&gt;H318, MIN(G318-H318, J318-H318)*
INDEX('2018_commission_structure'!$A$1:$I$4,
MATCH($D318, '2018_commission_structure'!$A$1:$A$4, 0),
MATCH(O$1, '2018_commission_structure'!$A$1:$I$1, 0)), 0)</f>
        <v>39348.200000000004</v>
      </c>
      <c r="Q318" s="11">
        <f>IF(G318&gt;H318, MIN(G318-H318, I318-H318)*
INDEX('2018_commission_structure'!$A$1:$I$4,
MATCH($D318, '2018_commission_structure'!$A$1:$A$4, 0),
MATCH(P$1, '2018_commission_structure'!$A$1:$I$1, 0)), 0)</f>
        <v>31500</v>
      </c>
      <c r="R318" s="11">
        <f>IF(G318&gt;K318, (G318-K318) *
INDEX('2018_commission_structure'!$A$1:$I$4,
MATCH($D318, '2018_commission_structure'!$A$1:$A$4,0),
MATCH(R$1, '2018_commission_structure'!$A$1:$I$1,0)), 0)</f>
        <v>0</v>
      </c>
      <c r="S318" s="11">
        <f t="shared" si="29"/>
        <v>96348.200000000012</v>
      </c>
      <c r="T318" s="11" cm="1">
        <f t="array" ref="T318">SUM(E318+O318:Q318)</f>
        <v>303594.2</v>
      </c>
    </row>
    <row r="319" spans="1:20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 xml:space="preserve"> COUNTIF(deals_closed!D:D,A319)</f>
        <v>18</v>
      </c>
      <c r="G319" s="5">
        <f>SUMIF(deals_closed!D:D, calculations!A319, deals_closed!C:C)</f>
        <v>553683</v>
      </c>
      <c r="H319" s="5">
        <f>VLOOKUP(D319,'2018_commission_structure'!$A$2:$I$4,9,FALSE)</f>
        <v>750000</v>
      </c>
      <c r="I319" s="9">
        <f t="shared" si="24"/>
        <v>937500</v>
      </c>
      <c r="J319" s="8">
        <f t="shared" si="25"/>
        <v>1125000</v>
      </c>
      <c r="K319" s="9">
        <f t="shared" si="26"/>
        <v>1500000</v>
      </c>
      <c r="L319" s="10">
        <f t="shared" si="27"/>
        <v>0.73824400000000001</v>
      </c>
      <c r="M319" t="str">
        <f t="shared" si="28"/>
        <v>0-100%</v>
      </c>
      <c r="N319" s="9">
        <f>MIN(H319, G319)*INDEX('2018_commission_structure'!$A$1:$I$4,
MATCH($D319, '2018_commission_structure'!$A$1:$A$4,0),
MATCH(N$1, '2018_commission_structure'!$A$1:$I$1,0))</f>
        <v>83052.45</v>
      </c>
      <c r="O319" s="11">
        <f>IF(G319&gt;H319, MIN(G319-H319, I319-H319)*
INDEX('2018_commission_structure'!$A$1:$I$4,
MATCH($D319, '2018_commission_structure'!$A$1:$A$4, 0),
MATCH(O$1, '2018_commission_structure'!$A$1:$I$1, 0)), 0)</f>
        <v>0</v>
      </c>
      <c r="P319" s="11">
        <f>IF(G319&gt;H319, MIN(G319-H319, J319-H319)*
INDEX('2018_commission_structure'!$A$1:$I$4,
MATCH($D319, '2018_commission_structure'!$A$1:$A$4, 0),
MATCH(O$1, '2018_commission_structure'!$A$1:$I$1, 0)), 0)</f>
        <v>0</v>
      </c>
      <c r="Q319" s="11">
        <f>IF(G319&gt;H319, MIN(G319-H319, I319-H319)*
INDEX('2018_commission_structure'!$A$1:$I$4,
MATCH($D319, '2018_commission_structure'!$A$1:$A$4, 0),
MATCH(P$1, '2018_commission_structure'!$A$1:$I$1, 0)), 0)</f>
        <v>0</v>
      </c>
      <c r="R319" s="11">
        <f>IF(G319&gt;K319, (G319-K319) *
INDEX('2018_commission_structure'!$A$1:$I$4,
MATCH($D319, '2018_commission_structure'!$A$1:$A$4,0),
MATCH(R$1, '2018_commission_structure'!$A$1:$I$1,0)), 0)</f>
        <v>0</v>
      </c>
      <c r="S319" s="11">
        <f t="shared" si="29"/>
        <v>0</v>
      </c>
      <c r="T319" s="11" cm="1">
        <f t="array" ref="T319">SUM(E319+O319:Q319)</f>
        <v>240894</v>
      </c>
    </row>
    <row r="320" spans="1:20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 xml:space="preserve"> COUNTIF(deals_closed!D:D,A320)</f>
        <v>24</v>
      </c>
      <c r="G320" s="5">
        <f>SUMIF(deals_closed!D:D, calculations!A320, deals_closed!C:C)</f>
        <v>772322</v>
      </c>
      <c r="H320" s="5">
        <f>VLOOKUP(D320,'2018_commission_structure'!$A$2:$I$4,9,FALSE)</f>
        <v>600000</v>
      </c>
      <c r="I320" s="9">
        <f t="shared" si="24"/>
        <v>750000</v>
      </c>
      <c r="J320" s="8">
        <f t="shared" si="25"/>
        <v>900000</v>
      </c>
      <c r="K320" s="9">
        <f t="shared" si="26"/>
        <v>1200000</v>
      </c>
      <c r="L320" s="10">
        <f t="shared" si="27"/>
        <v>1.2872033333333333</v>
      </c>
      <c r="M320" t="str">
        <f t="shared" si="28"/>
        <v>125-150%</v>
      </c>
      <c r="N320" s="9">
        <f>MIN(H320, G320)*INDEX('2018_commission_structure'!$A$1:$I$4,
MATCH($D320, '2018_commission_structure'!$A$1:$A$4,0),
MATCH(N$1, '2018_commission_structure'!$A$1:$I$1,0))</f>
        <v>78000</v>
      </c>
      <c r="O320" s="11">
        <f>IF(G320&gt;H320, MIN(G320-H320, I320-H320)*
INDEX('2018_commission_structure'!$A$1:$I$4,
MATCH($D320, '2018_commission_structure'!$A$1:$A$4, 0),
MATCH(O$1, '2018_commission_structure'!$A$1:$I$1, 0)), 0)</f>
        <v>25500.000000000004</v>
      </c>
      <c r="P320" s="11">
        <f>IF(G320&gt;H320, MIN(G320-H320, J320-H320)*
INDEX('2018_commission_structure'!$A$1:$I$4,
MATCH($D320, '2018_commission_structure'!$A$1:$A$4, 0),
MATCH(O$1, '2018_commission_structure'!$A$1:$I$1, 0)), 0)</f>
        <v>29294.74</v>
      </c>
      <c r="Q320" s="11">
        <f>IF(G320&gt;H320, MIN(G320-H320, I320-H320)*
INDEX('2018_commission_structure'!$A$1:$I$4,
MATCH($D320, '2018_commission_structure'!$A$1:$A$4, 0),
MATCH(P$1, '2018_commission_structure'!$A$1:$I$1, 0)), 0)</f>
        <v>31500</v>
      </c>
      <c r="R320" s="11">
        <f>IF(G320&gt;K320, (G320-K320) *
INDEX('2018_commission_structure'!$A$1:$I$4,
MATCH($D320, '2018_commission_structure'!$A$1:$A$4,0),
MATCH(R$1, '2018_commission_structure'!$A$1:$I$1,0)), 0)</f>
        <v>0</v>
      </c>
      <c r="S320" s="11">
        <f t="shared" si="29"/>
        <v>86294.74</v>
      </c>
      <c r="T320" s="11" cm="1">
        <f t="array" ref="T320">SUM(E320+O320:Q320)</f>
        <v>252323.74</v>
      </c>
    </row>
    <row r="321" spans="1:20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 xml:space="preserve"> COUNTIF(deals_closed!D:D,A321)</f>
        <v>21</v>
      </c>
      <c r="G321" s="5">
        <f>SUMIF(deals_closed!D:D, calculations!A321, deals_closed!C:C)</f>
        <v>743782</v>
      </c>
      <c r="H321" s="5">
        <f>VLOOKUP(D321,'2018_commission_structure'!$A$2:$I$4,9,FALSE)</f>
        <v>600000</v>
      </c>
      <c r="I321" s="9">
        <f t="shared" si="24"/>
        <v>750000</v>
      </c>
      <c r="J321" s="8">
        <f t="shared" si="25"/>
        <v>900000</v>
      </c>
      <c r="K321" s="9">
        <f t="shared" si="26"/>
        <v>1200000</v>
      </c>
      <c r="L321" s="10">
        <f t="shared" si="27"/>
        <v>1.2396366666666667</v>
      </c>
      <c r="M321" t="str">
        <f t="shared" si="28"/>
        <v>100-125%</v>
      </c>
      <c r="N321" s="9">
        <f>MIN(H321, G321)*INDEX('2018_commission_structure'!$A$1:$I$4,
MATCH($D321, '2018_commission_structure'!$A$1:$A$4,0),
MATCH(N$1, '2018_commission_structure'!$A$1:$I$1,0))</f>
        <v>78000</v>
      </c>
      <c r="O321" s="11">
        <f>IF(G321&gt;H321, MIN(G321-H321, I321-H321)*
INDEX('2018_commission_structure'!$A$1:$I$4,
MATCH($D321, '2018_commission_structure'!$A$1:$A$4, 0),
MATCH(O$1, '2018_commission_structure'!$A$1:$I$1, 0)), 0)</f>
        <v>24442.940000000002</v>
      </c>
      <c r="P321" s="11">
        <f>IF(G321&gt;H321, MIN(G321-H321, J321-H321)*
INDEX('2018_commission_structure'!$A$1:$I$4,
MATCH($D321, '2018_commission_structure'!$A$1:$A$4, 0),
MATCH(O$1, '2018_commission_structure'!$A$1:$I$1, 0)), 0)</f>
        <v>24442.940000000002</v>
      </c>
      <c r="Q321" s="11">
        <f>IF(G321&gt;H321, MIN(G321-H321, I321-H321)*
INDEX('2018_commission_structure'!$A$1:$I$4,
MATCH($D321, '2018_commission_structure'!$A$1:$A$4, 0),
MATCH(P$1, '2018_commission_structure'!$A$1:$I$1, 0)), 0)</f>
        <v>30194.219999999998</v>
      </c>
      <c r="R321" s="11">
        <f>IF(G321&gt;K321, (G321-K321) *
INDEX('2018_commission_structure'!$A$1:$I$4,
MATCH($D321, '2018_commission_structure'!$A$1:$A$4,0),
MATCH(R$1, '2018_commission_structure'!$A$1:$I$1,0)), 0)</f>
        <v>0</v>
      </c>
      <c r="S321" s="11">
        <f t="shared" si="29"/>
        <v>79080.100000000006</v>
      </c>
      <c r="T321" s="11" cm="1">
        <f t="array" ref="T321">SUM(E321+O321:Q321)</f>
        <v>270303.09999999998</v>
      </c>
    </row>
    <row r="322" spans="1:20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 xml:space="preserve"> COUNTIF(deals_closed!D:D,A322)</f>
        <v>16</v>
      </c>
      <c r="G322" s="5">
        <f>SUMIF(deals_closed!D:D, calculations!A322, deals_closed!C:C)</f>
        <v>464896</v>
      </c>
      <c r="H322" s="5">
        <f>VLOOKUP(D322,'2018_commission_structure'!$A$2:$I$4,9,FALSE)</f>
        <v>600000</v>
      </c>
      <c r="I322" s="9">
        <f t="shared" si="24"/>
        <v>750000</v>
      </c>
      <c r="J322" s="8">
        <f t="shared" si="25"/>
        <v>900000</v>
      </c>
      <c r="K322" s="9">
        <f t="shared" si="26"/>
        <v>1200000</v>
      </c>
      <c r="L322" s="10">
        <f t="shared" si="27"/>
        <v>0.77482666666666666</v>
      </c>
      <c r="M322" t="str">
        <f t="shared" si="28"/>
        <v>0-100%</v>
      </c>
      <c r="N322" s="9">
        <f>MIN(H322, G322)*INDEX('2018_commission_structure'!$A$1:$I$4,
MATCH($D322, '2018_commission_structure'!$A$1:$A$4,0),
MATCH(N$1, '2018_commission_structure'!$A$1:$I$1,0))</f>
        <v>60436.480000000003</v>
      </c>
      <c r="O322" s="11">
        <f>IF(G322&gt;H322, MIN(G322-H322, I322-H322)*
INDEX('2018_commission_structure'!$A$1:$I$4,
MATCH($D322, '2018_commission_structure'!$A$1:$A$4, 0),
MATCH(O$1, '2018_commission_structure'!$A$1:$I$1, 0)), 0)</f>
        <v>0</v>
      </c>
      <c r="P322" s="11">
        <f>IF(G322&gt;H322, MIN(G322-H322, J322-H322)*
INDEX('2018_commission_structure'!$A$1:$I$4,
MATCH($D322, '2018_commission_structure'!$A$1:$A$4, 0),
MATCH(O$1, '2018_commission_structure'!$A$1:$I$1, 0)), 0)</f>
        <v>0</v>
      </c>
      <c r="Q322" s="11">
        <f>IF(G322&gt;H322, MIN(G322-H322, I322-H322)*
INDEX('2018_commission_structure'!$A$1:$I$4,
MATCH($D322, '2018_commission_structure'!$A$1:$A$4, 0),
MATCH(P$1, '2018_commission_structure'!$A$1:$I$1, 0)), 0)</f>
        <v>0</v>
      </c>
      <c r="R322" s="11">
        <f>IF(G322&gt;K322, (G322-K322) *
INDEX('2018_commission_structure'!$A$1:$I$4,
MATCH($D322, '2018_commission_structure'!$A$1:$A$4,0),
MATCH(R$1, '2018_commission_structure'!$A$1:$I$1,0)), 0)</f>
        <v>0</v>
      </c>
      <c r="S322" s="11">
        <f t="shared" si="29"/>
        <v>0</v>
      </c>
      <c r="T322" s="11" cm="1">
        <f t="array" ref="T322">SUM(E322+O322:Q322)</f>
        <v>223653</v>
      </c>
    </row>
    <row r="323" spans="1:20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 xml:space="preserve"> COUNTIF(deals_closed!D:D,A323)</f>
        <v>26</v>
      </c>
      <c r="G323" s="5">
        <f>SUMIF(deals_closed!D:D, calculations!A323, deals_closed!C:C)</f>
        <v>1004176</v>
      </c>
      <c r="H323" s="5">
        <f>VLOOKUP(D323,'2018_commission_structure'!$A$2:$I$4,9,FALSE)</f>
        <v>500000</v>
      </c>
      <c r="I323" s="9">
        <f t="shared" ref="I323:I386" si="30">H323*1.25</f>
        <v>625000</v>
      </c>
      <c r="J323" s="8">
        <f t="shared" ref="J323:J386" si="31">H323*1.5</f>
        <v>750000</v>
      </c>
      <c r="K323" s="9">
        <f t="shared" ref="K323:K386" si="32">H323*2</f>
        <v>1000000</v>
      </c>
      <c r="L323" s="10">
        <f t="shared" ref="L323:L386" si="33">G323/H323</f>
        <v>2.0083519999999999</v>
      </c>
      <c r="M323" t="str">
        <f t="shared" ref="M323:M386" si="34">IF(L323&lt;=1, "0-100%",
IF(L323&lt;=1.25, "100-125%",
IF(L323&lt;=1.5, "125-150%",
IF(L323&lt;2, "150-200%", "&gt;200%"))))</f>
        <v>&gt;200%</v>
      </c>
      <c r="N323" s="9">
        <f>MIN(H323, G323)*INDEX('2018_commission_structure'!$A$1:$I$4,
MATCH($D323, '2018_commission_structure'!$A$1:$A$4,0),
MATCH(N$1, '2018_commission_structure'!$A$1:$I$1,0))</f>
        <v>50000</v>
      </c>
      <c r="O323" s="11">
        <f>IF(G323&gt;H323, MIN(G323-H323, I323-H323)*
INDEX('2018_commission_structure'!$A$1:$I$4,
MATCH($D323, '2018_commission_structure'!$A$1:$A$4, 0),
MATCH(O$1, '2018_commission_structure'!$A$1:$I$1, 0)), 0)</f>
        <v>18750</v>
      </c>
      <c r="P323" s="11">
        <f>IF(G323&gt;H323, MIN(G323-H323, J323-H323)*
INDEX('2018_commission_structure'!$A$1:$I$4,
MATCH($D323, '2018_commission_structure'!$A$1:$A$4, 0),
MATCH(O$1, '2018_commission_structure'!$A$1:$I$1, 0)), 0)</f>
        <v>37500</v>
      </c>
      <c r="Q323" s="11">
        <f>IF(G323&gt;H323, MIN(G323-H323, I323-H323)*
INDEX('2018_commission_structure'!$A$1:$I$4,
MATCH($D323, '2018_commission_structure'!$A$1:$A$4, 0),
MATCH(P$1, '2018_commission_structure'!$A$1:$I$1, 0)), 0)</f>
        <v>22500</v>
      </c>
      <c r="R323" s="11">
        <f>IF(G323&gt;K323, (G323-K323) *
INDEX('2018_commission_structure'!$A$1:$I$4,
MATCH($D323, '2018_commission_structure'!$A$1:$A$4,0),
MATCH(R$1, '2018_commission_structure'!$A$1:$I$1,0)), 0)</f>
        <v>417.6</v>
      </c>
      <c r="S323" s="11">
        <f t="shared" ref="S323:S386" si="35">SUM(O323:Q323)</f>
        <v>78750</v>
      </c>
      <c r="T323" s="11" cm="1">
        <f t="array" ref="T323">SUM(E323+O323:Q323)</f>
        <v>197259</v>
      </c>
    </row>
    <row r="324" spans="1:20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 xml:space="preserve"> COUNTIF(deals_closed!D:D,A324)</f>
        <v>16</v>
      </c>
      <c r="G324" s="5">
        <f>SUMIF(deals_closed!D:D, calculations!A324, deals_closed!C:C)</f>
        <v>567972</v>
      </c>
      <c r="H324" s="5">
        <f>VLOOKUP(D324,'2018_commission_structure'!$A$2:$I$4,9,FALSE)</f>
        <v>750000</v>
      </c>
      <c r="I324" s="9">
        <f t="shared" si="30"/>
        <v>937500</v>
      </c>
      <c r="J324" s="8">
        <f t="shared" si="31"/>
        <v>1125000</v>
      </c>
      <c r="K324" s="9">
        <f t="shared" si="32"/>
        <v>1500000</v>
      </c>
      <c r="L324" s="10">
        <f t="shared" si="33"/>
        <v>0.75729599999999997</v>
      </c>
      <c r="M324" t="str">
        <f t="shared" si="34"/>
        <v>0-100%</v>
      </c>
      <c r="N324" s="9">
        <f>MIN(H324, G324)*INDEX('2018_commission_structure'!$A$1:$I$4,
MATCH($D324, '2018_commission_structure'!$A$1:$A$4,0),
MATCH(N$1, '2018_commission_structure'!$A$1:$I$1,0))</f>
        <v>85195.8</v>
      </c>
      <c r="O324" s="11">
        <f>IF(G324&gt;H324, MIN(G324-H324, I324-H324)*
INDEX('2018_commission_structure'!$A$1:$I$4,
MATCH($D324, '2018_commission_structure'!$A$1:$A$4, 0),
MATCH(O$1, '2018_commission_structure'!$A$1:$I$1, 0)), 0)</f>
        <v>0</v>
      </c>
      <c r="P324" s="11">
        <f>IF(G324&gt;H324, MIN(G324-H324, J324-H324)*
INDEX('2018_commission_structure'!$A$1:$I$4,
MATCH($D324, '2018_commission_structure'!$A$1:$A$4, 0),
MATCH(O$1, '2018_commission_structure'!$A$1:$I$1, 0)), 0)</f>
        <v>0</v>
      </c>
      <c r="Q324" s="11">
        <f>IF(G324&gt;H324, MIN(G324-H324, I324-H324)*
INDEX('2018_commission_structure'!$A$1:$I$4,
MATCH($D324, '2018_commission_structure'!$A$1:$A$4, 0),
MATCH(P$1, '2018_commission_structure'!$A$1:$I$1, 0)), 0)</f>
        <v>0</v>
      </c>
      <c r="R324" s="11">
        <f>IF(G324&gt;K324, (G324-K324) *
INDEX('2018_commission_structure'!$A$1:$I$4,
MATCH($D324, '2018_commission_structure'!$A$1:$A$4,0),
MATCH(R$1, '2018_commission_structure'!$A$1:$I$1,0)), 0)</f>
        <v>0</v>
      </c>
      <c r="S324" s="11">
        <f t="shared" si="35"/>
        <v>0</v>
      </c>
      <c r="T324" s="11" cm="1">
        <f t="array" ref="T324">SUM(E324+O324:Q324)</f>
        <v>365343</v>
      </c>
    </row>
    <row r="325" spans="1:20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 xml:space="preserve"> COUNTIF(deals_closed!D:D,A325)</f>
        <v>16</v>
      </c>
      <c r="G325" s="5">
        <f>SUMIF(deals_closed!D:D, calculations!A325, deals_closed!C:C)</f>
        <v>476791</v>
      </c>
      <c r="H325" s="5">
        <f>VLOOKUP(D325,'2018_commission_structure'!$A$2:$I$4,9,FALSE)</f>
        <v>600000</v>
      </c>
      <c r="I325" s="9">
        <f t="shared" si="30"/>
        <v>750000</v>
      </c>
      <c r="J325" s="8">
        <f t="shared" si="31"/>
        <v>900000</v>
      </c>
      <c r="K325" s="9">
        <f t="shared" si="32"/>
        <v>1200000</v>
      </c>
      <c r="L325" s="10">
        <f t="shared" si="33"/>
        <v>0.79465166666666665</v>
      </c>
      <c r="M325" t="str">
        <f t="shared" si="34"/>
        <v>0-100%</v>
      </c>
      <c r="N325" s="9">
        <f>MIN(H325, G325)*INDEX('2018_commission_structure'!$A$1:$I$4,
MATCH($D325, '2018_commission_structure'!$A$1:$A$4,0),
MATCH(N$1, '2018_commission_structure'!$A$1:$I$1,0))</f>
        <v>61982.83</v>
      </c>
      <c r="O325" s="11">
        <f>IF(G325&gt;H325, MIN(G325-H325, I325-H325)*
INDEX('2018_commission_structure'!$A$1:$I$4,
MATCH($D325, '2018_commission_structure'!$A$1:$A$4, 0),
MATCH(O$1, '2018_commission_structure'!$A$1:$I$1, 0)), 0)</f>
        <v>0</v>
      </c>
      <c r="P325" s="11">
        <f>IF(G325&gt;H325, MIN(G325-H325, J325-H325)*
INDEX('2018_commission_structure'!$A$1:$I$4,
MATCH($D325, '2018_commission_structure'!$A$1:$A$4, 0),
MATCH(O$1, '2018_commission_structure'!$A$1:$I$1, 0)), 0)</f>
        <v>0</v>
      </c>
      <c r="Q325" s="11">
        <f>IF(G325&gt;H325, MIN(G325-H325, I325-H325)*
INDEX('2018_commission_structure'!$A$1:$I$4,
MATCH($D325, '2018_commission_structure'!$A$1:$A$4, 0),
MATCH(P$1, '2018_commission_structure'!$A$1:$I$1, 0)), 0)</f>
        <v>0</v>
      </c>
      <c r="R325" s="11">
        <f>IF(G325&gt;K325, (G325-K325) *
INDEX('2018_commission_structure'!$A$1:$I$4,
MATCH($D325, '2018_commission_structure'!$A$1:$A$4,0),
MATCH(R$1, '2018_commission_structure'!$A$1:$I$1,0)), 0)</f>
        <v>0</v>
      </c>
      <c r="S325" s="11">
        <f t="shared" si="35"/>
        <v>0</v>
      </c>
      <c r="T325" s="11" cm="1">
        <f t="array" ref="T325">SUM(E325+O325:Q325)</f>
        <v>178500</v>
      </c>
    </row>
    <row r="326" spans="1:20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 xml:space="preserve"> COUNTIF(deals_closed!D:D,A326)</f>
        <v>29</v>
      </c>
      <c r="G326" s="5">
        <f>SUMIF(deals_closed!D:D, calculations!A326, deals_closed!C:C)</f>
        <v>1055102</v>
      </c>
      <c r="H326" s="5">
        <f>VLOOKUP(D326,'2018_commission_structure'!$A$2:$I$4,9,FALSE)</f>
        <v>600000</v>
      </c>
      <c r="I326" s="9">
        <f t="shared" si="30"/>
        <v>750000</v>
      </c>
      <c r="J326" s="8">
        <f t="shared" si="31"/>
        <v>900000</v>
      </c>
      <c r="K326" s="9">
        <f t="shared" si="32"/>
        <v>1200000</v>
      </c>
      <c r="L326" s="10">
        <f t="shared" si="33"/>
        <v>1.7585033333333333</v>
      </c>
      <c r="M326" t="str">
        <f t="shared" si="34"/>
        <v>150-200%</v>
      </c>
      <c r="N326" s="9">
        <f>MIN(H326, G326)*INDEX('2018_commission_structure'!$A$1:$I$4,
MATCH($D326, '2018_commission_structure'!$A$1:$A$4,0),
MATCH(N$1, '2018_commission_structure'!$A$1:$I$1,0))</f>
        <v>78000</v>
      </c>
      <c r="O326" s="11">
        <f>IF(G326&gt;H326, MIN(G326-H326, I326-H326)*
INDEX('2018_commission_structure'!$A$1:$I$4,
MATCH($D326, '2018_commission_structure'!$A$1:$A$4, 0),
MATCH(O$1, '2018_commission_structure'!$A$1:$I$1, 0)), 0)</f>
        <v>25500.000000000004</v>
      </c>
      <c r="P326" s="11">
        <f>IF(G326&gt;H326, MIN(G326-H326, J326-H326)*
INDEX('2018_commission_structure'!$A$1:$I$4,
MATCH($D326, '2018_commission_structure'!$A$1:$A$4, 0),
MATCH(O$1, '2018_commission_structure'!$A$1:$I$1, 0)), 0)</f>
        <v>51000.000000000007</v>
      </c>
      <c r="Q326" s="11">
        <f>IF(G326&gt;H326, MIN(G326-H326, I326-H326)*
INDEX('2018_commission_structure'!$A$1:$I$4,
MATCH($D326, '2018_commission_structure'!$A$1:$A$4, 0),
MATCH(P$1, '2018_commission_structure'!$A$1:$I$1, 0)), 0)</f>
        <v>31500</v>
      </c>
      <c r="R326" s="11">
        <f>IF(G326&gt;K326, (G326-K326) *
INDEX('2018_commission_structure'!$A$1:$I$4,
MATCH($D326, '2018_commission_structure'!$A$1:$A$4,0),
MATCH(R$1, '2018_commission_structure'!$A$1:$I$1,0)), 0)</f>
        <v>0</v>
      </c>
      <c r="S326" s="11">
        <f t="shared" si="35"/>
        <v>108000.00000000001</v>
      </c>
      <c r="T326" s="11" cm="1">
        <f t="array" ref="T326">SUM(E326+O326:Q326)</f>
        <v>340395</v>
      </c>
    </row>
    <row r="327" spans="1:20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 xml:space="preserve"> COUNTIF(deals_closed!D:D,A327)</f>
        <v>26</v>
      </c>
      <c r="G327" s="5">
        <f>SUMIF(deals_closed!D:D, calculations!A327, deals_closed!C:C)</f>
        <v>867952</v>
      </c>
      <c r="H327" s="5">
        <f>VLOOKUP(D327,'2018_commission_structure'!$A$2:$I$4,9,FALSE)</f>
        <v>600000</v>
      </c>
      <c r="I327" s="9">
        <f t="shared" si="30"/>
        <v>750000</v>
      </c>
      <c r="J327" s="8">
        <f t="shared" si="31"/>
        <v>900000</v>
      </c>
      <c r="K327" s="9">
        <f t="shared" si="32"/>
        <v>1200000</v>
      </c>
      <c r="L327" s="10">
        <f t="shared" si="33"/>
        <v>1.4465866666666667</v>
      </c>
      <c r="M327" t="str">
        <f t="shared" si="34"/>
        <v>125-150%</v>
      </c>
      <c r="N327" s="9">
        <f>MIN(H327, G327)*INDEX('2018_commission_structure'!$A$1:$I$4,
MATCH($D327, '2018_commission_structure'!$A$1:$A$4,0),
MATCH(N$1, '2018_commission_structure'!$A$1:$I$1,0))</f>
        <v>78000</v>
      </c>
      <c r="O327" s="11">
        <f>IF(G327&gt;H327, MIN(G327-H327, I327-H327)*
INDEX('2018_commission_structure'!$A$1:$I$4,
MATCH($D327, '2018_commission_structure'!$A$1:$A$4, 0),
MATCH(O$1, '2018_commission_structure'!$A$1:$I$1, 0)), 0)</f>
        <v>25500.000000000004</v>
      </c>
      <c r="P327" s="11">
        <f>IF(G327&gt;H327, MIN(G327-H327, J327-H327)*
INDEX('2018_commission_structure'!$A$1:$I$4,
MATCH($D327, '2018_commission_structure'!$A$1:$A$4, 0),
MATCH(O$1, '2018_commission_structure'!$A$1:$I$1, 0)), 0)</f>
        <v>45551.840000000004</v>
      </c>
      <c r="Q327" s="11">
        <f>IF(G327&gt;H327, MIN(G327-H327, I327-H327)*
INDEX('2018_commission_structure'!$A$1:$I$4,
MATCH($D327, '2018_commission_structure'!$A$1:$A$4, 0),
MATCH(P$1, '2018_commission_structure'!$A$1:$I$1, 0)), 0)</f>
        <v>31500</v>
      </c>
      <c r="R327" s="11">
        <f>IF(G327&gt;K327, (G327-K327) *
INDEX('2018_commission_structure'!$A$1:$I$4,
MATCH($D327, '2018_commission_structure'!$A$1:$A$4,0),
MATCH(R$1, '2018_commission_structure'!$A$1:$I$1,0)), 0)</f>
        <v>0</v>
      </c>
      <c r="S327" s="11">
        <f t="shared" si="35"/>
        <v>102551.84000000001</v>
      </c>
      <c r="T327" s="11" cm="1">
        <f t="array" ref="T327">SUM(E327+O327:Q327)</f>
        <v>281552.83999999997</v>
      </c>
    </row>
    <row r="328" spans="1:20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 xml:space="preserve"> COUNTIF(deals_closed!D:D,A328)</f>
        <v>26</v>
      </c>
      <c r="G328" s="5">
        <f>SUMIF(deals_closed!D:D, calculations!A328, deals_closed!C:C)</f>
        <v>968439</v>
      </c>
      <c r="H328" s="5">
        <f>VLOOKUP(D328,'2018_commission_structure'!$A$2:$I$4,9,FALSE)</f>
        <v>750000</v>
      </c>
      <c r="I328" s="9">
        <f t="shared" si="30"/>
        <v>937500</v>
      </c>
      <c r="J328" s="8">
        <f t="shared" si="31"/>
        <v>1125000</v>
      </c>
      <c r="K328" s="9">
        <f t="shared" si="32"/>
        <v>1500000</v>
      </c>
      <c r="L328" s="10">
        <f t="shared" si="33"/>
        <v>1.2912520000000001</v>
      </c>
      <c r="M328" t="str">
        <f t="shared" si="34"/>
        <v>125-150%</v>
      </c>
      <c r="N328" s="9">
        <f>MIN(H328, G328)*INDEX('2018_commission_structure'!$A$1:$I$4,
MATCH($D328, '2018_commission_structure'!$A$1:$A$4,0),
MATCH(N$1, '2018_commission_structure'!$A$1:$I$1,0))</f>
        <v>112500</v>
      </c>
      <c r="O328" s="11">
        <f>IF(G328&gt;H328, MIN(G328-H328, I328-H328)*
INDEX('2018_commission_structure'!$A$1:$I$4,
MATCH($D328, '2018_commission_structure'!$A$1:$A$4, 0),
MATCH(O$1, '2018_commission_structure'!$A$1:$I$1, 0)), 0)</f>
        <v>35625</v>
      </c>
      <c r="P328" s="11">
        <f>IF(G328&gt;H328, MIN(G328-H328, J328-H328)*
INDEX('2018_commission_structure'!$A$1:$I$4,
MATCH($D328, '2018_commission_structure'!$A$1:$A$4, 0),
MATCH(O$1, '2018_commission_structure'!$A$1:$I$1, 0)), 0)</f>
        <v>41503.410000000003</v>
      </c>
      <c r="Q328" s="11">
        <f>IF(G328&gt;H328, MIN(G328-H328, I328-H328)*
INDEX('2018_commission_structure'!$A$1:$I$4,
MATCH($D328, '2018_commission_structure'!$A$1:$A$4, 0),
MATCH(P$1, '2018_commission_structure'!$A$1:$I$1, 0)), 0)</f>
        <v>43125</v>
      </c>
      <c r="R328" s="11">
        <f>IF(G328&gt;K328, (G328-K328) *
INDEX('2018_commission_structure'!$A$1:$I$4,
MATCH($D328, '2018_commission_structure'!$A$1:$A$4,0),
MATCH(R$1, '2018_commission_structure'!$A$1:$I$1,0)), 0)</f>
        <v>0</v>
      </c>
      <c r="S328" s="11">
        <f t="shared" si="35"/>
        <v>120253.41</v>
      </c>
      <c r="T328" s="11" cm="1">
        <f t="array" ref="T328">SUM(E328+O328:Q328)</f>
        <v>448903.41000000003</v>
      </c>
    </row>
    <row r="329" spans="1:20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 xml:space="preserve"> COUNTIF(deals_closed!D:D,A329)</f>
        <v>11</v>
      </c>
      <c r="G329" s="5">
        <f>SUMIF(deals_closed!D:D, calculations!A329, deals_closed!C:C)</f>
        <v>431484</v>
      </c>
      <c r="H329" s="5">
        <f>VLOOKUP(D329,'2018_commission_structure'!$A$2:$I$4,9,FALSE)</f>
        <v>600000</v>
      </c>
      <c r="I329" s="9">
        <f t="shared" si="30"/>
        <v>750000</v>
      </c>
      <c r="J329" s="8">
        <f t="shared" si="31"/>
        <v>900000</v>
      </c>
      <c r="K329" s="9">
        <f t="shared" si="32"/>
        <v>1200000</v>
      </c>
      <c r="L329" s="10">
        <f t="shared" si="33"/>
        <v>0.71914</v>
      </c>
      <c r="M329" t="str">
        <f t="shared" si="34"/>
        <v>0-100%</v>
      </c>
      <c r="N329" s="9">
        <f>MIN(H329, G329)*INDEX('2018_commission_structure'!$A$1:$I$4,
MATCH($D329, '2018_commission_structure'!$A$1:$A$4,0),
MATCH(N$1, '2018_commission_structure'!$A$1:$I$1,0))</f>
        <v>56092.920000000006</v>
      </c>
      <c r="O329" s="11">
        <f>IF(G329&gt;H329, MIN(G329-H329, I329-H329)*
INDEX('2018_commission_structure'!$A$1:$I$4,
MATCH($D329, '2018_commission_structure'!$A$1:$A$4, 0),
MATCH(O$1, '2018_commission_structure'!$A$1:$I$1, 0)), 0)</f>
        <v>0</v>
      </c>
      <c r="P329" s="11">
        <f>IF(G329&gt;H329, MIN(G329-H329, J329-H329)*
INDEX('2018_commission_structure'!$A$1:$I$4,
MATCH($D329, '2018_commission_structure'!$A$1:$A$4, 0),
MATCH(O$1, '2018_commission_structure'!$A$1:$I$1, 0)), 0)</f>
        <v>0</v>
      </c>
      <c r="Q329" s="11">
        <f>IF(G329&gt;H329, MIN(G329-H329, I329-H329)*
INDEX('2018_commission_structure'!$A$1:$I$4,
MATCH($D329, '2018_commission_structure'!$A$1:$A$4, 0),
MATCH(P$1, '2018_commission_structure'!$A$1:$I$1, 0)), 0)</f>
        <v>0</v>
      </c>
      <c r="R329" s="11">
        <f>IF(G329&gt;K329, (G329-K329) *
INDEX('2018_commission_structure'!$A$1:$I$4,
MATCH($D329, '2018_commission_structure'!$A$1:$A$4,0),
MATCH(R$1, '2018_commission_structure'!$A$1:$I$1,0)), 0)</f>
        <v>0</v>
      </c>
      <c r="S329" s="11">
        <f t="shared" si="35"/>
        <v>0</v>
      </c>
      <c r="T329" s="11" cm="1">
        <f t="array" ref="T329">SUM(E329+O329:Q329)</f>
        <v>151401</v>
      </c>
    </row>
    <row r="330" spans="1:20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 xml:space="preserve"> COUNTIF(deals_closed!D:D,A330)</f>
        <v>20</v>
      </c>
      <c r="G330" s="5">
        <f>SUMIF(deals_closed!D:D, calculations!A330, deals_closed!C:C)</f>
        <v>763688</v>
      </c>
      <c r="H330" s="5">
        <f>VLOOKUP(D330,'2018_commission_structure'!$A$2:$I$4,9,FALSE)</f>
        <v>500000</v>
      </c>
      <c r="I330" s="9">
        <f t="shared" si="30"/>
        <v>625000</v>
      </c>
      <c r="J330" s="8">
        <f t="shared" si="31"/>
        <v>750000</v>
      </c>
      <c r="K330" s="9">
        <f t="shared" si="32"/>
        <v>1000000</v>
      </c>
      <c r="L330" s="10">
        <f t="shared" si="33"/>
        <v>1.5273760000000001</v>
      </c>
      <c r="M330" t="str">
        <f t="shared" si="34"/>
        <v>150-200%</v>
      </c>
      <c r="N330" s="9">
        <f>MIN(H330, G330)*INDEX('2018_commission_structure'!$A$1:$I$4,
MATCH($D330, '2018_commission_structure'!$A$1:$A$4,0),
MATCH(N$1, '2018_commission_structure'!$A$1:$I$1,0))</f>
        <v>50000</v>
      </c>
      <c r="O330" s="11">
        <f>IF(G330&gt;H330, MIN(G330-H330, I330-H330)*
INDEX('2018_commission_structure'!$A$1:$I$4,
MATCH($D330, '2018_commission_structure'!$A$1:$A$4, 0),
MATCH(O$1, '2018_commission_structure'!$A$1:$I$1, 0)), 0)</f>
        <v>18750</v>
      </c>
      <c r="P330" s="11">
        <f>IF(G330&gt;H330, MIN(G330-H330, J330-H330)*
INDEX('2018_commission_structure'!$A$1:$I$4,
MATCH($D330, '2018_commission_structure'!$A$1:$A$4, 0),
MATCH(O$1, '2018_commission_structure'!$A$1:$I$1, 0)), 0)</f>
        <v>37500</v>
      </c>
      <c r="Q330" s="11">
        <f>IF(G330&gt;H330, MIN(G330-H330, I330-H330)*
INDEX('2018_commission_structure'!$A$1:$I$4,
MATCH($D330, '2018_commission_structure'!$A$1:$A$4, 0),
MATCH(P$1, '2018_commission_structure'!$A$1:$I$1, 0)), 0)</f>
        <v>22500</v>
      </c>
      <c r="R330" s="11">
        <f>IF(G330&gt;K330, (G330-K330) *
INDEX('2018_commission_structure'!$A$1:$I$4,
MATCH($D330, '2018_commission_structure'!$A$1:$A$4,0),
MATCH(R$1, '2018_commission_structure'!$A$1:$I$1,0)), 0)</f>
        <v>0</v>
      </c>
      <c r="S330" s="11">
        <f t="shared" si="35"/>
        <v>78750</v>
      </c>
      <c r="T330" s="11" cm="1">
        <f t="array" ref="T330">SUM(E330+O330:Q330)</f>
        <v>265320</v>
      </c>
    </row>
    <row r="331" spans="1:20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 xml:space="preserve"> COUNTIF(deals_closed!D:D,A331)</f>
        <v>14</v>
      </c>
      <c r="G331" s="5">
        <f>SUMIF(deals_closed!D:D, calculations!A331, deals_closed!C:C)</f>
        <v>497009</v>
      </c>
      <c r="H331" s="5">
        <f>VLOOKUP(D331,'2018_commission_structure'!$A$2:$I$4,9,FALSE)</f>
        <v>750000</v>
      </c>
      <c r="I331" s="9">
        <f t="shared" si="30"/>
        <v>937500</v>
      </c>
      <c r="J331" s="8">
        <f t="shared" si="31"/>
        <v>1125000</v>
      </c>
      <c r="K331" s="9">
        <f t="shared" si="32"/>
        <v>1500000</v>
      </c>
      <c r="L331" s="10">
        <f t="shared" si="33"/>
        <v>0.66267866666666664</v>
      </c>
      <c r="M331" t="str">
        <f t="shared" si="34"/>
        <v>0-100%</v>
      </c>
      <c r="N331" s="9">
        <f>MIN(H331, G331)*INDEX('2018_commission_structure'!$A$1:$I$4,
MATCH($D331, '2018_commission_structure'!$A$1:$A$4,0),
MATCH(N$1, '2018_commission_structure'!$A$1:$I$1,0))</f>
        <v>74551.349999999991</v>
      </c>
      <c r="O331" s="11">
        <f>IF(G331&gt;H331, MIN(G331-H331, I331-H331)*
INDEX('2018_commission_structure'!$A$1:$I$4,
MATCH($D331, '2018_commission_structure'!$A$1:$A$4, 0),
MATCH(O$1, '2018_commission_structure'!$A$1:$I$1, 0)), 0)</f>
        <v>0</v>
      </c>
      <c r="P331" s="11">
        <f>IF(G331&gt;H331, MIN(G331-H331, J331-H331)*
INDEX('2018_commission_structure'!$A$1:$I$4,
MATCH($D331, '2018_commission_structure'!$A$1:$A$4, 0),
MATCH(O$1, '2018_commission_structure'!$A$1:$I$1, 0)), 0)</f>
        <v>0</v>
      </c>
      <c r="Q331" s="11">
        <f>IF(G331&gt;H331, MIN(G331-H331, I331-H331)*
INDEX('2018_commission_structure'!$A$1:$I$4,
MATCH($D331, '2018_commission_structure'!$A$1:$A$4, 0),
MATCH(P$1, '2018_commission_structure'!$A$1:$I$1, 0)), 0)</f>
        <v>0</v>
      </c>
      <c r="R331" s="11">
        <f>IF(G331&gt;K331, (G331-K331) *
INDEX('2018_commission_structure'!$A$1:$I$4,
MATCH($D331, '2018_commission_structure'!$A$1:$A$4,0),
MATCH(R$1, '2018_commission_structure'!$A$1:$I$1,0)), 0)</f>
        <v>0</v>
      </c>
      <c r="S331" s="11">
        <f t="shared" si="35"/>
        <v>0</v>
      </c>
      <c r="T331" s="11" cm="1">
        <f t="array" ref="T331">SUM(E331+O331:Q331)</f>
        <v>304599</v>
      </c>
    </row>
    <row r="332" spans="1:20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 xml:space="preserve"> COUNTIF(deals_closed!D:D,A332)</f>
        <v>20</v>
      </c>
      <c r="G332" s="5">
        <f>SUMIF(deals_closed!D:D, calculations!A332, deals_closed!C:C)</f>
        <v>700449</v>
      </c>
      <c r="H332" s="5">
        <f>VLOOKUP(D332,'2018_commission_structure'!$A$2:$I$4,9,FALSE)</f>
        <v>750000</v>
      </c>
      <c r="I332" s="9">
        <f t="shared" si="30"/>
        <v>937500</v>
      </c>
      <c r="J332" s="8">
        <f t="shared" si="31"/>
        <v>1125000</v>
      </c>
      <c r="K332" s="9">
        <f t="shared" si="32"/>
        <v>1500000</v>
      </c>
      <c r="L332" s="10">
        <f t="shared" si="33"/>
        <v>0.93393199999999998</v>
      </c>
      <c r="M332" t="str">
        <f t="shared" si="34"/>
        <v>0-100%</v>
      </c>
      <c r="N332" s="9">
        <f>MIN(H332, G332)*INDEX('2018_commission_structure'!$A$1:$I$4,
MATCH($D332, '2018_commission_structure'!$A$1:$A$4,0),
MATCH(N$1, '2018_commission_structure'!$A$1:$I$1,0))</f>
        <v>105067.34999999999</v>
      </c>
      <c r="O332" s="11">
        <f>IF(G332&gt;H332, MIN(G332-H332, I332-H332)*
INDEX('2018_commission_structure'!$A$1:$I$4,
MATCH($D332, '2018_commission_structure'!$A$1:$A$4, 0),
MATCH(O$1, '2018_commission_structure'!$A$1:$I$1, 0)), 0)</f>
        <v>0</v>
      </c>
      <c r="P332" s="11">
        <f>IF(G332&gt;H332, MIN(G332-H332, J332-H332)*
INDEX('2018_commission_structure'!$A$1:$I$4,
MATCH($D332, '2018_commission_structure'!$A$1:$A$4, 0),
MATCH(O$1, '2018_commission_structure'!$A$1:$I$1, 0)), 0)</f>
        <v>0</v>
      </c>
      <c r="Q332" s="11">
        <f>IF(G332&gt;H332, MIN(G332-H332, I332-H332)*
INDEX('2018_commission_structure'!$A$1:$I$4,
MATCH($D332, '2018_commission_structure'!$A$1:$A$4, 0),
MATCH(P$1, '2018_commission_structure'!$A$1:$I$1, 0)), 0)</f>
        <v>0</v>
      </c>
      <c r="R332" s="11">
        <f>IF(G332&gt;K332, (G332-K332) *
INDEX('2018_commission_structure'!$A$1:$I$4,
MATCH($D332, '2018_commission_structure'!$A$1:$A$4,0),
MATCH(R$1, '2018_commission_structure'!$A$1:$I$1,0)), 0)</f>
        <v>0</v>
      </c>
      <c r="S332" s="11">
        <f t="shared" si="35"/>
        <v>0</v>
      </c>
      <c r="T332" s="11" cm="1">
        <f t="array" ref="T332">SUM(E332+O332:Q332)</f>
        <v>324498</v>
      </c>
    </row>
    <row r="333" spans="1:20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 xml:space="preserve"> COUNTIF(deals_closed!D:D,A333)</f>
        <v>16</v>
      </c>
      <c r="G333" s="5">
        <f>SUMIF(deals_closed!D:D, calculations!A333, deals_closed!C:C)</f>
        <v>580253</v>
      </c>
      <c r="H333" s="5">
        <f>VLOOKUP(D333,'2018_commission_structure'!$A$2:$I$4,9,FALSE)</f>
        <v>500000</v>
      </c>
      <c r="I333" s="9">
        <f t="shared" si="30"/>
        <v>625000</v>
      </c>
      <c r="J333" s="8">
        <f t="shared" si="31"/>
        <v>750000</v>
      </c>
      <c r="K333" s="9">
        <f t="shared" si="32"/>
        <v>1000000</v>
      </c>
      <c r="L333" s="10">
        <f t="shared" si="33"/>
        <v>1.160506</v>
      </c>
      <c r="M333" t="str">
        <f t="shared" si="34"/>
        <v>100-125%</v>
      </c>
      <c r="N333" s="9">
        <f>MIN(H333, G333)*INDEX('2018_commission_structure'!$A$1:$I$4,
MATCH($D333, '2018_commission_structure'!$A$1:$A$4,0),
MATCH(N$1, '2018_commission_structure'!$A$1:$I$1,0))</f>
        <v>50000</v>
      </c>
      <c r="O333" s="11">
        <f>IF(G333&gt;H333, MIN(G333-H333, I333-H333)*
INDEX('2018_commission_structure'!$A$1:$I$4,
MATCH($D333, '2018_commission_structure'!$A$1:$A$4, 0),
MATCH(O$1, '2018_commission_structure'!$A$1:$I$1, 0)), 0)</f>
        <v>12037.949999999999</v>
      </c>
      <c r="P333" s="11">
        <f>IF(G333&gt;H333, MIN(G333-H333, J333-H333)*
INDEX('2018_commission_structure'!$A$1:$I$4,
MATCH($D333, '2018_commission_structure'!$A$1:$A$4, 0),
MATCH(O$1, '2018_commission_structure'!$A$1:$I$1, 0)), 0)</f>
        <v>12037.949999999999</v>
      </c>
      <c r="Q333" s="11">
        <f>IF(G333&gt;H333, MIN(G333-H333, I333-H333)*
INDEX('2018_commission_structure'!$A$1:$I$4,
MATCH($D333, '2018_commission_structure'!$A$1:$A$4, 0),
MATCH(P$1, '2018_commission_structure'!$A$1:$I$1, 0)), 0)</f>
        <v>14445.539999999999</v>
      </c>
      <c r="R333" s="11">
        <f>IF(G333&gt;K333, (G333-K333) *
INDEX('2018_commission_structure'!$A$1:$I$4,
MATCH($D333, '2018_commission_structure'!$A$1:$A$4,0),
MATCH(R$1, '2018_commission_structure'!$A$1:$I$1,0)), 0)</f>
        <v>0</v>
      </c>
      <c r="S333" s="11">
        <f t="shared" si="35"/>
        <v>38521.439999999995</v>
      </c>
      <c r="T333" s="11" cm="1">
        <f t="array" ref="T333">SUM(E333+O333:Q333)</f>
        <v>187606.44</v>
      </c>
    </row>
    <row r="334" spans="1:20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 xml:space="preserve"> COUNTIF(deals_closed!D:D,A334)</f>
        <v>14</v>
      </c>
      <c r="G334" s="5">
        <f>SUMIF(deals_closed!D:D, calculations!A334, deals_closed!C:C)</f>
        <v>539738</v>
      </c>
      <c r="H334" s="5">
        <f>VLOOKUP(D334,'2018_commission_structure'!$A$2:$I$4,9,FALSE)</f>
        <v>750000</v>
      </c>
      <c r="I334" s="9">
        <f t="shared" si="30"/>
        <v>937500</v>
      </c>
      <c r="J334" s="8">
        <f t="shared" si="31"/>
        <v>1125000</v>
      </c>
      <c r="K334" s="9">
        <f t="shared" si="32"/>
        <v>1500000</v>
      </c>
      <c r="L334" s="10">
        <f t="shared" si="33"/>
        <v>0.71965066666666666</v>
      </c>
      <c r="M334" t="str">
        <f t="shared" si="34"/>
        <v>0-100%</v>
      </c>
      <c r="N334" s="9">
        <f>MIN(H334, G334)*INDEX('2018_commission_structure'!$A$1:$I$4,
MATCH($D334, '2018_commission_structure'!$A$1:$A$4,0),
MATCH(N$1, '2018_commission_structure'!$A$1:$I$1,0))</f>
        <v>80960.7</v>
      </c>
      <c r="O334" s="11">
        <f>IF(G334&gt;H334, MIN(G334-H334, I334-H334)*
INDEX('2018_commission_structure'!$A$1:$I$4,
MATCH($D334, '2018_commission_structure'!$A$1:$A$4, 0),
MATCH(O$1, '2018_commission_structure'!$A$1:$I$1, 0)), 0)</f>
        <v>0</v>
      </c>
      <c r="P334" s="11">
        <f>IF(G334&gt;H334, MIN(G334-H334, J334-H334)*
INDEX('2018_commission_structure'!$A$1:$I$4,
MATCH($D334, '2018_commission_structure'!$A$1:$A$4, 0),
MATCH(O$1, '2018_commission_structure'!$A$1:$I$1, 0)), 0)</f>
        <v>0</v>
      </c>
      <c r="Q334" s="11">
        <f>IF(G334&gt;H334, MIN(G334-H334, I334-H334)*
INDEX('2018_commission_structure'!$A$1:$I$4,
MATCH($D334, '2018_commission_structure'!$A$1:$A$4, 0),
MATCH(P$1, '2018_commission_structure'!$A$1:$I$1, 0)), 0)</f>
        <v>0</v>
      </c>
      <c r="R334" s="11">
        <f>IF(G334&gt;K334, (G334-K334) *
INDEX('2018_commission_structure'!$A$1:$I$4,
MATCH($D334, '2018_commission_structure'!$A$1:$A$4,0),
MATCH(R$1, '2018_commission_structure'!$A$1:$I$1,0)), 0)</f>
        <v>0</v>
      </c>
      <c r="S334" s="11">
        <f t="shared" si="35"/>
        <v>0</v>
      </c>
      <c r="T334" s="11" cm="1">
        <f t="array" ref="T334">SUM(E334+O334:Q334)</f>
        <v>245190</v>
      </c>
    </row>
    <row r="335" spans="1:20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 xml:space="preserve"> COUNTIF(deals_closed!D:D,A335)</f>
        <v>19</v>
      </c>
      <c r="G335" s="5">
        <f>SUMIF(deals_closed!D:D, calculations!A335, deals_closed!C:C)</f>
        <v>613625</v>
      </c>
      <c r="H335" s="5">
        <f>VLOOKUP(D335,'2018_commission_structure'!$A$2:$I$4,9,FALSE)</f>
        <v>600000</v>
      </c>
      <c r="I335" s="9">
        <f t="shared" si="30"/>
        <v>750000</v>
      </c>
      <c r="J335" s="8">
        <f t="shared" si="31"/>
        <v>900000</v>
      </c>
      <c r="K335" s="9">
        <f t="shared" si="32"/>
        <v>1200000</v>
      </c>
      <c r="L335" s="10">
        <f t="shared" si="33"/>
        <v>1.0227083333333333</v>
      </c>
      <c r="M335" t="str">
        <f t="shared" si="34"/>
        <v>100-125%</v>
      </c>
      <c r="N335" s="9">
        <f>MIN(H335, G335)*INDEX('2018_commission_structure'!$A$1:$I$4,
MATCH($D335, '2018_commission_structure'!$A$1:$A$4,0),
MATCH(N$1, '2018_commission_structure'!$A$1:$I$1,0))</f>
        <v>78000</v>
      </c>
      <c r="O335" s="11">
        <f>IF(G335&gt;H335, MIN(G335-H335, I335-H335)*
INDEX('2018_commission_structure'!$A$1:$I$4,
MATCH($D335, '2018_commission_structure'!$A$1:$A$4, 0),
MATCH(O$1, '2018_commission_structure'!$A$1:$I$1, 0)), 0)</f>
        <v>2316.25</v>
      </c>
      <c r="P335" s="11">
        <f>IF(G335&gt;H335, MIN(G335-H335, J335-H335)*
INDEX('2018_commission_structure'!$A$1:$I$4,
MATCH($D335, '2018_commission_structure'!$A$1:$A$4, 0),
MATCH(O$1, '2018_commission_structure'!$A$1:$I$1, 0)), 0)</f>
        <v>2316.25</v>
      </c>
      <c r="Q335" s="11">
        <f>IF(G335&gt;H335, MIN(G335-H335, I335-H335)*
INDEX('2018_commission_structure'!$A$1:$I$4,
MATCH($D335, '2018_commission_structure'!$A$1:$A$4, 0),
MATCH(P$1, '2018_commission_structure'!$A$1:$I$1, 0)), 0)</f>
        <v>2861.25</v>
      </c>
      <c r="R335" s="11">
        <f>IF(G335&gt;K335, (G335-K335) *
INDEX('2018_commission_structure'!$A$1:$I$4,
MATCH($D335, '2018_commission_structure'!$A$1:$A$4,0),
MATCH(R$1, '2018_commission_structure'!$A$1:$I$1,0)), 0)</f>
        <v>0</v>
      </c>
      <c r="S335" s="11">
        <f t="shared" si="35"/>
        <v>7493.75</v>
      </c>
      <c r="T335" s="11" cm="1">
        <f t="array" ref="T335">SUM(E335+O335:Q335)</f>
        <v>197993.75</v>
      </c>
    </row>
    <row r="336" spans="1:20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 xml:space="preserve"> COUNTIF(deals_closed!D:D,A336)</f>
        <v>21</v>
      </c>
      <c r="G336" s="5">
        <f>SUMIF(deals_closed!D:D, calculations!A336, deals_closed!C:C)</f>
        <v>853386</v>
      </c>
      <c r="H336" s="5">
        <f>VLOOKUP(D336,'2018_commission_structure'!$A$2:$I$4,9,FALSE)</f>
        <v>600000</v>
      </c>
      <c r="I336" s="9">
        <f t="shared" si="30"/>
        <v>750000</v>
      </c>
      <c r="J336" s="8">
        <f t="shared" si="31"/>
        <v>900000</v>
      </c>
      <c r="K336" s="9">
        <f t="shared" si="32"/>
        <v>1200000</v>
      </c>
      <c r="L336" s="10">
        <f t="shared" si="33"/>
        <v>1.42231</v>
      </c>
      <c r="M336" t="str">
        <f t="shared" si="34"/>
        <v>125-150%</v>
      </c>
      <c r="N336" s="9">
        <f>MIN(H336, G336)*INDEX('2018_commission_structure'!$A$1:$I$4,
MATCH($D336, '2018_commission_structure'!$A$1:$A$4,0),
MATCH(N$1, '2018_commission_structure'!$A$1:$I$1,0))</f>
        <v>78000</v>
      </c>
      <c r="O336" s="11">
        <f>IF(G336&gt;H336, MIN(G336-H336, I336-H336)*
INDEX('2018_commission_structure'!$A$1:$I$4,
MATCH($D336, '2018_commission_structure'!$A$1:$A$4, 0),
MATCH(O$1, '2018_commission_structure'!$A$1:$I$1, 0)), 0)</f>
        <v>25500.000000000004</v>
      </c>
      <c r="P336" s="11">
        <f>IF(G336&gt;H336, MIN(G336-H336, J336-H336)*
INDEX('2018_commission_structure'!$A$1:$I$4,
MATCH($D336, '2018_commission_structure'!$A$1:$A$4, 0),
MATCH(O$1, '2018_commission_structure'!$A$1:$I$1, 0)), 0)</f>
        <v>43075.62</v>
      </c>
      <c r="Q336" s="11">
        <f>IF(G336&gt;H336, MIN(G336-H336, I336-H336)*
INDEX('2018_commission_structure'!$A$1:$I$4,
MATCH($D336, '2018_commission_structure'!$A$1:$A$4, 0),
MATCH(P$1, '2018_commission_structure'!$A$1:$I$1, 0)), 0)</f>
        <v>31500</v>
      </c>
      <c r="R336" s="11">
        <f>IF(G336&gt;K336, (G336-K336) *
INDEX('2018_commission_structure'!$A$1:$I$4,
MATCH($D336, '2018_commission_structure'!$A$1:$A$4,0),
MATCH(R$1, '2018_commission_structure'!$A$1:$I$1,0)), 0)</f>
        <v>0</v>
      </c>
      <c r="S336" s="11">
        <f t="shared" si="35"/>
        <v>100075.62000000001</v>
      </c>
      <c r="T336" s="11" cm="1">
        <f t="array" ref="T336">SUM(E336+O336:Q336)</f>
        <v>259249.62</v>
      </c>
    </row>
    <row r="337" spans="1:20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 xml:space="preserve"> COUNTIF(deals_closed!D:D,A337)</f>
        <v>31</v>
      </c>
      <c r="G337" s="5">
        <f>SUMIF(deals_closed!D:D, calculations!A337, deals_closed!C:C)</f>
        <v>1280079</v>
      </c>
      <c r="H337" s="5">
        <f>VLOOKUP(D337,'2018_commission_structure'!$A$2:$I$4,9,FALSE)</f>
        <v>750000</v>
      </c>
      <c r="I337" s="9">
        <f t="shared" si="30"/>
        <v>937500</v>
      </c>
      <c r="J337" s="8">
        <f t="shared" si="31"/>
        <v>1125000</v>
      </c>
      <c r="K337" s="9">
        <f t="shared" si="32"/>
        <v>1500000</v>
      </c>
      <c r="L337" s="10">
        <f t="shared" si="33"/>
        <v>1.706772</v>
      </c>
      <c r="M337" t="str">
        <f t="shared" si="34"/>
        <v>150-200%</v>
      </c>
      <c r="N337" s="9">
        <f>MIN(H337, G337)*INDEX('2018_commission_structure'!$A$1:$I$4,
MATCH($D337, '2018_commission_structure'!$A$1:$A$4,0),
MATCH(N$1, '2018_commission_structure'!$A$1:$I$1,0))</f>
        <v>112500</v>
      </c>
      <c r="O337" s="11">
        <f>IF(G337&gt;H337, MIN(G337-H337, I337-H337)*
INDEX('2018_commission_structure'!$A$1:$I$4,
MATCH($D337, '2018_commission_structure'!$A$1:$A$4, 0),
MATCH(O$1, '2018_commission_structure'!$A$1:$I$1, 0)), 0)</f>
        <v>35625</v>
      </c>
      <c r="P337" s="11">
        <f>IF(G337&gt;H337, MIN(G337-H337, J337-H337)*
INDEX('2018_commission_structure'!$A$1:$I$4,
MATCH($D337, '2018_commission_structure'!$A$1:$A$4, 0),
MATCH(O$1, '2018_commission_structure'!$A$1:$I$1, 0)), 0)</f>
        <v>71250</v>
      </c>
      <c r="Q337" s="11">
        <f>IF(G337&gt;H337, MIN(G337-H337, I337-H337)*
INDEX('2018_commission_structure'!$A$1:$I$4,
MATCH($D337, '2018_commission_structure'!$A$1:$A$4, 0),
MATCH(P$1, '2018_commission_structure'!$A$1:$I$1, 0)), 0)</f>
        <v>43125</v>
      </c>
      <c r="R337" s="11">
        <f>IF(G337&gt;K337, (G337-K337) *
INDEX('2018_commission_structure'!$A$1:$I$4,
MATCH($D337, '2018_commission_structure'!$A$1:$A$4,0),
MATCH(R$1, '2018_commission_structure'!$A$1:$I$1,0)), 0)</f>
        <v>0</v>
      </c>
      <c r="S337" s="11">
        <f t="shared" si="35"/>
        <v>150000</v>
      </c>
      <c r="T337" s="11" cm="1">
        <f t="array" ref="T337">SUM(E337+O337:Q337)</f>
        <v>406764</v>
      </c>
    </row>
    <row r="338" spans="1:20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 xml:space="preserve"> COUNTIF(deals_closed!D:D,A338)</f>
        <v>17</v>
      </c>
      <c r="G338" s="5">
        <f>SUMIF(deals_closed!D:D, calculations!A338, deals_closed!C:C)</f>
        <v>520405</v>
      </c>
      <c r="H338" s="5">
        <f>VLOOKUP(D338,'2018_commission_structure'!$A$2:$I$4,9,FALSE)</f>
        <v>600000</v>
      </c>
      <c r="I338" s="9">
        <f t="shared" si="30"/>
        <v>750000</v>
      </c>
      <c r="J338" s="8">
        <f t="shared" si="31"/>
        <v>900000</v>
      </c>
      <c r="K338" s="9">
        <f t="shared" si="32"/>
        <v>1200000</v>
      </c>
      <c r="L338" s="10">
        <f t="shared" si="33"/>
        <v>0.86734166666666668</v>
      </c>
      <c r="M338" t="str">
        <f t="shared" si="34"/>
        <v>0-100%</v>
      </c>
      <c r="N338" s="9">
        <f>MIN(H338, G338)*INDEX('2018_commission_structure'!$A$1:$I$4,
MATCH($D338, '2018_commission_structure'!$A$1:$A$4,0),
MATCH(N$1, '2018_commission_structure'!$A$1:$I$1,0))</f>
        <v>67652.650000000009</v>
      </c>
      <c r="O338" s="11">
        <f>IF(G338&gt;H338, MIN(G338-H338, I338-H338)*
INDEX('2018_commission_structure'!$A$1:$I$4,
MATCH($D338, '2018_commission_structure'!$A$1:$A$4, 0),
MATCH(O$1, '2018_commission_structure'!$A$1:$I$1, 0)), 0)</f>
        <v>0</v>
      </c>
      <c r="P338" s="11">
        <f>IF(G338&gt;H338, MIN(G338-H338, J338-H338)*
INDEX('2018_commission_structure'!$A$1:$I$4,
MATCH($D338, '2018_commission_structure'!$A$1:$A$4, 0),
MATCH(O$1, '2018_commission_structure'!$A$1:$I$1, 0)), 0)</f>
        <v>0</v>
      </c>
      <c r="Q338" s="11">
        <f>IF(G338&gt;H338, MIN(G338-H338, I338-H338)*
INDEX('2018_commission_structure'!$A$1:$I$4,
MATCH($D338, '2018_commission_structure'!$A$1:$A$4, 0),
MATCH(P$1, '2018_commission_structure'!$A$1:$I$1, 0)), 0)</f>
        <v>0</v>
      </c>
      <c r="R338" s="11">
        <f>IF(G338&gt;K338, (G338-K338) *
INDEX('2018_commission_structure'!$A$1:$I$4,
MATCH($D338, '2018_commission_structure'!$A$1:$A$4,0),
MATCH(R$1, '2018_commission_structure'!$A$1:$I$1,0)), 0)</f>
        <v>0</v>
      </c>
      <c r="S338" s="11">
        <f t="shared" si="35"/>
        <v>0</v>
      </c>
      <c r="T338" s="11" cm="1">
        <f t="array" ref="T338">SUM(E338+O338:Q338)</f>
        <v>219579</v>
      </c>
    </row>
    <row r="339" spans="1:20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 xml:space="preserve"> COUNTIF(deals_closed!D:D,A339)</f>
        <v>15</v>
      </c>
      <c r="G339" s="5">
        <f>SUMIF(deals_closed!D:D, calculations!A339, deals_closed!C:C)</f>
        <v>463959</v>
      </c>
      <c r="H339" s="5">
        <f>VLOOKUP(D339,'2018_commission_structure'!$A$2:$I$4,9,FALSE)</f>
        <v>750000</v>
      </c>
      <c r="I339" s="9">
        <f t="shared" si="30"/>
        <v>937500</v>
      </c>
      <c r="J339" s="8">
        <f t="shared" si="31"/>
        <v>1125000</v>
      </c>
      <c r="K339" s="9">
        <f t="shared" si="32"/>
        <v>1500000</v>
      </c>
      <c r="L339" s="10">
        <f t="shared" si="33"/>
        <v>0.61861200000000005</v>
      </c>
      <c r="M339" t="str">
        <f t="shared" si="34"/>
        <v>0-100%</v>
      </c>
      <c r="N339" s="9">
        <f>MIN(H339, G339)*INDEX('2018_commission_structure'!$A$1:$I$4,
MATCH($D339, '2018_commission_structure'!$A$1:$A$4,0),
MATCH(N$1, '2018_commission_structure'!$A$1:$I$1,0))</f>
        <v>69593.849999999991</v>
      </c>
      <c r="O339" s="11">
        <f>IF(G339&gt;H339, MIN(G339-H339, I339-H339)*
INDEX('2018_commission_structure'!$A$1:$I$4,
MATCH($D339, '2018_commission_structure'!$A$1:$A$4, 0),
MATCH(O$1, '2018_commission_structure'!$A$1:$I$1, 0)), 0)</f>
        <v>0</v>
      </c>
      <c r="P339" s="11">
        <f>IF(G339&gt;H339, MIN(G339-H339, J339-H339)*
INDEX('2018_commission_structure'!$A$1:$I$4,
MATCH($D339, '2018_commission_structure'!$A$1:$A$4, 0),
MATCH(O$1, '2018_commission_structure'!$A$1:$I$1, 0)), 0)</f>
        <v>0</v>
      </c>
      <c r="Q339" s="11">
        <f>IF(G339&gt;H339, MIN(G339-H339, I339-H339)*
INDEX('2018_commission_structure'!$A$1:$I$4,
MATCH($D339, '2018_commission_structure'!$A$1:$A$4, 0),
MATCH(P$1, '2018_commission_structure'!$A$1:$I$1, 0)), 0)</f>
        <v>0</v>
      </c>
      <c r="R339" s="11">
        <f>IF(G339&gt;K339, (G339-K339) *
INDEX('2018_commission_structure'!$A$1:$I$4,
MATCH($D339, '2018_commission_structure'!$A$1:$A$4,0),
MATCH(R$1, '2018_commission_structure'!$A$1:$I$1,0)), 0)</f>
        <v>0</v>
      </c>
      <c r="S339" s="11">
        <f t="shared" si="35"/>
        <v>0</v>
      </c>
      <c r="T339" s="11" cm="1">
        <f t="array" ref="T339">SUM(E339+O339:Q339)</f>
        <v>232788</v>
      </c>
    </row>
    <row r="340" spans="1:20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 xml:space="preserve"> COUNTIF(deals_closed!D:D,A340)</f>
        <v>20</v>
      </c>
      <c r="G340" s="5">
        <f>SUMIF(deals_closed!D:D, calculations!A340, deals_closed!C:C)</f>
        <v>656820</v>
      </c>
      <c r="H340" s="5">
        <f>VLOOKUP(D340,'2018_commission_structure'!$A$2:$I$4,9,FALSE)</f>
        <v>500000</v>
      </c>
      <c r="I340" s="9">
        <f t="shared" si="30"/>
        <v>625000</v>
      </c>
      <c r="J340" s="8">
        <f t="shared" si="31"/>
        <v>750000</v>
      </c>
      <c r="K340" s="9">
        <f t="shared" si="32"/>
        <v>1000000</v>
      </c>
      <c r="L340" s="10">
        <f t="shared" si="33"/>
        <v>1.3136399999999999</v>
      </c>
      <c r="M340" t="str">
        <f t="shared" si="34"/>
        <v>125-150%</v>
      </c>
      <c r="N340" s="9">
        <f>MIN(H340, G340)*INDEX('2018_commission_structure'!$A$1:$I$4,
MATCH($D340, '2018_commission_structure'!$A$1:$A$4,0),
MATCH(N$1, '2018_commission_structure'!$A$1:$I$1,0))</f>
        <v>50000</v>
      </c>
      <c r="O340" s="11">
        <f>IF(G340&gt;H340, MIN(G340-H340, I340-H340)*
INDEX('2018_commission_structure'!$A$1:$I$4,
MATCH($D340, '2018_commission_structure'!$A$1:$A$4, 0),
MATCH(O$1, '2018_commission_structure'!$A$1:$I$1, 0)), 0)</f>
        <v>18750</v>
      </c>
      <c r="P340" s="11">
        <f>IF(G340&gt;H340, MIN(G340-H340, J340-H340)*
INDEX('2018_commission_structure'!$A$1:$I$4,
MATCH($D340, '2018_commission_structure'!$A$1:$A$4, 0),
MATCH(O$1, '2018_commission_structure'!$A$1:$I$1, 0)), 0)</f>
        <v>23523</v>
      </c>
      <c r="Q340" s="11">
        <f>IF(G340&gt;H340, MIN(G340-H340, I340-H340)*
INDEX('2018_commission_structure'!$A$1:$I$4,
MATCH($D340, '2018_commission_structure'!$A$1:$A$4, 0),
MATCH(P$1, '2018_commission_structure'!$A$1:$I$1, 0)), 0)</f>
        <v>22500</v>
      </c>
      <c r="R340" s="11">
        <f>IF(G340&gt;K340, (G340-K340) *
INDEX('2018_commission_structure'!$A$1:$I$4,
MATCH($D340, '2018_commission_structure'!$A$1:$A$4,0),
MATCH(R$1, '2018_commission_structure'!$A$1:$I$1,0)), 0)</f>
        <v>0</v>
      </c>
      <c r="S340" s="11">
        <f t="shared" si="35"/>
        <v>64773</v>
      </c>
      <c r="T340" s="11" cm="1">
        <f t="array" ref="T340">SUM(E340+O340:Q340)</f>
        <v>219276</v>
      </c>
    </row>
    <row r="341" spans="1:20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 xml:space="preserve"> COUNTIF(deals_closed!D:D,A341)</f>
        <v>24</v>
      </c>
      <c r="G341" s="5">
        <f>SUMIF(deals_closed!D:D, calculations!A341, deals_closed!C:C)</f>
        <v>937239</v>
      </c>
      <c r="H341" s="5">
        <f>VLOOKUP(D341,'2018_commission_structure'!$A$2:$I$4,9,FALSE)</f>
        <v>600000</v>
      </c>
      <c r="I341" s="9">
        <f t="shared" si="30"/>
        <v>750000</v>
      </c>
      <c r="J341" s="8">
        <f t="shared" si="31"/>
        <v>900000</v>
      </c>
      <c r="K341" s="9">
        <f t="shared" si="32"/>
        <v>1200000</v>
      </c>
      <c r="L341" s="10">
        <f t="shared" si="33"/>
        <v>1.562065</v>
      </c>
      <c r="M341" t="str">
        <f t="shared" si="34"/>
        <v>150-200%</v>
      </c>
      <c r="N341" s="9">
        <f>MIN(H341, G341)*INDEX('2018_commission_structure'!$A$1:$I$4,
MATCH($D341, '2018_commission_structure'!$A$1:$A$4,0),
MATCH(N$1, '2018_commission_structure'!$A$1:$I$1,0))</f>
        <v>78000</v>
      </c>
      <c r="O341" s="11">
        <f>IF(G341&gt;H341, MIN(G341-H341, I341-H341)*
INDEX('2018_commission_structure'!$A$1:$I$4,
MATCH($D341, '2018_commission_structure'!$A$1:$A$4, 0),
MATCH(O$1, '2018_commission_structure'!$A$1:$I$1, 0)), 0)</f>
        <v>25500.000000000004</v>
      </c>
      <c r="P341" s="11">
        <f>IF(G341&gt;H341, MIN(G341-H341, J341-H341)*
INDEX('2018_commission_structure'!$A$1:$I$4,
MATCH($D341, '2018_commission_structure'!$A$1:$A$4, 0),
MATCH(O$1, '2018_commission_structure'!$A$1:$I$1, 0)), 0)</f>
        <v>51000.000000000007</v>
      </c>
      <c r="Q341" s="11">
        <f>IF(G341&gt;H341, MIN(G341-H341, I341-H341)*
INDEX('2018_commission_structure'!$A$1:$I$4,
MATCH($D341, '2018_commission_structure'!$A$1:$A$4, 0),
MATCH(P$1, '2018_commission_structure'!$A$1:$I$1, 0)), 0)</f>
        <v>31500</v>
      </c>
      <c r="R341" s="11">
        <f>IF(G341&gt;K341, (G341-K341) *
INDEX('2018_commission_structure'!$A$1:$I$4,
MATCH($D341, '2018_commission_structure'!$A$1:$A$4,0),
MATCH(R$1, '2018_commission_structure'!$A$1:$I$1,0)), 0)</f>
        <v>0</v>
      </c>
      <c r="S341" s="11">
        <f t="shared" si="35"/>
        <v>108000.00000000001</v>
      </c>
      <c r="T341" s="11" cm="1">
        <f t="array" ref="T341">SUM(E341+O341:Q341)</f>
        <v>276195</v>
      </c>
    </row>
    <row r="342" spans="1:20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 xml:space="preserve"> COUNTIF(deals_closed!D:D,A342)</f>
        <v>16</v>
      </c>
      <c r="G342" s="5">
        <f>SUMIF(deals_closed!D:D, calculations!A342, deals_closed!C:C)</f>
        <v>495156</v>
      </c>
      <c r="H342" s="5">
        <f>VLOOKUP(D342,'2018_commission_structure'!$A$2:$I$4,9,FALSE)</f>
        <v>600000</v>
      </c>
      <c r="I342" s="9">
        <f t="shared" si="30"/>
        <v>750000</v>
      </c>
      <c r="J342" s="8">
        <f t="shared" si="31"/>
        <v>900000</v>
      </c>
      <c r="K342" s="9">
        <f t="shared" si="32"/>
        <v>1200000</v>
      </c>
      <c r="L342" s="10">
        <f t="shared" si="33"/>
        <v>0.82525999999999999</v>
      </c>
      <c r="M342" t="str">
        <f t="shared" si="34"/>
        <v>0-100%</v>
      </c>
      <c r="N342" s="9">
        <f>MIN(H342, G342)*INDEX('2018_commission_structure'!$A$1:$I$4,
MATCH($D342, '2018_commission_structure'!$A$1:$A$4,0),
MATCH(N$1, '2018_commission_structure'!$A$1:$I$1,0))</f>
        <v>64370.28</v>
      </c>
      <c r="O342" s="11">
        <f>IF(G342&gt;H342, MIN(G342-H342, I342-H342)*
INDEX('2018_commission_structure'!$A$1:$I$4,
MATCH($D342, '2018_commission_structure'!$A$1:$A$4, 0),
MATCH(O$1, '2018_commission_structure'!$A$1:$I$1, 0)), 0)</f>
        <v>0</v>
      </c>
      <c r="P342" s="11">
        <f>IF(G342&gt;H342, MIN(G342-H342, J342-H342)*
INDEX('2018_commission_structure'!$A$1:$I$4,
MATCH($D342, '2018_commission_structure'!$A$1:$A$4, 0),
MATCH(O$1, '2018_commission_structure'!$A$1:$I$1, 0)), 0)</f>
        <v>0</v>
      </c>
      <c r="Q342" s="11">
        <f>IF(G342&gt;H342, MIN(G342-H342, I342-H342)*
INDEX('2018_commission_structure'!$A$1:$I$4,
MATCH($D342, '2018_commission_structure'!$A$1:$A$4, 0),
MATCH(P$1, '2018_commission_structure'!$A$1:$I$1, 0)), 0)</f>
        <v>0</v>
      </c>
      <c r="R342" s="11">
        <f>IF(G342&gt;K342, (G342-K342) *
INDEX('2018_commission_structure'!$A$1:$I$4,
MATCH($D342, '2018_commission_structure'!$A$1:$A$4,0),
MATCH(R$1, '2018_commission_structure'!$A$1:$I$1,0)), 0)</f>
        <v>0</v>
      </c>
      <c r="S342" s="11">
        <f t="shared" si="35"/>
        <v>0</v>
      </c>
      <c r="T342" s="11" cm="1">
        <f t="array" ref="T342">SUM(E342+O342:Q342)</f>
        <v>153000</v>
      </c>
    </row>
    <row r="343" spans="1:20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 xml:space="preserve"> COUNTIF(deals_closed!D:D,A343)</f>
        <v>14</v>
      </c>
      <c r="G343" s="5">
        <f>SUMIF(deals_closed!D:D, calculations!A343, deals_closed!C:C)</f>
        <v>550691</v>
      </c>
      <c r="H343" s="5">
        <f>VLOOKUP(D343,'2018_commission_structure'!$A$2:$I$4,9,FALSE)</f>
        <v>500000</v>
      </c>
      <c r="I343" s="9">
        <f t="shared" si="30"/>
        <v>625000</v>
      </c>
      <c r="J343" s="8">
        <f t="shared" si="31"/>
        <v>750000</v>
      </c>
      <c r="K343" s="9">
        <f t="shared" si="32"/>
        <v>1000000</v>
      </c>
      <c r="L343" s="10">
        <f t="shared" si="33"/>
        <v>1.1013820000000001</v>
      </c>
      <c r="M343" t="str">
        <f t="shared" si="34"/>
        <v>100-125%</v>
      </c>
      <c r="N343" s="9">
        <f>MIN(H343, G343)*INDEX('2018_commission_structure'!$A$1:$I$4,
MATCH($D343, '2018_commission_structure'!$A$1:$A$4,0),
MATCH(N$1, '2018_commission_structure'!$A$1:$I$1,0))</f>
        <v>50000</v>
      </c>
      <c r="O343" s="11">
        <f>IF(G343&gt;H343, MIN(G343-H343, I343-H343)*
INDEX('2018_commission_structure'!$A$1:$I$4,
MATCH($D343, '2018_commission_structure'!$A$1:$A$4, 0),
MATCH(O$1, '2018_commission_structure'!$A$1:$I$1, 0)), 0)</f>
        <v>7603.65</v>
      </c>
      <c r="P343" s="11">
        <f>IF(G343&gt;H343, MIN(G343-H343, J343-H343)*
INDEX('2018_commission_structure'!$A$1:$I$4,
MATCH($D343, '2018_commission_structure'!$A$1:$A$4, 0),
MATCH(O$1, '2018_commission_structure'!$A$1:$I$1, 0)), 0)</f>
        <v>7603.65</v>
      </c>
      <c r="Q343" s="11">
        <f>IF(G343&gt;H343, MIN(G343-H343, I343-H343)*
INDEX('2018_commission_structure'!$A$1:$I$4,
MATCH($D343, '2018_commission_structure'!$A$1:$A$4, 0),
MATCH(P$1, '2018_commission_structure'!$A$1:$I$1, 0)), 0)</f>
        <v>9124.3799999999992</v>
      </c>
      <c r="R343" s="11">
        <f>IF(G343&gt;K343, (G343-K343) *
INDEX('2018_commission_structure'!$A$1:$I$4,
MATCH($D343, '2018_commission_structure'!$A$1:$A$4,0),
MATCH(R$1, '2018_commission_structure'!$A$1:$I$1,0)), 0)</f>
        <v>0</v>
      </c>
      <c r="S343" s="11">
        <f t="shared" si="35"/>
        <v>24331.68</v>
      </c>
      <c r="T343" s="11" cm="1">
        <f t="array" ref="T343">SUM(E343+O343:Q343)</f>
        <v>186688.68</v>
      </c>
    </row>
    <row r="344" spans="1:20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 xml:space="preserve"> COUNTIF(deals_closed!D:D,A344)</f>
        <v>22</v>
      </c>
      <c r="G344" s="5">
        <f>SUMIF(deals_closed!D:D, calculations!A344, deals_closed!C:C)</f>
        <v>789567</v>
      </c>
      <c r="H344" s="5">
        <f>VLOOKUP(D344,'2018_commission_structure'!$A$2:$I$4,9,FALSE)</f>
        <v>750000</v>
      </c>
      <c r="I344" s="9">
        <f t="shared" si="30"/>
        <v>937500</v>
      </c>
      <c r="J344" s="8">
        <f t="shared" si="31"/>
        <v>1125000</v>
      </c>
      <c r="K344" s="9">
        <f t="shared" si="32"/>
        <v>1500000</v>
      </c>
      <c r="L344" s="10">
        <f t="shared" si="33"/>
        <v>1.052756</v>
      </c>
      <c r="M344" t="str">
        <f t="shared" si="34"/>
        <v>100-125%</v>
      </c>
      <c r="N344" s="9">
        <f>MIN(H344, G344)*INDEX('2018_commission_structure'!$A$1:$I$4,
MATCH($D344, '2018_commission_structure'!$A$1:$A$4,0),
MATCH(N$1, '2018_commission_structure'!$A$1:$I$1,0))</f>
        <v>112500</v>
      </c>
      <c r="O344" s="11">
        <f>IF(G344&gt;H344, MIN(G344-H344, I344-H344)*
INDEX('2018_commission_structure'!$A$1:$I$4,
MATCH($D344, '2018_commission_structure'!$A$1:$A$4, 0),
MATCH(O$1, '2018_commission_structure'!$A$1:$I$1, 0)), 0)</f>
        <v>7517.7300000000005</v>
      </c>
      <c r="P344" s="11">
        <f>IF(G344&gt;H344, MIN(G344-H344, J344-H344)*
INDEX('2018_commission_structure'!$A$1:$I$4,
MATCH($D344, '2018_commission_structure'!$A$1:$A$4, 0),
MATCH(O$1, '2018_commission_structure'!$A$1:$I$1, 0)), 0)</f>
        <v>7517.7300000000005</v>
      </c>
      <c r="Q344" s="11">
        <f>IF(G344&gt;H344, MIN(G344-H344, I344-H344)*
INDEX('2018_commission_structure'!$A$1:$I$4,
MATCH($D344, '2018_commission_structure'!$A$1:$A$4, 0),
MATCH(P$1, '2018_commission_structure'!$A$1:$I$1, 0)), 0)</f>
        <v>9100.41</v>
      </c>
      <c r="R344" s="11">
        <f>IF(G344&gt;K344, (G344-K344) *
INDEX('2018_commission_structure'!$A$1:$I$4,
MATCH($D344, '2018_commission_structure'!$A$1:$A$4,0),
MATCH(R$1, '2018_commission_structure'!$A$1:$I$1,0)), 0)</f>
        <v>0</v>
      </c>
      <c r="S344" s="11">
        <f t="shared" si="35"/>
        <v>24135.870000000003</v>
      </c>
      <c r="T344" s="11" cm="1">
        <f t="array" ref="T344">SUM(E344+O344:Q344)</f>
        <v>320475.87</v>
      </c>
    </row>
    <row r="345" spans="1:20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 xml:space="preserve"> COUNTIF(deals_closed!D:D,A345)</f>
        <v>18</v>
      </c>
      <c r="G345" s="5">
        <f>SUMIF(deals_closed!D:D, calculations!A345, deals_closed!C:C)</f>
        <v>503681</v>
      </c>
      <c r="H345" s="5">
        <f>VLOOKUP(D345,'2018_commission_structure'!$A$2:$I$4,9,FALSE)</f>
        <v>600000</v>
      </c>
      <c r="I345" s="9">
        <f t="shared" si="30"/>
        <v>750000</v>
      </c>
      <c r="J345" s="8">
        <f t="shared" si="31"/>
        <v>900000</v>
      </c>
      <c r="K345" s="9">
        <f t="shared" si="32"/>
        <v>1200000</v>
      </c>
      <c r="L345" s="10">
        <f t="shared" si="33"/>
        <v>0.83946833333333337</v>
      </c>
      <c r="M345" t="str">
        <f t="shared" si="34"/>
        <v>0-100%</v>
      </c>
      <c r="N345" s="9">
        <f>MIN(H345, G345)*INDEX('2018_commission_structure'!$A$1:$I$4,
MATCH($D345, '2018_commission_structure'!$A$1:$A$4,0),
MATCH(N$1, '2018_commission_structure'!$A$1:$I$1,0))</f>
        <v>65478.53</v>
      </c>
      <c r="O345" s="11">
        <f>IF(G345&gt;H345, MIN(G345-H345, I345-H345)*
INDEX('2018_commission_structure'!$A$1:$I$4,
MATCH($D345, '2018_commission_structure'!$A$1:$A$4, 0),
MATCH(O$1, '2018_commission_structure'!$A$1:$I$1, 0)), 0)</f>
        <v>0</v>
      </c>
      <c r="P345" s="11">
        <f>IF(G345&gt;H345, MIN(G345-H345, J345-H345)*
INDEX('2018_commission_structure'!$A$1:$I$4,
MATCH($D345, '2018_commission_structure'!$A$1:$A$4, 0),
MATCH(O$1, '2018_commission_structure'!$A$1:$I$1, 0)), 0)</f>
        <v>0</v>
      </c>
      <c r="Q345" s="11">
        <f>IF(G345&gt;H345, MIN(G345-H345, I345-H345)*
INDEX('2018_commission_structure'!$A$1:$I$4,
MATCH($D345, '2018_commission_structure'!$A$1:$A$4, 0),
MATCH(P$1, '2018_commission_structure'!$A$1:$I$1, 0)), 0)</f>
        <v>0</v>
      </c>
      <c r="R345" s="11">
        <f>IF(G345&gt;K345, (G345-K345) *
INDEX('2018_commission_structure'!$A$1:$I$4,
MATCH($D345, '2018_commission_structure'!$A$1:$A$4,0),
MATCH(R$1, '2018_commission_structure'!$A$1:$I$1,0)), 0)</f>
        <v>0</v>
      </c>
      <c r="S345" s="11">
        <f t="shared" si="35"/>
        <v>0</v>
      </c>
      <c r="T345" s="11" cm="1">
        <f t="array" ref="T345">SUM(E345+O345:Q345)</f>
        <v>150009</v>
      </c>
    </row>
    <row r="346" spans="1:20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 xml:space="preserve"> COUNTIF(deals_closed!D:D,A346)</f>
        <v>23</v>
      </c>
      <c r="G346" s="5">
        <f>SUMIF(deals_closed!D:D, calculations!A346, deals_closed!C:C)</f>
        <v>734546</v>
      </c>
      <c r="H346" s="5">
        <f>VLOOKUP(D346,'2018_commission_structure'!$A$2:$I$4,9,FALSE)</f>
        <v>600000</v>
      </c>
      <c r="I346" s="9">
        <f t="shared" si="30"/>
        <v>750000</v>
      </c>
      <c r="J346" s="8">
        <f t="shared" si="31"/>
        <v>900000</v>
      </c>
      <c r="K346" s="9">
        <f t="shared" si="32"/>
        <v>1200000</v>
      </c>
      <c r="L346" s="10">
        <f t="shared" si="33"/>
        <v>1.2242433333333334</v>
      </c>
      <c r="M346" t="str">
        <f t="shared" si="34"/>
        <v>100-125%</v>
      </c>
      <c r="N346" s="9">
        <f>MIN(H346, G346)*INDEX('2018_commission_structure'!$A$1:$I$4,
MATCH($D346, '2018_commission_structure'!$A$1:$A$4,0),
MATCH(N$1, '2018_commission_structure'!$A$1:$I$1,0))</f>
        <v>78000</v>
      </c>
      <c r="O346" s="11">
        <f>IF(G346&gt;H346, MIN(G346-H346, I346-H346)*
INDEX('2018_commission_structure'!$A$1:$I$4,
MATCH($D346, '2018_commission_structure'!$A$1:$A$4, 0),
MATCH(O$1, '2018_commission_structure'!$A$1:$I$1, 0)), 0)</f>
        <v>22872.820000000003</v>
      </c>
      <c r="P346" s="11">
        <f>IF(G346&gt;H346, MIN(G346-H346, J346-H346)*
INDEX('2018_commission_structure'!$A$1:$I$4,
MATCH($D346, '2018_commission_structure'!$A$1:$A$4, 0),
MATCH(O$1, '2018_commission_structure'!$A$1:$I$1, 0)), 0)</f>
        <v>22872.820000000003</v>
      </c>
      <c r="Q346" s="11">
        <f>IF(G346&gt;H346, MIN(G346-H346, I346-H346)*
INDEX('2018_commission_structure'!$A$1:$I$4,
MATCH($D346, '2018_commission_structure'!$A$1:$A$4, 0),
MATCH(P$1, '2018_commission_structure'!$A$1:$I$1, 0)), 0)</f>
        <v>28254.66</v>
      </c>
      <c r="R346" s="11">
        <f>IF(G346&gt;K346, (G346-K346) *
INDEX('2018_commission_structure'!$A$1:$I$4,
MATCH($D346, '2018_commission_structure'!$A$1:$A$4,0),
MATCH(R$1, '2018_commission_structure'!$A$1:$I$1,0)), 0)</f>
        <v>0</v>
      </c>
      <c r="S346" s="11">
        <f t="shared" si="35"/>
        <v>74000.3</v>
      </c>
      <c r="T346" s="11" cm="1">
        <f t="array" ref="T346">SUM(E346+O346:Q346)</f>
        <v>249827.30000000002</v>
      </c>
    </row>
    <row r="347" spans="1:20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 xml:space="preserve"> COUNTIF(deals_closed!D:D,A347)</f>
        <v>15</v>
      </c>
      <c r="G347" s="5">
        <f>SUMIF(deals_closed!D:D, calculations!A347, deals_closed!C:C)</f>
        <v>493637</v>
      </c>
      <c r="H347" s="5">
        <f>VLOOKUP(D347,'2018_commission_structure'!$A$2:$I$4,9,FALSE)</f>
        <v>500000</v>
      </c>
      <c r="I347" s="9">
        <f t="shared" si="30"/>
        <v>625000</v>
      </c>
      <c r="J347" s="8">
        <f t="shared" si="31"/>
        <v>750000</v>
      </c>
      <c r="K347" s="9">
        <f t="shared" si="32"/>
        <v>1000000</v>
      </c>
      <c r="L347" s="10">
        <f t="shared" si="33"/>
        <v>0.98727399999999998</v>
      </c>
      <c r="M347" t="str">
        <f t="shared" si="34"/>
        <v>0-100%</v>
      </c>
      <c r="N347" s="9">
        <f>MIN(H347, G347)*INDEX('2018_commission_structure'!$A$1:$I$4,
MATCH($D347, '2018_commission_structure'!$A$1:$A$4,0),
MATCH(N$1, '2018_commission_structure'!$A$1:$I$1,0))</f>
        <v>49363.700000000004</v>
      </c>
      <c r="O347" s="11">
        <f>IF(G347&gt;H347, MIN(G347-H347, I347-H347)*
INDEX('2018_commission_structure'!$A$1:$I$4,
MATCH($D347, '2018_commission_structure'!$A$1:$A$4, 0),
MATCH(O$1, '2018_commission_structure'!$A$1:$I$1, 0)), 0)</f>
        <v>0</v>
      </c>
      <c r="P347" s="11">
        <f>IF(G347&gt;H347, MIN(G347-H347, J347-H347)*
INDEX('2018_commission_structure'!$A$1:$I$4,
MATCH($D347, '2018_commission_structure'!$A$1:$A$4, 0),
MATCH(O$1, '2018_commission_structure'!$A$1:$I$1, 0)), 0)</f>
        <v>0</v>
      </c>
      <c r="Q347" s="11">
        <f>IF(G347&gt;H347, MIN(G347-H347, I347-H347)*
INDEX('2018_commission_structure'!$A$1:$I$4,
MATCH($D347, '2018_commission_structure'!$A$1:$A$4, 0),
MATCH(P$1, '2018_commission_structure'!$A$1:$I$1, 0)), 0)</f>
        <v>0</v>
      </c>
      <c r="R347" s="11">
        <f>IF(G347&gt;K347, (G347-K347) *
INDEX('2018_commission_structure'!$A$1:$I$4,
MATCH($D347, '2018_commission_structure'!$A$1:$A$4,0),
MATCH(R$1, '2018_commission_structure'!$A$1:$I$1,0)), 0)</f>
        <v>0</v>
      </c>
      <c r="S347" s="11">
        <f t="shared" si="35"/>
        <v>0</v>
      </c>
      <c r="T347" s="11" cm="1">
        <f t="array" ref="T347">SUM(E347+O347:Q347)</f>
        <v>146607</v>
      </c>
    </row>
    <row r="348" spans="1:20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 xml:space="preserve"> COUNTIF(deals_closed!D:D,A348)</f>
        <v>21</v>
      </c>
      <c r="G348" s="5">
        <f>SUMIF(deals_closed!D:D, calculations!A348, deals_closed!C:C)</f>
        <v>664445</v>
      </c>
      <c r="H348" s="5">
        <f>VLOOKUP(D348,'2018_commission_structure'!$A$2:$I$4,9,FALSE)</f>
        <v>500000</v>
      </c>
      <c r="I348" s="9">
        <f t="shared" si="30"/>
        <v>625000</v>
      </c>
      <c r="J348" s="8">
        <f t="shared" si="31"/>
        <v>750000</v>
      </c>
      <c r="K348" s="9">
        <f t="shared" si="32"/>
        <v>1000000</v>
      </c>
      <c r="L348" s="10">
        <f t="shared" si="33"/>
        <v>1.3288899999999999</v>
      </c>
      <c r="M348" t="str">
        <f t="shared" si="34"/>
        <v>125-150%</v>
      </c>
      <c r="N348" s="9">
        <f>MIN(H348, G348)*INDEX('2018_commission_structure'!$A$1:$I$4,
MATCH($D348, '2018_commission_structure'!$A$1:$A$4,0),
MATCH(N$1, '2018_commission_structure'!$A$1:$I$1,0))</f>
        <v>50000</v>
      </c>
      <c r="O348" s="11">
        <f>IF(G348&gt;H348, MIN(G348-H348, I348-H348)*
INDEX('2018_commission_structure'!$A$1:$I$4,
MATCH($D348, '2018_commission_structure'!$A$1:$A$4, 0),
MATCH(O$1, '2018_commission_structure'!$A$1:$I$1, 0)), 0)</f>
        <v>18750</v>
      </c>
      <c r="P348" s="11">
        <f>IF(G348&gt;H348, MIN(G348-H348, J348-H348)*
INDEX('2018_commission_structure'!$A$1:$I$4,
MATCH($D348, '2018_commission_structure'!$A$1:$A$4, 0),
MATCH(O$1, '2018_commission_structure'!$A$1:$I$1, 0)), 0)</f>
        <v>24666.75</v>
      </c>
      <c r="Q348" s="11">
        <f>IF(G348&gt;H348, MIN(G348-H348, I348-H348)*
INDEX('2018_commission_structure'!$A$1:$I$4,
MATCH($D348, '2018_commission_structure'!$A$1:$A$4, 0),
MATCH(P$1, '2018_commission_structure'!$A$1:$I$1, 0)), 0)</f>
        <v>22500</v>
      </c>
      <c r="R348" s="11">
        <f>IF(G348&gt;K348, (G348-K348) *
INDEX('2018_commission_structure'!$A$1:$I$4,
MATCH($D348, '2018_commission_structure'!$A$1:$A$4,0),
MATCH(R$1, '2018_commission_structure'!$A$1:$I$1,0)), 0)</f>
        <v>0</v>
      </c>
      <c r="S348" s="11">
        <f t="shared" si="35"/>
        <v>65916.75</v>
      </c>
      <c r="T348" s="11" cm="1">
        <f t="array" ref="T348">SUM(E348+O348:Q348)</f>
        <v>215526.75</v>
      </c>
    </row>
    <row r="349" spans="1:20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 xml:space="preserve"> COUNTIF(deals_closed!D:D,A349)</f>
        <v>16</v>
      </c>
      <c r="G349" s="5">
        <f>SUMIF(deals_closed!D:D, calculations!A349, deals_closed!C:C)</f>
        <v>457979</v>
      </c>
      <c r="H349" s="5">
        <f>VLOOKUP(D349,'2018_commission_structure'!$A$2:$I$4,9,FALSE)</f>
        <v>600000</v>
      </c>
      <c r="I349" s="9">
        <f t="shared" si="30"/>
        <v>750000</v>
      </c>
      <c r="J349" s="8">
        <f t="shared" si="31"/>
        <v>900000</v>
      </c>
      <c r="K349" s="9">
        <f t="shared" si="32"/>
        <v>1200000</v>
      </c>
      <c r="L349" s="10">
        <f t="shared" si="33"/>
        <v>0.7632983333333333</v>
      </c>
      <c r="M349" t="str">
        <f t="shared" si="34"/>
        <v>0-100%</v>
      </c>
      <c r="N349" s="9">
        <f>MIN(H349, G349)*INDEX('2018_commission_structure'!$A$1:$I$4,
MATCH($D349, '2018_commission_structure'!$A$1:$A$4,0),
MATCH(N$1, '2018_commission_structure'!$A$1:$I$1,0))</f>
        <v>59537.270000000004</v>
      </c>
      <c r="O349" s="11">
        <f>IF(G349&gt;H349, MIN(G349-H349, I349-H349)*
INDEX('2018_commission_structure'!$A$1:$I$4,
MATCH($D349, '2018_commission_structure'!$A$1:$A$4, 0),
MATCH(O$1, '2018_commission_structure'!$A$1:$I$1, 0)), 0)</f>
        <v>0</v>
      </c>
      <c r="P349" s="11">
        <f>IF(G349&gt;H349, MIN(G349-H349, J349-H349)*
INDEX('2018_commission_structure'!$A$1:$I$4,
MATCH($D349, '2018_commission_structure'!$A$1:$A$4, 0),
MATCH(O$1, '2018_commission_structure'!$A$1:$I$1, 0)), 0)</f>
        <v>0</v>
      </c>
      <c r="Q349" s="11">
        <f>IF(G349&gt;H349, MIN(G349-H349, I349-H349)*
INDEX('2018_commission_structure'!$A$1:$I$4,
MATCH($D349, '2018_commission_structure'!$A$1:$A$4, 0),
MATCH(P$1, '2018_commission_structure'!$A$1:$I$1, 0)), 0)</f>
        <v>0</v>
      </c>
      <c r="R349" s="11">
        <f>IF(G349&gt;K349, (G349-K349) *
INDEX('2018_commission_structure'!$A$1:$I$4,
MATCH($D349, '2018_commission_structure'!$A$1:$A$4,0),
MATCH(R$1, '2018_commission_structure'!$A$1:$I$1,0)), 0)</f>
        <v>0</v>
      </c>
      <c r="S349" s="11">
        <f t="shared" si="35"/>
        <v>0</v>
      </c>
      <c r="T349" s="11" cm="1">
        <f t="array" ref="T349">SUM(E349+O349:Q349)</f>
        <v>226290</v>
      </c>
    </row>
    <row r="350" spans="1:20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 xml:space="preserve"> COUNTIF(deals_closed!D:D,A350)</f>
        <v>20</v>
      </c>
      <c r="G350" s="5">
        <f>SUMIF(deals_closed!D:D, calculations!A350, deals_closed!C:C)</f>
        <v>699440</v>
      </c>
      <c r="H350" s="5">
        <f>VLOOKUP(D350,'2018_commission_structure'!$A$2:$I$4,9,FALSE)</f>
        <v>750000</v>
      </c>
      <c r="I350" s="9">
        <f t="shared" si="30"/>
        <v>937500</v>
      </c>
      <c r="J350" s="8">
        <f t="shared" si="31"/>
        <v>1125000</v>
      </c>
      <c r="K350" s="9">
        <f t="shared" si="32"/>
        <v>1500000</v>
      </c>
      <c r="L350" s="10">
        <f t="shared" si="33"/>
        <v>0.93258666666666667</v>
      </c>
      <c r="M350" t="str">
        <f t="shared" si="34"/>
        <v>0-100%</v>
      </c>
      <c r="N350" s="9">
        <f>MIN(H350, G350)*INDEX('2018_commission_structure'!$A$1:$I$4,
MATCH($D350, '2018_commission_structure'!$A$1:$A$4,0),
MATCH(N$1, '2018_commission_structure'!$A$1:$I$1,0))</f>
        <v>104916</v>
      </c>
      <c r="O350" s="11">
        <f>IF(G350&gt;H350, MIN(G350-H350, I350-H350)*
INDEX('2018_commission_structure'!$A$1:$I$4,
MATCH($D350, '2018_commission_structure'!$A$1:$A$4, 0),
MATCH(O$1, '2018_commission_structure'!$A$1:$I$1, 0)), 0)</f>
        <v>0</v>
      </c>
      <c r="P350" s="11">
        <f>IF(G350&gt;H350, MIN(G350-H350, J350-H350)*
INDEX('2018_commission_structure'!$A$1:$I$4,
MATCH($D350, '2018_commission_structure'!$A$1:$A$4, 0),
MATCH(O$1, '2018_commission_structure'!$A$1:$I$1, 0)), 0)</f>
        <v>0</v>
      </c>
      <c r="Q350" s="11">
        <f>IF(G350&gt;H350, MIN(G350-H350, I350-H350)*
INDEX('2018_commission_structure'!$A$1:$I$4,
MATCH($D350, '2018_commission_structure'!$A$1:$A$4, 0),
MATCH(P$1, '2018_commission_structure'!$A$1:$I$1, 0)), 0)</f>
        <v>0</v>
      </c>
      <c r="R350" s="11">
        <f>IF(G350&gt;K350, (G350-K350) *
INDEX('2018_commission_structure'!$A$1:$I$4,
MATCH($D350, '2018_commission_structure'!$A$1:$A$4,0),
MATCH(R$1, '2018_commission_structure'!$A$1:$I$1,0)), 0)</f>
        <v>0</v>
      </c>
      <c r="S350" s="11">
        <f t="shared" si="35"/>
        <v>0</v>
      </c>
      <c r="T350" s="11" cm="1">
        <f t="array" ref="T350">SUM(E350+O350:Q350)</f>
        <v>262452</v>
      </c>
    </row>
    <row r="351" spans="1:20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 xml:space="preserve"> COUNTIF(deals_closed!D:D,A351)</f>
        <v>12</v>
      </c>
      <c r="G351" s="5">
        <f>SUMIF(deals_closed!D:D, calculations!A351, deals_closed!C:C)</f>
        <v>436501</v>
      </c>
      <c r="H351" s="5">
        <f>VLOOKUP(D351,'2018_commission_structure'!$A$2:$I$4,9,FALSE)</f>
        <v>750000</v>
      </c>
      <c r="I351" s="9">
        <f t="shared" si="30"/>
        <v>937500</v>
      </c>
      <c r="J351" s="8">
        <f t="shared" si="31"/>
        <v>1125000</v>
      </c>
      <c r="K351" s="9">
        <f t="shared" si="32"/>
        <v>1500000</v>
      </c>
      <c r="L351" s="10">
        <f t="shared" si="33"/>
        <v>0.58200133333333337</v>
      </c>
      <c r="M351" t="str">
        <f t="shared" si="34"/>
        <v>0-100%</v>
      </c>
      <c r="N351" s="9">
        <f>MIN(H351, G351)*INDEX('2018_commission_structure'!$A$1:$I$4,
MATCH($D351, '2018_commission_structure'!$A$1:$A$4,0),
MATCH(N$1, '2018_commission_structure'!$A$1:$I$1,0))</f>
        <v>65475.149999999994</v>
      </c>
      <c r="O351" s="11">
        <f>IF(G351&gt;H351, MIN(G351-H351, I351-H351)*
INDEX('2018_commission_structure'!$A$1:$I$4,
MATCH($D351, '2018_commission_structure'!$A$1:$A$4, 0),
MATCH(O$1, '2018_commission_structure'!$A$1:$I$1, 0)), 0)</f>
        <v>0</v>
      </c>
      <c r="P351" s="11">
        <f>IF(G351&gt;H351, MIN(G351-H351, J351-H351)*
INDEX('2018_commission_structure'!$A$1:$I$4,
MATCH($D351, '2018_commission_structure'!$A$1:$A$4, 0),
MATCH(O$1, '2018_commission_structure'!$A$1:$I$1, 0)), 0)</f>
        <v>0</v>
      </c>
      <c r="Q351" s="11">
        <f>IF(G351&gt;H351, MIN(G351-H351, I351-H351)*
INDEX('2018_commission_structure'!$A$1:$I$4,
MATCH($D351, '2018_commission_structure'!$A$1:$A$4, 0),
MATCH(P$1, '2018_commission_structure'!$A$1:$I$1, 0)), 0)</f>
        <v>0</v>
      </c>
      <c r="R351" s="11">
        <f>IF(G351&gt;K351, (G351-K351) *
INDEX('2018_commission_structure'!$A$1:$I$4,
MATCH($D351, '2018_commission_structure'!$A$1:$A$4,0),
MATCH(R$1, '2018_commission_structure'!$A$1:$I$1,0)), 0)</f>
        <v>0</v>
      </c>
      <c r="S351" s="11">
        <f t="shared" si="35"/>
        <v>0</v>
      </c>
      <c r="T351" s="11" cm="1">
        <f t="array" ref="T351">SUM(E351+O351:Q351)</f>
        <v>268902</v>
      </c>
    </row>
    <row r="352" spans="1:20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 xml:space="preserve"> COUNTIF(deals_closed!D:D,A352)</f>
        <v>21</v>
      </c>
      <c r="G352" s="5">
        <f>SUMIF(deals_closed!D:D, calculations!A352, deals_closed!C:C)</f>
        <v>780782</v>
      </c>
      <c r="H352" s="5">
        <f>VLOOKUP(D352,'2018_commission_structure'!$A$2:$I$4,9,FALSE)</f>
        <v>600000</v>
      </c>
      <c r="I352" s="9">
        <f t="shared" si="30"/>
        <v>750000</v>
      </c>
      <c r="J352" s="8">
        <f t="shared" si="31"/>
        <v>900000</v>
      </c>
      <c r="K352" s="9">
        <f t="shared" si="32"/>
        <v>1200000</v>
      </c>
      <c r="L352" s="10">
        <f t="shared" si="33"/>
        <v>1.3013033333333333</v>
      </c>
      <c r="M352" t="str">
        <f t="shared" si="34"/>
        <v>125-150%</v>
      </c>
      <c r="N352" s="9">
        <f>MIN(H352, G352)*INDEX('2018_commission_structure'!$A$1:$I$4,
MATCH($D352, '2018_commission_structure'!$A$1:$A$4,0),
MATCH(N$1, '2018_commission_structure'!$A$1:$I$1,0))</f>
        <v>78000</v>
      </c>
      <c r="O352" s="11">
        <f>IF(G352&gt;H352, MIN(G352-H352, I352-H352)*
INDEX('2018_commission_structure'!$A$1:$I$4,
MATCH($D352, '2018_commission_structure'!$A$1:$A$4, 0),
MATCH(O$1, '2018_commission_structure'!$A$1:$I$1, 0)), 0)</f>
        <v>25500.000000000004</v>
      </c>
      <c r="P352" s="11">
        <f>IF(G352&gt;H352, MIN(G352-H352, J352-H352)*
INDEX('2018_commission_structure'!$A$1:$I$4,
MATCH($D352, '2018_commission_structure'!$A$1:$A$4, 0),
MATCH(O$1, '2018_commission_structure'!$A$1:$I$1, 0)), 0)</f>
        <v>30732.940000000002</v>
      </c>
      <c r="Q352" s="11">
        <f>IF(G352&gt;H352, MIN(G352-H352, I352-H352)*
INDEX('2018_commission_structure'!$A$1:$I$4,
MATCH($D352, '2018_commission_structure'!$A$1:$A$4, 0),
MATCH(P$1, '2018_commission_structure'!$A$1:$I$1, 0)), 0)</f>
        <v>31500</v>
      </c>
      <c r="R352" s="11">
        <f>IF(G352&gt;K352, (G352-K352) *
INDEX('2018_commission_structure'!$A$1:$I$4,
MATCH($D352, '2018_commission_structure'!$A$1:$A$4,0),
MATCH(R$1, '2018_commission_structure'!$A$1:$I$1,0)), 0)</f>
        <v>0</v>
      </c>
      <c r="S352" s="11">
        <f t="shared" si="35"/>
        <v>87732.94</v>
      </c>
      <c r="T352" s="11" cm="1">
        <f t="array" ref="T352">SUM(E352+O352:Q352)</f>
        <v>305013.94</v>
      </c>
    </row>
    <row r="353" spans="1:20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 xml:space="preserve"> COUNTIF(deals_closed!D:D,A353)</f>
        <v>19</v>
      </c>
      <c r="G353" s="5">
        <f>SUMIF(deals_closed!D:D, calculations!A353, deals_closed!C:C)</f>
        <v>719544</v>
      </c>
      <c r="H353" s="5">
        <f>VLOOKUP(D353,'2018_commission_structure'!$A$2:$I$4,9,FALSE)</f>
        <v>600000</v>
      </c>
      <c r="I353" s="9">
        <f t="shared" si="30"/>
        <v>750000</v>
      </c>
      <c r="J353" s="8">
        <f t="shared" si="31"/>
        <v>900000</v>
      </c>
      <c r="K353" s="9">
        <f t="shared" si="32"/>
        <v>1200000</v>
      </c>
      <c r="L353" s="10">
        <f t="shared" si="33"/>
        <v>1.1992400000000001</v>
      </c>
      <c r="M353" t="str">
        <f t="shared" si="34"/>
        <v>100-125%</v>
      </c>
      <c r="N353" s="9">
        <f>MIN(H353, G353)*INDEX('2018_commission_structure'!$A$1:$I$4,
MATCH($D353, '2018_commission_structure'!$A$1:$A$4,0),
MATCH(N$1, '2018_commission_structure'!$A$1:$I$1,0))</f>
        <v>78000</v>
      </c>
      <c r="O353" s="11">
        <f>IF(G353&gt;H353, MIN(G353-H353, I353-H353)*
INDEX('2018_commission_structure'!$A$1:$I$4,
MATCH($D353, '2018_commission_structure'!$A$1:$A$4, 0),
MATCH(O$1, '2018_commission_structure'!$A$1:$I$1, 0)), 0)</f>
        <v>20322.480000000003</v>
      </c>
      <c r="P353" s="11">
        <f>IF(G353&gt;H353, MIN(G353-H353, J353-H353)*
INDEX('2018_commission_structure'!$A$1:$I$4,
MATCH($D353, '2018_commission_structure'!$A$1:$A$4, 0),
MATCH(O$1, '2018_commission_structure'!$A$1:$I$1, 0)), 0)</f>
        <v>20322.480000000003</v>
      </c>
      <c r="Q353" s="11">
        <f>IF(G353&gt;H353, MIN(G353-H353, I353-H353)*
INDEX('2018_commission_structure'!$A$1:$I$4,
MATCH($D353, '2018_commission_structure'!$A$1:$A$4, 0),
MATCH(P$1, '2018_commission_structure'!$A$1:$I$1, 0)), 0)</f>
        <v>25104.239999999998</v>
      </c>
      <c r="R353" s="11">
        <f>IF(G353&gt;K353, (G353-K353) *
INDEX('2018_commission_structure'!$A$1:$I$4,
MATCH($D353, '2018_commission_structure'!$A$1:$A$4,0),
MATCH(R$1, '2018_commission_structure'!$A$1:$I$1,0)), 0)</f>
        <v>0</v>
      </c>
      <c r="S353" s="11">
        <f t="shared" si="35"/>
        <v>65749.200000000012</v>
      </c>
      <c r="T353" s="11" cm="1">
        <f t="array" ref="T353">SUM(E353+O353:Q353)</f>
        <v>256705.2</v>
      </c>
    </row>
    <row r="354" spans="1:20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 xml:space="preserve"> COUNTIF(deals_closed!D:D,A354)</f>
        <v>22</v>
      </c>
      <c r="G354" s="5">
        <f>SUMIF(deals_closed!D:D, calculations!A354, deals_closed!C:C)</f>
        <v>780989</v>
      </c>
      <c r="H354" s="5">
        <f>VLOOKUP(D354,'2018_commission_structure'!$A$2:$I$4,9,FALSE)</f>
        <v>750000</v>
      </c>
      <c r="I354" s="9">
        <f t="shared" si="30"/>
        <v>937500</v>
      </c>
      <c r="J354" s="8">
        <f t="shared" si="31"/>
        <v>1125000</v>
      </c>
      <c r="K354" s="9">
        <f t="shared" si="32"/>
        <v>1500000</v>
      </c>
      <c r="L354" s="10">
        <f t="shared" si="33"/>
        <v>1.0413186666666667</v>
      </c>
      <c r="M354" t="str">
        <f t="shared" si="34"/>
        <v>100-125%</v>
      </c>
      <c r="N354" s="9">
        <f>MIN(H354, G354)*INDEX('2018_commission_structure'!$A$1:$I$4,
MATCH($D354, '2018_commission_structure'!$A$1:$A$4,0),
MATCH(N$1, '2018_commission_structure'!$A$1:$I$1,0))</f>
        <v>112500</v>
      </c>
      <c r="O354" s="11">
        <f>IF(G354&gt;H354, MIN(G354-H354, I354-H354)*
INDEX('2018_commission_structure'!$A$1:$I$4,
MATCH($D354, '2018_commission_structure'!$A$1:$A$4, 0),
MATCH(O$1, '2018_commission_structure'!$A$1:$I$1, 0)), 0)</f>
        <v>5887.91</v>
      </c>
      <c r="P354" s="11">
        <f>IF(G354&gt;H354, MIN(G354-H354, J354-H354)*
INDEX('2018_commission_structure'!$A$1:$I$4,
MATCH($D354, '2018_commission_structure'!$A$1:$A$4, 0),
MATCH(O$1, '2018_commission_structure'!$A$1:$I$1, 0)), 0)</f>
        <v>5887.91</v>
      </c>
      <c r="Q354" s="11">
        <f>IF(G354&gt;H354, MIN(G354-H354, I354-H354)*
INDEX('2018_commission_structure'!$A$1:$I$4,
MATCH($D354, '2018_commission_structure'!$A$1:$A$4, 0),
MATCH(P$1, '2018_commission_structure'!$A$1:$I$1, 0)), 0)</f>
        <v>7127.47</v>
      </c>
      <c r="R354" s="11">
        <f>IF(G354&gt;K354, (G354-K354) *
INDEX('2018_commission_structure'!$A$1:$I$4,
MATCH($D354, '2018_commission_structure'!$A$1:$A$4,0),
MATCH(R$1, '2018_commission_structure'!$A$1:$I$1,0)), 0)</f>
        <v>0</v>
      </c>
      <c r="S354" s="11">
        <f t="shared" si="35"/>
        <v>18903.29</v>
      </c>
      <c r="T354" s="11" cm="1">
        <f t="array" ref="T354">SUM(E354+O354:Q354)</f>
        <v>355803.29000000004</v>
      </c>
    </row>
    <row r="355" spans="1:20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 xml:space="preserve"> COUNTIF(deals_closed!D:D,A355)</f>
        <v>23</v>
      </c>
      <c r="G355" s="5">
        <f>SUMIF(deals_closed!D:D, calculations!A355, deals_closed!C:C)</f>
        <v>778322</v>
      </c>
      <c r="H355" s="5">
        <f>VLOOKUP(D355,'2018_commission_structure'!$A$2:$I$4,9,FALSE)</f>
        <v>600000</v>
      </c>
      <c r="I355" s="9">
        <f t="shared" si="30"/>
        <v>750000</v>
      </c>
      <c r="J355" s="8">
        <f t="shared" si="31"/>
        <v>900000</v>
      </c>
      <c r="K355" s="9">
        <f t="shared" si="32"/>
        <v>1200000</v>
      </c>
      <c r="L355" s="10">
        <f t="shared" si="33"/>
        <v>1.2972033333333333</v>
      </c>
      <c r="M355" t="str">
        <f t="shared" si="34"/>
        <v>125-150%</v>
      </c>
      <c r="N355" s="9">
        <f>MIN(H355, G355)*INDEX('2018_commission_structure'!$A$1:$I$4,
MATCH($D355, '2018_commission_structure'!$A$1:$A$4,0),
MATCH(N$1, '2018_commission_structure'!$A$1:$I$1,0))</f>
        <v>78000</v>
      </c>
      <c r="O355" s="11">
        <f>IF(G355&gt;H355, MIN(G355-H355, I355-H355)*
INDEX('2018_commission_structure'!$A$1:$I$4,
MATCH($D355, '2018_commission_structure'!$A$1:$A$4, 0),
MATCH(O$1, '2018_commission_structure'!$A$1:$I$1, 0)), 0)</f>
        <v>25500.000000000004</v>
      </c>
      <c r="P355" s="11">
        <f>IF(G355&gt;H355, MIN(G355-H355, J355-H355)*
INDEX('2018_commission_structure'!$A$1:$I$4,
MATCH($D355, '2018_commission_structure'!$A$1:$A$4, 0),
MATCH(O$1, '2018_commission_structure'!$A$1:$I$1, 0)), 0)</f>
        <v>30314.74</v>
      </c>
      <c r="Q355" s="11">
        <f>IF(G355&gt;H355, MIN(G355-H355, I355-H355)*
INDEX('2018_commission_structure'!$A$1:$I$4,
MATCH($D355, '2018_commission_structure'!$A$1:$A$4, 0),
MATCH(P$1, '2018_commission_structure'!$A$1:$I$1, 0)), 0)</f>
        <v>31500</v>
      </c>
      <c r="R355" s="11">
        <f>IF(G355&gt;K355, (G355-K355) *
INDEX('2018_commission_structure'!$A$1:$I$4,
MATCH($D355, '2018_commission_structure'!$A$1:$A$4,0),
MATCH(R$1, '2018_commission_structure'!$A$1:$I$1,0)), 0)</f>
        <v>0</v>
      </c>
      <c r="S355" s="11">
        <f t="shared" si="35"/>
        <v>87314.74</v>
      </c>
      <c r="T355" s="11" cm="1">
        <f t="array" ref="T355">SUM(E355+O355:Q355)</f>
        <v>259115.74</v>
      </c>
    </row>
    <row r="356" spans="1:20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 xml:space="preserve"> COUNTIF(deals_closed!D:D,A356)</f>
        <v>26</v>
      </c>
      <c r="G356" s="5">
        <f>SUMIF(deals_closed!D:D, calculations!A356, deals_closed!C:C)</f>
        <v>932920</v>
      </c>
      <c r="H356" s="5">
        <f>VLOOKUP(D356,'2018_commission_structure'!$A$2:$I$4,9,FALSE)</f>
        <v>600000</v>
      </c>
      <c r="I356" s="9">
        <f t="shared" si="30"/>
        <v>750000</v>
      </c>
      <c r="J356" s="8">
        <f t="shared" si="31"/>
        <v>900000</v>
      </c>
      <c r="K356" s="9">
        <f t="shared" si="32"/>
        <v>1200000</v>
      </c>
      <c r="L356" s="10">
        <f t="shared" si="33"/>
        <v>1.5548666666666666</v>
      </c>
      <c r="M356" t="str">
        <f t="shared" si="34"/>
        <v>150-200%</v>
      </c>
      <c r="N356" s="9">
        <f>MIN(H356, G356)*INDEX('2018_commission_structure'!$A$1:$I$4,
MATCH($D356, '2018_commission_structure'!$A$1:$A$4,0),
MATCH(N$1, '2018_commission_structure'!$A$1:$I$1,0))</f>
        <v>78000</v>
      </c>
      <c r="O356" s="11">
        <f>IF(G356&gt;H356, MIN(G356-H356, I356-H356)*
INDEX('2018_commission_structure'!$A$1:$I$4,
MATCH($D356, '2018_commission_structure'!$A$1:$A$4, 0),
MATCH(O$1, '2018_commission_structure'!$A$1:$I$1, 0)), 0)</f>
        <v>25500.000000000004</v>
      </c>
      <c r="P356" s="11">
        <f>IF(G356&gt;H356, MIN(G356-H356, J356-H356)*
INDEX('2018_commission_structure'!$A$1:$I$4,
MATCH($D356, '2018_commission_structure'!$A$1:$A$4, 0),
MATCH(O$1, '2018_commission_structure'!$A$1:$I$1, 0)), 0)</f>
        <v>51000.000000000007</v>
      </c>
      <c r="Q356" s="11">
        <f>IF(G356&gt;H356, MIN(G356-H356, I356-H356)*
INDEX('2018_commission_structure'!$A$1:$I$4,
MATCH($D356, '2018_commission_structure'!$A$1:$A$4, 0),
MATCH(P$1, '2018_commission_structure'!$A$1:$I$1, 0)), 0)</f>
        <v>31500</v>
      </c>
      <c r="R356" s="11">
        <f>IF(G356&gt;K356, (G356-K356) *
INDEX('2018_commission_structure'!$A$1:$I$4,
MATCH($D356, '2018_commission_structure'!$A$1:$A$4,0),
MATCH(R$1, '2018_commission_structure'!$A$1:$I$1,0)), 0)</f>
        <v>0</v>
      </c>
      <c r="S356" s="11">
        <f t="shared" si="35"/>
        <v>108000.00000000001</v>
      </c>
      <c r="T356" s="11" cm="1">
        <f t="array" ref="T356">SUM(E356+O356:Q356)</f>
        <v>345426</v>
      </c>
    </row>
    <row r="357" spans="1:20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 xml:space="preserve"> COUNTIF(deals_closed!D:D,A357)</f>
        <v>16</v>
      </c>
      <c r="G357" s="5">
        <f>SUMIF(deals_closed!D:D, calculations!A357, deals_closed!C:C)</f>
        <v>642284</v>
      </c>
      <c r="H357" s="5">
        <f>VLOOKUP(D357,'2018_commission_structure'!$A$2:$I$4,9,FALSE)</f>
        <v>600000</v>
      </c>
      <c r="I357" s="9">
        <f t="shared" si="30"/>
        <v>750000</v>
      </c>
      <c r="J357" s="8">
        <f t="shared" si="31"/>
        <v>900000</v>
      </c>
      <c r="K357" s="9">
        <f t="shared" si="32"/>
        <v>1200000</v>
      </c>
      <c r="L357" s="10">
        <f t="shared" si="33"/>
        <v>1.0704733333333334</v>
      </c>
      <c r="M357" t="str">
        <f t="shared" si="34"/>
        <v>100-125%</v>
      </c>
      <c r="N357" s="9">
        <f>MIN(H357, G357)*INDEX('2018_commission_structure'!$A$1:$I$4,
MATCH($D357, '2018_commission_structure'!$A$1:$A$4,0),
MATCH(N$1, '2018_commission_structure'!$A$1:$I$1,0))</f>
        <v>78000</v>
      </c>
      <c r="O357" s="11">
        <f>IF(G357&gt;H357, MIN(G357-H357, I357-H357)*
INDEX('2018_commission_structure'!$A$1:$I$4,
MATCH($D357, '2018_commission_structure'!$A$1:$A$4, 0),
MATCH(O$1, '2018_commission_structure'!$A$1:$I$1, 0)), 0)</f>
        <v>7188.2800000000007</v>
      </c>
      <c r="P357" s="11">
        <f>IF(G357&gt;H357, MIN(G357-H357, J357-H357)*
INDEX('2018_commission_structure'!$A$1:$I$4,
MATCH($D357, '2018_commission_structure'!$A$1:$A$4, 0),
MATCH(O$1, '2018_commission_structure'!$A$1:$I$1, 0)), 0)</f>
        <v>7188.2800000000007</v>
      </c>
      <c r="Q357" s="11">
        <f>IF(G357&gt;H357, MIN(G357-H357, I357-H357)*
INDEX('2018_commission_structure'!$A$1:$I$4,
MATCH($D357, '2018_commission_structure'!$A$1:$A$4, 0),
MATCH(P$1, '2018_commission_structure'!$A$1:$I$1, 0)), 0)</f>
        <v>8879.64</v>
      </c>
      <c r="R357" s="11">
        <f>IF(G357&gt;K357, (G357-K357) *
INDEX('2018_commission_structure'!$A$1:$I$4,
MATCH($D357, '2018_commission_structure'!$A$1:$A$4,0),
MATCH(R$1, '2018_commission_structure'!$A$1:$I$1,0)), 0)</f>
        <v>0</v>
      </c>
      <c r="S357" s="11">
        <f t="shared" si="35"/>
        <v>23256.2</v>
      </c>
      <c r="T357" s="11" cm="1">
        <f t="array" ref="T357">SUM(E357+O357:Q357)</f>
        <v>176445.2</v>
      </c>
    </row>
    <row r="358" spans="1:20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 xml:space="preserve"> COUNTIF(deals_closed!D:D,A358)</f>
        <v>22</v>
      </c>
      <c r="G358" s="5">
        <f>SUMIF(deals_closed!D:D, calculations!A358, deals_closed!C:C)</f>
        <v>736143</v>
      </c>
      <c r="H358" s="5">
        <f>VLOOKUP(D358,'2018_commission_structure'!$A$2:$I$4,9,FALSE)</f>
        <v>600000</v>
      </c>
      <c r="I358" s="9">
        <f t="shared" si="30"/>
        <v>750000</v>
      </c>
      <c r="J358" s="8">
        <f t="shared" si="31"/>
        <v>900000</v>
      </c>
      <c r="K358" s="9">
        <f t="shared" si="32"/>
        <v>1200000</v>
      </c>
      <c r="L358" s="10">
        <f t="shared" si="33"/>
        <v>1.2269049999999999</v>
      </c>
      <c r="M358" t="str">
        <f t="shared" si="34"/>
        <v>100-125%</v>
      </c>
      <c r="N358" s="9">
        <f>MIN(H358, G358)*INDEX('2018_commission_structure'!$A$1:$I$4,
MATCH($D358, '2018_commission_structure'!$A$1:$A$4,0),
MATCH(N$1, '2018_commission_structure'!$A$1:$I$1,0))</f>
        <v>78000</v>
      </c>
      <c r="O358" s="11">
        <f>IF(G358&gt;H358, MIN(G358-H358, I358-H358)*
INDEX('2018_commission_structure'!$A$1:$I$4,
MATCH($D358, '2018_commission_structure'!$A$1:$A$4, 0),
MATCH(O$1, '2018_commission_structure'!$A$1:$I$1, 0)), 0)</f>
        <v>23144.31</v>
      </c>
      <c r="P358" s="11">
        <f>IF(G358&gt;H358, MIN(G358-H358, J358-H358)*
INDEX('2018_commission_structure'!$A$1:$I$4,
MATCH($D358, '2018_commission_structure'!$A$1:$A$4, 0),
MATCH(O$1, '2018_commission_structure'!$A$1:$I$1, 0)), 0)</f>
        <v>23144.31</v>
      </c>
      <c r="Q358" s="11">
        <f>IF(G358&gt;H358, MIN(G358-H358, I358-H358)*
INDEX('2018_commission_structure'!$A$1:$I$4,
MATCH($D358, '2018_commission_structure'!$A$1:$A$4, 0),
MATCH(P$1, '2018_commission_structure'!$A$1:$I$1, 0)), 0)</f>
        <v>28590.03</v>
      </c>
      <c r="R358" s="11">
        <f>IF(G358&gt;K358, (G358-K358) *
INDEX('2018_commission_structure'!$A$1:$I$4,
MATCH($D358, '2018_commission_structure'!$A$1:$A$4,0),
MATCH(R$1, '2018_commission_structure'!$A$1:$I$1,0)), 0)</f>
        <v>0</v>
      </c>
      <c r="S358" s="11">
        <f t="shared" si="35"/>
        <v>74878.649999999994</v>
      </c>
      <c r="T358" s="11" cm="1">
        <f t="array" ref="T358">SUM(E358+O358:Q358)</f>
        <v>299974.65000000002</v>
      </c>
    </row>
    <row r="359" spans="1:20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 xml:space="preserve"> COUNTIF(deals_closed!D:D,A359)</f>
        <v>16</v>
      </c>
      <c r="G359" s="5">
        <f>SUMIF(deals_closed!D:D, calculations!A359, deals_closed!C:C)</f>
        <v>551148</v>
      </c>
      <c r="H359" s="5">
        <f>VLOOKUP(D359,'2018_commission_structure'!$A$2:$I$4,9,FALSE)</f>
        <v>600000</v>
      </c>
      <c r="I359" s="9">
        <f t="shared" si="30"/>
        <v>750000</v>
      </c>
      <c r="J359" s="8">
        <f t="shared" si="31"/>
        <v>900000</v>
      </c>
      <c r="K359" s="9">
        <f t="shared" si="32"/>
        <v>1200000</v>
      </c>
      <c r="L359" s="10">
        <f t="shared" si="33"/>
        <v>0.91857999999999995</v>
      </c>
      <c r="M359" t="str">
        <f t="shared" si="34"/>
        <v>0-100%</v>
      </c>
      <c r="N359" s="9">
        <f>MIN(H359, G359)*INDEX('2018_commission_structure'!$A$1:$I$4,
MATCH($D359, '2018_commission_structure'!$A$1:$A$4,0),
MATCH(N$1, '2018_commission_structure'!$A$1:$I$1,0))</f>
        <v>71649.240000000005</v>
      </c>
      <c r="O359" s="11">
        <f>IF(G359&gt;H359, MIN(G359-H359, I359-H359)*
INDEX('2018_commission_structure'!$A$1:$I$4,
MATCH($D359, '2018_commission_structure'!$A$1:$A$4, 0),
MATCH(O$1, '2018_commission_structure'!$A$1:$I$1, 0)), 0)</f>
        <v>0</v>
      </c>
      <c r="P359" s="11">
        <f>IF(G359&gt;H359, MIN(G359-H359, J359-H359)*
INDEX('2018_commission_structure'!$A$1:$I$4,
MATCH($D359, '2018_commission_structure'!$A$1:$A$4, 0),
MATCH(O$1, '2018_commission_structure'!$A$1:$I$1, 0)), 0)</f>
        <v>0</v>
      </c>
      <c r="Q359" s="11">
        <f>IF(G359&gt;H359, MIN(G359-H359, I359-H359)*
INDEX('2018_commission_structure'!$A$1:$I$4,
MATCH($D359, '2018_commission_structure'!$A$1:$A$4, 0),
MATCH(P$1, '2018_commission_structure'!$A$1:$I$1, 0)), 0)</f>
        <v>0</v>
      </c>
      <c r="R359" s="11">
        <f>IF(G359&gt;K359, (G359-K359) *
INDEX('2018_commission_structure'!$A$1:$I$4,
MATCH($D359, '2018_commission_structure'!$A$1:$A$4,0),
MATCH(R$1, '2018_commission_structure'!$A$1:$I$1,0)), 0)</f>
        <v>0</v>
      </c>
      <c r="S359" s="11">
        <f t="shared" si="35"/>
        <v>0</v>
      </c>
      <c r="T359" s="11" cm="1">
        <f t="array" ref="T359">SUM(E359+O359:Q359)</f>
        <v>198726</v>
      </c>
    </row>
    <row r="360" spans="1:20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 xml:space="preserve"> COUNTIF(deals_closed!D:D,A360)</f>
        <v>18</v>
      </c>
      <c r="G360" s="5">
        <f>SUMIF(deals_closed!D:D, calculations!A360, deals_closed!C:C)</f>
        <v>669220</v>
      </c>
      <c r="H360" s="5">
        <f>VLOOKUP(D360,'2018_commission_structure'!$A$2:$I$4,9,FALSE)</f>
        <v>750000</v>
      </c>
      <c r="I360" s="9">
        <f t="shared" si="30"/>
        <v>937500</v>
      </c>
      <c r="J360" s="8">
        <f t="shared" si="31"/>
        <v>1125000</v>
      </c>
      <c r="K360" s="9">
        <f t="shared" si="32"/>
        <v>1500000</v>
      </c>
      <c r="L360" s="10">
        <f t="shared" si="33"/>
        <v>0.89229333333333338</v>
      </c>
      <c r="M360" t="str">
        <f t="shared" si="34"/>
        <v>0-100%</v>
      </c>
      <c r="N360" s="9">
        <f>MIN(H360, G360)*INDEX('2018_commission_structure'!$A$1:$I$4,
MATCH($D360, '2018_commission_structure'!$A$1:$A$4,0),
MATCH(N$1, '2018_commission_structure'!$A$1:$I$1,0))</f>
        <v>100383</v>
      </c>
      <c r="O360" s="11">
        <f>IF(G360&gt;H360, MIN(G360-H360, I360-H360)*
INDEX('2018_commission_structure'!$A$1:$I$4,
MATCH($D360, '2018_commission_structure'!$A$1:$A$4, 0),
MATCH(O$1, '2018_commission_structure'!$A$1:$I$1, 0)), 0)</f>
        <v>0</v>
      </c>
      <c r="P360" s="11">
        <f>IF(G360&gt;H360, MIN(G360-H360, J360-H360)*
INDEX('2018_commission_structure'!$A$1:$I$4,
MATCH($D360, '2018_commission_structure'!$A$1:$A$4, 0),
MATCH(O$1, '2018_commission_structure'!$A$1:$I$1, 0)), 0)</f>
        <v>0</v>
      </c>
      <c r="Q360" s="11">
        <f>IF(G360&gt;H360, MIN(G360-H360, I360-H360)*
INDEX('2018_commission_structure'!$A$1:$I$4,
MATCH($D360, '2018_commission_structure'!$A$1:$A$4, 0),
MATCH(P$1, '2018_commission_structure'!$A$1:$I$1, 0)), 0)</f>
        <v>0</v>
      </c>
      <c r="R360" s="11">
        <f>IF(G360&gt;K360, (G360-K360) *
INDEX('2018_commission_structure'!$A$1:$I$4,
MATCH($D360, '2018_commission_structure'!$A$1:$A$4,0),
MATCH(R$1, '2018_commission_structure'!$A$1:$I$1,0)), 0)</f>
        <v>0</v>
      </c>
      <c r="S360" s="11">
        <f t="shared" si="35"/>
        <v>0</v>
      </c>
      <c r="T360" s="11" cm="1">
        <f t="array" ref="T360">SUM(E360+O360:Q360)</f>
        <v>267885</v>
      </c>
    </row>
    <row r="361" spans="1:20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 xml:space="preserve"> COUNTIF(deals_closed!D:D,A361)</f>
        <v>20</v>
      </c>
      <c r="G361" s="5">
        <f>SUMIF(deals_closed!D:D, calculations!A361, deals_closed!C:C)</f>
        <v>830753</v>
      </c>
      <c r="H361" s="5">
        <f>VLOOKUP(D361,'2018_commission_structure'!$A$2:$I$4,9,FALSE)</f>
        <v>500000</v>
      </c>
      <c r="I361" s="9">
        <f t="shared" si="30"/>
        <v>625000</v>
      </c>
      <c r="J361" s="8">
        <f t="shared" si="31"/>
        <v>750000</v>
      </c>
      <c r="K361" s="9">
        <f t="shared" si="32"/>
        <v>1000000</v>
      </c>
      <c r="L361" s="10">
        <f t="shared" si="33"/>
        <v>1.6615059999999999</v>
      </c>
      <c r="M361" t="str">
        <f t="shared" si="34"/>
        <v>150-200%</v>
      </c>
      <c r="N361" s="9">
        <f>MIN(H361, G361)*INDEX('2018_commission_structure'!$A$1:$I$4,
MATCH($D361, '2018_commission_structure'!$A$1:$A$4,0),
MATCH(N$1, '2018_commission_structure'!$A$1:$I$1,0))</f>
        <v>50000</v>
      </c>
      <c r="O361" s="11">
        <f>IF(G361&gt;H361, MIN(G361-H361, I361-H361)*
INDEX('2018_commission_structure'!$A$1:$I$4,
MATCH($D361, '2018_commission_structure'!$A$1:$A$4, 0),
MATCH(O$1, '2018_commission_structure'!$A$1:$I$1, 0)), 0)</f>
        <v>18750</v>
      </c>
      <c r="P361" s="11">
        <f>IF(G361&gt;H361, MIN(G361-H361, J361-H361)*
INDEX('2018_commission_structure'!$A$1:$I$4,
MATCH($D361, '2018_commission_structure'!$A$1:$A$4, 0),
MATCH(O$1, '2018_commission_structure'!$A$1:$I$1, 0)), 0)</f>
        <v>37500</v>
      </c>
      <c r="Q361" s="11">
        <f>IF(G361&gt;H361, MIN(G361-H361, I361-H361)*
INDEX('2018_commission_structure'!$A$1:$I$4,
MATCH($D361, '2018_commission_structure'!$A$1:$A$4, 0),
MATCH(P$1, '2018_commission_structure'!$A$1:$I$1, 0)), 0)</f>
        <v>22500</v>
      </c>
      <c r="R361" s="11">
        <f>IF(G361&gt;K361, (G361-K361) *
INDEX('2018_commission_structure'!$A$1:$I$4,
MATCH($D361, '2018_commission_structure'!$A$1:$A$4,0),
MATCH(R$1, '2018_commission_structure'!$A$1:$I$1,0)), 0)</f>
        <v>0</v>
      </c>
      <c r="S361" s="11">
        <f t="shared" si="35"/>
        <v>78750</v>
      </c>
      <c r="T361" s="11" cm="1">
        <f t="array" ref="T361">SUM(E361+O361:Q361)</f>
        <v>175701</v>
      </c>
    </row>
    <row r="362" spans="1:20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 xml:space="preserve"> COUNTIF(deals_closed!D:D,A362)</f>
        <v>14</v>
      </c>
      <c r="G362" s="5">
        <f>SUMIF(deals_closed!D:D, calculations!A362, deals_closed!C:C)</f>
        <v>475694</v>
      </c>
      <c r="H362" s="5">
        <f>VLOOKUP(D362,'2018_commission_structure'!$A$2:$I$4,9,FALSE)</f>
        <v>500000</v>
      </c>
      <c r="I362" s="9">
        <f t="shared" si="30"/>
        <v>625000</v>
      </c>
      <c r="J362" s="8">
        <f t="shared" si="31"/>
        <v>750000</v>
      </c>
      <c r="K362" s="9">
        <f t="shared" si="32"/>
        <v>1000000</v>
      </c>
      <c r="L362" s="10">
        <f t="shared" si="33"/>
        <v>0.95138800000000001</v>
      </c>
      <c r="M362" t="str">
        <f t="shared" si="34"/>
        <v>0-100%</v>
      </c>
      <c r="N362" s="9">
        <f>MIN(H362, G362)*INDEX('2018_commission_structure'!$A$1:$I$4,
MATCH($D362, '2018_commission_structure'!$A$1:$A$4,0),
MATCH(N$1, '2018_commission_structure'!$A$1:$I$1,0))</f>
        <v>47569.4</v>
      </c>
      <c r="O362" s="11">
        <f>IF(G362&gt;H362, MIN(G362-H362, I362-H362)*
INDEX('2018_commission_structure'!$A$1:$I$4,
MATCH($D362, '2018_commission_structure'!$A$1:$A$4, 0),
MATCH(O$1, '2018_commission_structure'!$A$1:$I$1, 0)), 0)</f>
        <v>0</v>
      </c>
      <c r="P362" s="11">
        <f>IF(G362&gt;H362, MIN(G362-H362, J362-H362)*
INDEX('2018_commission_structure'!$A$1:$I$4,
MATCH($D362, '2018_commission_structure'!$A$1:$A$4, 0),
MATCH(O$1, '2018_commission_structure'!$A$1:$I$1, 0)), 0)</f>
        <v>0</v>
      </c>
      <c r="Q362" s="11">
        <f>IF(G362&gt;H362, MIN(G362-H362, I362-H362)*
INDEX('2018_commission_structure'!$A$1:$I$4,
MATCH($D362, '2018_commission_structure'!$A$1:$A$4, 0),
MATCH(P$1, '2018_commission_structure'!$A$1:$I$1, 0)), 0)</f>
        <v>0</v>
      </c>
      <c r="R362" s="11">
        <f>IF(G362&gt;K362, (G362-K362) *
INDEX('2018_commission_structure'!$A$1:$I$4,
MATCH($D362, '2018_commission_structure'!$A$1:$A$4,0),
MATCH(R$1, '2018_commission_structure'!$A$1:$I$1,0)), 0)</f>
        <v>0</v>
      </c>
      <c r="S362" s="11">
        <f t="shared" si="35"/>
        <v>0</v>
      </c>
      <c r="T362" s="11" cm="1">
        <f t="array" ref="T362">SUM(E362+O362:Q362)</f>
        <v>155583</v>
      </c>
    </row>
    <row r="363" spans="1:20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 xml:space="preserve"> COUNTIF(deals_closed!D:D,A363)</f>
        <v>11</v>
      </c>
      <c r="G363" s="5">
        <f>SUMIF(deals_closed!D:D, calculations!A363, deals_closed!C:C)</f>
        <v>456999</v>
      </c>
      <c r="H363" s="5">
        <f>VLOOKUP(D363,'2018_commission_structure'!$A$2:$I$4,9,FALSE)</f>
        <v>750000</v>
      </c>
      <c r="I363" s="9">
        <f t="shared" si="30"/>
        <v>937500</v>
      </c>
      <c r="J363" s="8">
        <f t="shared" si="31"/>
        <v>1125000</v>
      </c>
      <c r="K363" s="9">
        <f t="shared" si="32"/>
        <v>1500000</v>
      </c>
      <c r="L363" s="10">
        <f t="shared" si="33"/>
        <v>0.60933199999999998</v>
      </c>
      <c r="M363" t="str">
        <f t="shared" si="34"/>
        <v>0-100%</v>
      </c>
      <c r="N363" s="9">
        <f>MIN(H363, G363)*INDEX('2018_commission_structure'!$A$1:$I$4,
MATCH($D363, '2018_commission_structure'!$A$1:$A$4,0),
MATCH(N$1, '2018_commission_structure'!$A$1:$I$1,0))</f>
        <v>68549.849999999991</v>
      </c>
      <c r="O363" s="11">
        <f>IF(G363&gt;H363, MIN(G363-H363, I363-H363)*
INDEX('2018_commission_structure'!$A$1:$I$4,
MATCH($D363, '2018_commission_structure'!$A$1:$A$4, 0),
MATCH(O$1, '2018_commission_structure'!$A$1:$I$1, 0)), 0)</f>
        <v>0</v>
      </c>
      <c r="P363" s="11">
        <f>IF(G363&gt;H363, MIN(G363-H363, J363-H363)*
INDEX('2018_commission_structure'!$A$1:$I$4,
MATCH($D363, '2018_commission_structure'!$A$1:$A$4, 0),
MATCH(O$1, '2018_commission_structure'!$A$1:$I$1, 0)), 0)</f>
        <v>0</v>
      </c>
      <c r="Q363" s="11">
        <f>IF(G363&gt;H363, MIN(G363-H363, I363-H363)*
INDEX('2018_commission_structure'!$A$1:$I$4,
MATCH($D363, '2018_commission_structure'!$A$1:$A$4, 0),
MATCH(P$1, '2018_commission_structure'!$A$1:$I$1, 0)), 0)</f>
        <v>0</v>
      </c>
      <c r="R363" s="11">
        <f>IF(G363&gt;K363, (G363-K363) *
INDEX('2018_commission_structure'!$A$1:$I$4,
MATCH($D363, '2018_commission_structure'!$A$1:$A$4,0),
MATCH(R$1, '2018_commission_structure'!$A$1:$I$1,0)), 0)</f>
        <v>0</v>
      </c>
      <c r="S363" s="11">
        <f t="shared" si="35"/>
        <v>0</v>
      </c>
      <c r="T363" s="11" cm="1">
        <f t="array" ref="T363">SUM(E363+O363:Q363)</f>
        <v>247965</v>
      </c>
    </row>
    <row r="364" spans="1:20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 xml:space="preserve"> COUNTIF(deals_closed!D:D,A364)</f>
        <v>20</v>
      </c>
      <c r="G364" s="5">
        <f>SUMIF(deals_closed!D:D, calculations!A364, deals_closed!C:C)</f>
        <v>806749</v>
      </c>
      <c r="H364" s="5">
        <f>VLOOKUP(D364,'2018_commission_structure'!$A$2:$I$4,9,FALSE)</f>
        <v>600000</v>
      </c>
      <c r="I364" s="9">
        <f t="shared" si="30"/>
        <v>750000</v>
      </c>
      <c r="J364" s="8">
        <f t="shared" si="31"/>
        <v>900000</v>
      </c>
      <c r="K364" s="9">
        <f t="shared" si="32"/>
        <v>1200000</v>
      </c>
      <c r="L364" s="10">
        <f t="shared" si="33"/>
        <v>1.3445816666666666</v>
      </c>
      <c r="M364" t="str">
        <f t="shared" si="34"/>
        <v>125-150%</v>
      </c>
      <c r="N364" s="9">
        <f>MIN(H364, G364)*INDEX('2018_commission_structure'!$A$1:$I$4,
MATCH($D364, '2018_commission_structure'!$A$1:$A$4,0),
MATCH(N$1, '2018_commission_structure'!$A$1:$I$1,0))</f>
        <v>78000</v>
      </c>
      <c r="O364" s="11">
        <f>IF(G364&gt;H364, MIN(G364-H364, I364-H364)*
INDEX('2018_commission_structure'!$A$1:$I$4,
MATCH($D364, '2018_commission_structure'!$A$1:$A$4, 0),
MATCH(O$1, '2018_commission_structure'!$A$1:$I$1, 0)), 0)</f>
        <v>25500.000000000004</v>
      </c>
      <c r="P364" s="11">
        <f>IF(G364&gt;H364, MIN(G364-H364, J364-H364)*
INDEX('2018_commission_structure'!$A$1:$I$4,
MATCH($D364, '2018_commission_structure'!$A$1:$A$4, 0),
MATCH(O$1, '2018_commission_structure'!$A$1:$I$1, 0)), 0)</f>
        <v>35147.33</v>
      </c>
      <c r="Q364" s="11">
        <f>IF(G364&gt;H364, MIN(G364-H364, I364-H364)*
INDEX('2018_commission_structure'!$A$1:$I$4,
MATCH($D364, '2018_commission_structure'!$A$1:$A$4, 0),
MATCH(P$1, '2018_commission_structure'!$A$1:$I$1, 0)), 0)</f>
        <v>31500</v>
      </c>
      <c r="R364" s="11">
        <f>IF(G364&gt;K364, (G364-K364) *
INDEX('2018_commission_structure'!$A$1:$I$4,
MATCH($D364, '2018_commission_structure'!$A$1:$A$4,0),
MATCH(R$1, '2018_commission_structure'!$A$1:$I$1,0)), 0)</f>
        <v>0</v>
      </c>
      <c r="S364" s="11">
        <f t="shared" si="35"/>
        <v>92147.33</v>
      </c>
      <c r="T364" s="11" cm="1">
        <f t="array" ref="T364">SUM(E364+O364:Q364)</f>
        <v>310241.33</v>
      </c>
    </row>
    <row r="365" spans="1:20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 xml:space="preserve"> COUNTIF(deals_closed!D:D,A365)</f>
        <v>19</v>
      </c>
      <c r="G365" s="5">
        <f>SUMIF(deals_closed!D:D, calculations!A365, deals_closed!C:C)</f>
        <v>549569</v>
      </c>
      <c r="H365" s="5">
        <f>VLOOKUP(D365,'2018_commission_structure'!$A$2:$I$4,9,FALSE)</f>
        <v>750000</v>
      </c>
      <c r="I365" s="9">
        <f t="shared" si="30"/>
        <v>937500</v>
      </c>
      <c r="J365" s="8">
        <f t="shared" si="31"/>
        <v>1125000</v>
      </c>
      <c r="K365" s="9">
        <f t="shared" si="32"/>
        <v>1500000</v>
      </c>
      <c r="L365" s="10">
        <f t="shared" si="33"/>
        <v>0.73275866666666667</v>
      </c>
      <c r="M365" t="str">
        <f t="shared" si="34"/>
        <v>0-100%</v>
      </c>
      <c r="N365" s="9">
        <f>MIN(H365, G365)*INDEX('2018_commission_structure'!$A$1:$I$4,
MATCH($D365, '2018_commission_structure'!$A$1:$A$4,0),
MATCH(N$1, '2018_commission_structure'!$A$1:$I$1,0))</f>
        <v>82435.349999999991</v>
      </c>
      <c r="O365" s="11">
        <f>IF(G365&gt;H365, MIN(G365-H365, I365-H365)*
INDEX('2018_commission_structure'!$A$1:$I$4,
MATCH($D365, '2018_commission_structure'!$A$1:$A$4, 0),
MATCH(O$1, '2018_commission_structure'!$A$1:$I$1, 0)), 0)</f>
        <v>0</v>
      </c>
      <c r="P365" s="11">
        <f>IF(G365&gt;H365, MIN(G365-H365, J365-H365)*
INDEX('2018_commission_structure'!$A$1:$I$4,
MATCH($D365, '2018_commission_structure'!$A$1:$A$4, 0),
MATCH(O$1, '2018_commission_structure'!$A$1:$I$1, 0)), 0)</f>
        <v>0</v>
      </c>
      <c r="Q365" s="11">
        <f>IF(G365&gt;H365, MIN(G365-H365, I365-H365)*
INDEX('2018_commission_structure'!$A$1:$I$4,
MATCH($D365, '2018_commission_structure'!$A$1:$A$4, 0),
MATCH(P$1, '2018_commission_structure'!$A$1:$I$1, 0)), 0)</f>
        <v>0</v>
      </c>
      <c r="R365" s="11">
        <f>IF(G365&gt;K365, (G365-K365) *
INDEX('2018_commission_structure'!$A$1:$I$4,
MATCH($D365, '2018_commission_structure'!$A$1:$A$4,0),
MATCH(R$1, '2018_commission_structure'!$A$1:$I$1,0)), 0)</f>
        <v>0</v>
      </c>
      <c r="S365" s="11">
        <f t="shared" si="35"/>
        <v>0</v>
      </c>
      <c r="T365" s="11" cm="1">
        <f t="array" ref="T365">SUM(E365+O365:Q365)</f>
        <v>356508</v>
      </c>
    </row>
    <row r="366" spans="1:20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 xml:space="preserve"> COUNTIF(deals_closed!D:D,A366)</f>
        <v>29</v>
      </c>
      <c r="G366" s="5">
        <f>SUMIF(deals_closed!D:D, calculations!A366, deals_closed!C:C)</f>
        <v>1092533</v>
      </c>
      <c r="H366" s="5">
        <f>VLOOKUP(D366,'2018_commission_structure'!$A$2:$I$4,9,FALSE)</f>
        <v>600000</v>
      </c>
      <c r="I366" s="9">
        <f t="shared" si="30"/>
        <v>750000</v>
      </c>
      <c r="J366" s="8">
        <f t="shared" si="31"/>
        <v>900000</v>
      </c>
      <c r="K366" s="9">
        <f t="shared" si="32"/>
        <v>1200000</v>
      </c>
      <c r="L366" s="10">
        <f t="shared" si="33"/>
        <v>1.8208883333333334</v>
      </c>
      <c r="M366" t="str">
        <f t="shared" si="34"/>
        <v>150-200%</v>
      </c>
      <c r="N366" s="9">
        <f>MIN(H366, G366)*INDEX('2018_commission_structure'!$A$1:$I$4,
MATCH($D366, '2018_commission_structure'!$A$1:$A$4,0),
MATCH(N$1, '2018_commission_structure'!$A$1:$I$1,0))</f>
        <v>78000</v>
      </c>
      <c r="O366" s="11">
        <f>IF(G366&gt;H366, MIN(G366-H366, I366-H366)*
INDEX('2018_commission_structure'!$A$1:$I$4,
MATCH($D366, '2018_commission_structure'!$A$1:$A$4, 0),
MATCH(O$1, '2018_commission_structure'!$A$1:$I$1, 0)), 0)</f>
        <v>25500.000000000004</v>
      </c>
      <c r="P366" s="11">
        <f>IF(G366&gt;H366, MIN(G366-H366, J366-H366)*
INDEX('2018_commission_structure'!$A$1:$I$4,
MATCH($D366, '2018_commission_structure'!$A$1:$A$4, 0),
MATCH(O$1, '2018_commission_structure'!$A$1:$I$1, 0)), 0)</f>
        <v>51000.000000000007</v>
      </c>
      <c r="Q366" s="11">
        <f>IF(G366&gt;H366, MIN(G366-H366, I366-H366)*
INDEX('2018_commission_structure'!$A$1:$I$4,
MATCH($D366, '2018_commission_structure'!$A$1:$A$4, 0),
MATCH(P$1, '2018_commission_structure'!$A$1:$I$1, 0)), 0)</f>
        <v>31500</v>
      </c>
      <c r="R366" s="11">
        <f>IF(G366&gt;K366, (G366-K366) *
INDEX('2018_commission_structure'!$A$1:$I$4,
MATCH($D366, '2018_commission_structure'!$A$1:$A$4,0),
MATCH(R$1, '2018_commission_structure'!$A$1:$I$1,0)), 0)</f>
        <v>0</v>
      </c>
      <c r="S366" s="11">
        <f t="shared" si="35"/>
        <v>108000.00000000001</v>
      </c>
      <c r="T366" s="11" cm="1">
        <f t="array" ref="T366">SUM(E366+O366:Q366)</f>
        <v>345603</v>
      </c>
    </row>
    <row r="367" spans="1:20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 xml:space="preserve"> COUNTIF(deals_closed!D:D,A367)</f>
        <v>18</v>
      </c>
      <c r="G367" s="5">
        <f>SUMIF(deals_closed!D:D, calculations!A367, deals_closed!C:C)</f>
        <v>641225</v>
      </c>
      <c r="H367" s="5">
        <f>VLOOKUP(D367,'2018_commission_structure'!$A$2:$I$4,9,FALSE)</f>
        <v>500000</v>
      </c>
      <c r="I367" s="9">
        <f t="shared" si="30"/>
        <v>625000</v>
      </c>
      <c r="J367" s="8">
        <f t="shared" si="31"/>
        <v>750000</v>
      </c>
      <c r="K367" s="9">
        <f t="shared" si="32"/>
        <v>1000000</v>
      </c>
      <c r="L367" s="10">
        <f t="shared" si="33"/>
        <v>1.2824500000000001</v>
      </c>
      <c r="M367" t="str">
        <f t="shared" si="34"/>
        <v>125-150%</v>
      </c>
      <c r="N367" s="9">
        <f>MIN(H367, G367)*INDEX('2018_commission_structure'!$A$1:$I$4,
MATCH($D367, '2018_commission_structure'!$A$1:$A$4,0),
MATCH(N$1, '2018_commission_structure'!$A$1:$I$1,0))</f>
        <v>50000</v>
      </c>
      <c r="O367" s="11">
        <f>IF(G367&gt;H367, MIN(G367-H367, I367-H367)*
INDEX('2018_commission_structure'!$A$1:$I$4,
MATCH($D367, '2018_commission_structure'!$A$1:$A$4, 0),
MATCH(O$1, '2018_commission_structure'!$A$1:$I$1, 0)), 0)</f>
        <v>18750</v>
      </c>
      <c r="P367" s="11">
        <f>IF(G367&gt;H367, MIN(G367-H367, J367-H367)*
INDEX('2018_commission_structure'!$A$1:$I$4,
MATCH($D367, '2018_commission_structure'!$A$1:$A$4, 0),
MATCH(O$1, '2018_commission_structure'!$A$1:$I$1, 0)), 0)</f>
        <v>21183.75</v>
      </c>
      <c r="Q367" s="11">
        <f>IF(G367&gt;H367, MIN(G367-H367, I367-H367)*
INDEX('2018_commission_structure'!$A$1:$I$4,
MATCH($D367, '2018_commission_structure'!$A$1:$A$4, 0),
MATCH(P$1, '2018_commission_structure'!$A$1:$I$1, 0)), 0)</f>
        <v>22500</v>
      </c>
      <c r="R367" s="11">
        <f>IF(G367&gt;K367, (G367-K367) *
INDEX('2018_commission_structure'!$A$1:$I$4,
MATCH($D367, '2018_commission_structure'!$A$1:$A$4,0),
MATCH(R$1, '2018_commission_structure'!$A$1:$I$1,0)), 0)</f>
        <v>0</v>
      </c>
      <c r="S367" s="11">
        <f t="shared" si="35"/>
        <v>62433.75</v>
      </c>
      <c r="T367" s="11" cm="1">
        <f t="array" ref="T367">SUM(E367+O367:Q367)</f>
        <v>187173.75</v>
      </c>
    </row>
    <row r="368" spans="1:20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 xml:space="preserve"> COUNTIF(deals_closed!D:D,A368)</f>
        <v>19</v>
      </c>
      <c r="G368" s="5">
        <f>SUMIF(deals_closed!D:D, calculations!A368, deals_closed!C:C)</f>
        <v>656054</v>
      </c>
      <c r="H368" s="5">
        <f>VLOOKUP(D368,'2018_commission_structure'!$A$2:$I$4,9,FALSE)</f>
        <v>500000</v>
      </c>
      <c r="I368" s="9">
        <f t="shared" si="30"/>
        <v>625000</v>
      </c>
      <c r="J368" s="8">
        <f t="shared" si="31"/>
        <v>750000</v>
      </c>
      <c r="K368" s="9">
        <f t="shared" si="32"/>
        <v>1000000</v>
      </c>
      <c r="L368" s="10">
        <f t="shared" si="33"/>
        <v>1.3121080000000001</v>
      </c>
      <c r="M368" t="str">
        <f t="shared" si="34"/>
        <v>125-150%</v>
      </c>
      <c r="N368" s="9">
        <f>MIN(H368, G368)*INDEX('2018_commission_structure'!$A$1:$I$4,
MATCH($D368, '2018_commission_structure'!$A$1:$A$4,0),
MATCH(N$1, '2018_commission_structure'!$A$1:$I$1,0))</f>
        <v>50000</v>
      </c>
      <c r="O368" s="11">
        <f>IF(G368&gt;H368, MIN(G368-H368, I368-H368)*
INDEX('2018_commission_structure'!$A$1:$I$4,
MATCH($D368, '2018_commission_structure'!$A$1:$A$4, 0),
MATCH(O$1, '2018_commission_structure'!$A$1:$I$1, 0)), 0)</f>
        <v>18750</v>
      </c>
      <c r="P368" s="11">
        <f>IF(G368&gt;H368, MIN(G368-H368, J368-H368)*
INDEX('2018_commission_structure'!$A$1:$I$4,
MATCH($D368, '2018_commission_structure'!$A$1:$A$4, 0),
MATCH(O$1, '2018_commission_structure'!$A$1:$I$1, 0)), 0)</f>
        <v>23408.1</v>
      </c>
      <c r="Q368" s="11">
        <f>IF(G368&gt;H368, MIN(G368-H368, I368-H368)*
INDEX('2018_commission_structure'!$A$1:$I$4,
MATCH($D368, '2018_commission_structure'!$A$1:$A$4, 0),
MATCH(P$1, '2018_commission_structure'!$A$1:$I$1, 0)), 0)</f>
        <v>22500</v>
      </c>
      <c r="R368" s="11">
        <f>IF(G368&gt;K368, (G368-K368) *
INDEX('2018_commission_structure'!$A$1:$I$4,
MATCH($D368, '2018_commission_structure'!$A$1:$A$4,0),
MATCH(R$1, '2018_commission_structure'!$A$1:$I$1,0)), 0)</f>
        <v>0</v>
      </c>
      <c r="S368" s="11">
        <f t="shared" si="35"/>
        <v>64658.1</v>
      </c>
      <c r="T368" s="11" cm="1">
        <f t="array" ref="T368">SUM(E368+O368:Q368)</f>
        <v>155591.1</v>
      </c>
    </row>
    <row r="369" spans="1:20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 xml:space="preserve"> COUNTIF(deals_closed!D:D,A369)</f>
        <v>20</v>
      </c>
      <c r="G369" s="5">
        <f>SUMIF(deals_closed!D:D, calculations!A369, deals_closed!C:C)</f>
        <v>568483</v>
      </c>
      <c r="H369" s="5">
        <f>VLOOKUP(D369,'2018_commission_structure'!$A$2:$I$4,9,FALSE)</f>
        <v>600000</v>
      </c>
      <c r="I369" s="9">
        <f t="shared" si="30"/>
        <v>750000</v>
      </c>
      <c r="J369" s="8">
        <f t="shared" si="31"/>
        <v>900000</v>
      </c>
      <c r="K369" s="9">
        <f t="shared" si="32"/>
        <v>1200000</v>
      </c>
      <c r="L369" s="10">
        <f t="shared" si="33"/>
        <v>0.94747166666666671</v>
      </c>
      <c r="M369" t="str">
        <f t="shared" si="34"/>
        <v>0-100%</v>
      </c>
      <c r="N369" s="9">
        <f>MIN(H369, G369)*INDEX('2018_commission_structure'!$A$1:$I$4,
MATCH($D369, '2018_commission_structure'!$A$1:$A$4,0),
MATCH(N$1, '2018_commission_structure'!$A$1:$I$1,0))</f>
        <v>73902.790000000008</v>
      </c>
      <c r="O369" s="11">
        <f>IF(G369&gt;H369, MIN(G369-H369, I369-H369)*
INDEX('2018_commission_structure'!$A$1:$I$4,
MATCH($D369, '2018_commission_structure'!$A$1:$A$4, 0),
MATCH(O$1, '2018_commission_structure'!$A$1:$I$1, 0)), 0)</f>
        <v>0</v>
      </c>
      <c r="P369" s="11">
        <f>IF(G369&gt;H369, MIN(G369-H369, J369-H369)*
INDEX('2018_commission_structure'!$A$1:$I$4,
MATCH($D369, '2018_commission_structure'!$A$1:$A$4, 0),
MATCH(O$1, '2018_commission_structure'!$A$1:$I$1, 0)), 0)</f>
        <v>0</v>
      </c>
      <c r="Q369" s="11">
        <f>IF(G369&gt;H369, MIN(G369-H369, I369-H369)*
INDEX('2018_commission_structure'!$A$1:$I$4,
MATCH($D369, '2018_commission_structure'!$A$1:$A$4, 0),
MATCH(P$1, '2018_commission_structure'!$A$1:$I$1, 0)), 0)</f>
        <v>0</v>
      </c>
      <c r="R369" s="11">
        <f>IF(G369&gt;K369, (G369-K369) *
INDEX('2018_commission_structure'!$A$1:$I$4,
MATCH($D369, '2018_commission_structure'!$A$1:$A$4,0),
MATCH(R$1, '2018_commission_structure'!$A$1:$I$1,0)), 0)</f>
        <v>0</v>
      </c>
      <c r="S369" s="11">
        <f t="shared" si="35"/>
        <v>0</v>
      </c>
      <c r="T369" s="11" cm="1">
        <f t="array" ref="T369">SUM(E369+O369:Q369)</f>
        <v>155118</v>
      </c>
    </row>
    <row r="370" spans="1:20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 xml:space="preserve"> COUNTIF(deals_closed!D:D,A370)</f>
        <v>17</v>
      </c>
      <c r="G370" s="5">
        <f>SUMIF(deals_closed!D:D, calculations!A370, deals_closed!C:C)</f>
        <v>487994</v>
      </c>
      <c r="H370" s="5">
        <f>VLOOKUP(D370,'2018_commission_structure'!$A$2:$I$4,9,FALSE)</f>
        <v>600000</v>
      </c>
      <c r="I370" s="9">
        <f t="shared" si="30"/>
        <v>750000</v>
      </c>
      <c r="J370" s="8">
        <f t="shared" si="31"/>
        <v>900000</v>
      </c>
      <c r="K370" s="9">
        <f t="shared" si="32"/>
        <v>1200000</v>
      </c>
      <c r="L370" s="10">
        <f t="shared" si="33"/>
        <v>0.81332333333333329</v>
      </c>
      <c r="M370" t="str">
        <f t="shared" si="34"/>
        <v>0-100%</v>
      </c>
      <c r="N370" s="9">
        <f>MIN(H370, G370)*INDEX('2018_commission_structure'!$A$1:$I$4,
MATCH($D370, '2018_commission_structure'!$A$1:$A$4,0),
MATCH(N$1, '2018_commission_structure'!$A$1:$I$1,0))</f>
        <v>63439.22</v>
      </c>
      <c r="O370" s="11">
        <f>IF(G370&gt;H370, MIN(G370-H370, I370-H370)*
INDEX('2018_commission_structure'!$A$1:$I$4,
MATCH($D370, '2018_commission_structure'!$A$1:$A$4, 0),
MATCH(O$1, '2018_commission_structure'!$A$1:$I$1, 0)), 0)</f>
        <v>0</v>
      </c>
      <c r="P370" s="11">
        <f>IF(G370&gt;H370, MIN(G370-H370, J370-H370)*
INDEX('2018_commission_structure'!$A$1:$I$4,
MATCH($D370, '2018_commission_structure'!$A$1:$A$4, 0),
MATCH(O$1, '2018_commission_structure'!$A$1:$I$1, 0)), 0)</f>
        <v>0</v>
      </c>
      <c r="Q370" s="11">
        <f>IF(G370&gt;H370, MIN(G370-H370, I370-H370)*
INDEX('2018_commission_structure'!$A$1:$I$4,
MATCH($D370, '2018_commission_structure'!$A$1:$A$4, 0),
MATCH(P$1, '2018_commission_structure'!$A$1:$I$1, 0)), 0)</f>
        <v>0</v>
      </c>
      <c r="R370" s="11">
        <f>IF(G370&gt;K370, (G370-K370) *
INDEX('2018_commission_structure'!$A$1:$I$4,
MATCH($D370, '2018_commission_structure'!$A$1:$A$4,0),
MATCH(R$1, '2018_commission_structure'!$A$1:$I$1,0)), 0)</f>
        <v>0</v>
      </c>
      <c r="S370" s="11">
        <f t="shared" si="35"/>
        <v>0</v>
      </c>
      <c r="T370" s="11" cm="1">
        <f t="array" ref="T370">SUM(E370+O370:Q370)</f>
        <v>173112</v>
      </c>
    </row>
    <row r="371" spans="1:20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 xml:space="preserve"> COUNTIF(deals_closed!D:D,A371)</f>
        <v>17</v>
      </c>
      <c r="G371" s="5">
        <f>SUMIF(deals_closed!D:D, calculations!A371, deals_closed!C:C)</f>
        <v>570251</v>
      </c>
      <c r="H371" s="5">
        <f>VLOOKUP(D371,'2018_commission_structure'!$A$2:$I$4,9,FALSE)</f>
        <v>600000</v>
      </c>
      <c r="I371" s="9">
        <f t="shared" si="30"/>
        <v>750000</v>
      </c>
      <c r="J371" s="8">
        <f t="shared" si="31"/>
        <v>900000</v>
      </c>
      <c r="K371" s="9">
        <f t="shared" si="32"/>
        <v>1200000</v>
      </c>
      <c r="L371" s="10">
        <f t="shared" si="33"/>
        <v>0.95041833333333336</v>
      </c>
      <c r="M371" t="str">
        <f t="shared" si="34"/>
        <v>0-100%</v>
      </c>
      <c r="N371" s="9">
        <f>MIN(H371, G371)*INDEX('2018_commission_structure'!$A$1:$I$4,
MATCH($D371, '2018_commission_structure'!$A$1:$A$4,0),
MATCH(N$1, '2018_commission_structure'!$A$1:$I$1,0))</f>
        <v>74132.63</v>
      </c>
      <c r="O371" s="11">
        <f>IF(G371&gt;H371, MIN(G371-H371, I371-H371)*
INDEX('2018_commission_structure'!$A$1:$I$4,
MATCH($D371, '2018_commission_structure'!$A$1:$A$4, 0),
MATCH(O$1, '2018_commission_structure'!$A$1:$I$1, 0)), 0)</f>
        <v>0</v>
      </c>
      <c r="P371" s="11">
        <f>IF(G371&gt;H371, MIN(G371-H371, J371-H371)*
INDEX('2018_commission_structure'!$A$1:$I$4,
MATCH($D371, '2018_commission_structure'!$A$1:$A$4, 0),
MATCH(O$1, '2018_commission_structure'!$A$1:$I$1, 0)), 0)</f>
        <v>0</v>
      </c>
      <c r="Q371" s="11">
        <f>IF(G371&gt;H371, MIN(G371-H371, I371-H371)*
INDEX('2018_commission_structure'!$A$1:$I$4,
MATCH($D371, '2018_commission_structure'!$A$1:$A$4, 0),
MATCH(P$1, '2018_commission_structure'!$A$1:$I$1, 0)), 0)</f>
        <v>0</v>
      </c>
      <c r="R371" s="11">
        <f>IF(G371&gt;K371, (G371-K371) *
INDEX('2018_commission_structure'!$A$1:$I$4,
MATCH($D371, '2018_commission_structure'!$A$1:$A$4,0),
MATCH(R$1, '2018_commission_structure'!$A$1:$I$1,0)), 0)</f>
        <v>0</v>
      </c>
      <c r="S371" s="11">
        <f t="shared" si="35"/>
        <v>0</v>
      </c>
      <c r="T371" s="11" cm="1">
        <f t="array" ref="T371">SUM(E371+O371:Q371)</f>
        <v>192768</v>
      </c>
    </row>
    <row r="372" spans="1:20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 xml:space="preserve"> COUNTIF(deals_closed!D:D,A372)</f>
        <v>23</v>
      </c>
      <c r="G372" s="5">
        <f>SUMIF(deals_closed!D:D, calculations!A372, deals_closed!C:C)</f>
        <v>767064</v>
      </c>
      <c r="H372" s="5">
        <f>VLOOKUP(D372,'2018_commission_structure'!$A$2:$I$4,9,FALSE)</f>
        <v>750000</v>
      </c>
      <c r="I372" s="9">
        <f t="shared" si="30"/>
        <v>937500</v>
      </c>
      <c r="J372" s="8">
        <f t="shared" si="31"/>
        <v>1125000</v>
      </c>
      <c r="K372" s="9">
        <f t="shared" si="32"/>
        <v>1500000</v>
      </c>
      <c r="L372" s="10">
        <f t="shared" si="33"/>
        <v>1.0227520000000001</v>
      </c>
      <c r="M372" t="str">
        <f t="shared" si="34"/>
        <v>100-125%</v>
      </c>
      <c r="N372" s="9">
        <f>MIN(H372, G372)*INDEX('2018_commission_structure'!$A$1:$I$4,
MATCH($D372, '2018_commission_structure'!$A$1:$A$4,0),
MATCH(N$1, '2018_commission_structure'!$A$1:$I$1,0))</f>
        <v>112500</v>
      </c>
      <c r="O372" s="11">
        <f>IF(G372&gt;H372, MIN(G372-H372, I372-H372)*
INDEX('2018_commission_structure'!$A$1:$I$4,
MATCH($D372, '2018_commission_structure'!$A$1:$A$4, 0),
MATCH(O$1, '2018_commission_structure'!$A$1:$I$1, 0)), 0)</f>
        <v>3242.16</v>
      </c>
      <c r="P372" s="11">
        <f>IF(G372&gt;H372, MIN(G372-H372, J372-H372)*
INDEX('2018_commission_structure'!$A$1:$I$4,
MATCH($D372, '2018_commission_structure'!$A$1:$A$4, 0),
MATCH(O$1, '2018_commission_structure'!$A$1:$I$1, 0)), 0)</f>
        <v>3242.16</v>
      </c>
      <c r="Q372" s="11">
        <f>IF(G372&gt;H372, MIN(G372-H372, I372-H372)*
INDEX('2018_commission_structure'!$A$1:$I$4,
MATCH($D372, '2018_commission_structure'!$A$1:$A$4, 0),
MATCH(P$1, '2018_commission_structure'!$A$1:$I$1, 0)), 0)</f>
        <v>3924.7200000000003</v>
      </c>
      <c r="R372" s="11">
        <f>IF(G372&gt;K372, (G372-K372) *
INDEX('2018_commission_structure'!$A$1:$I$4,
MATCH($D372, '2018_commission_structure'!$A$1:$A$4,0),
MATCH(R$1, '2018_commission_structure'!$A$1:$I$1,0)), 0)</f>
        <v>0</v>
      </c>
      <c r="S372" s="11">
        <f t="shared" si="35"/>
        <v>10409.040000000001</v>
      </c>
      <c r="T372" s="11" cm="1">
        <f t="array" ref="T372">SUM(E372+O372:Q372)</f>
        <v>276584.04000000004</v>
      </c>
    </row>
    <row r="373" spans="1:20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 xml:space="preserve"> COUNTIF(deals_closed!D:D,A373)</f>
        <v>22</v>
      </c>
      <c r="G373" s="5">
        <f>SUMIF(deals_closed!D:D, calculations!A373, deals_closed!C:C)</f>
        <v>671936</v>
      </c>
      <c r="H373" s="5">
        <f>VLOOKUP(D373,'2018_commission_structure'!$A$2:$I$4,9,FALSE)</f>
        <v>500000</v>
      </c>
      <c r="I373" s="9">
        <f t="shared" si="30"/>
        <v>625000</v>
      </c>
      <c r="J373" s="8">
        <f t="shared" si="31"/>
        <v>750000</v>
      </c>
      <c r="K373" s="9">
        <f t="shared" si="32"/>
        <v>1000000</v>
      </c>
      <c r="L373" s="10">
        <f t="shared" si="33"/>
        <v>1.343872</v>
      </c>
      <c r="M373" t="str">
        <f t="shared" si="34"/>
        <v>125-150%</v>
      </c>
      <c r="N373" s="9">
        <f>MIN(H373, G373)*INDEX('2018_commission_structure'!$A$1:$I$4,
MATCH($D373, '2018_commission_structure'!$A$1:$A$4,0),
MATCH(N$1, '2018_commission_structure'!$A$1:$I$1,0))</f>
        <v>50000</v>
      </c>
      <c r="O373" s="11">
        <f>IF(G373&gt;H373, MIN(G373-H373, I373-H373)*
INDEX('2018_commission_structure'!$A$1:$I$4,
MATCH($D373, '2018_commission_structure'!$A$1:$A$4, 0),
MATCH(O$1, '2018_commission_structure'!$A$1:$I$1, 0)), 0)</f>
        <v>18750</v>
      </c>
      <c r="P373" s="11">
        <f>IF(G373&gt;H373, MIN(G373-H373, J373-H373)*
INDEX('2018_commission_structure'!$A$1:$I$4,
MATCH($D373, '2018_commission_structure'!$A$1:$A$4, 0),
MATCH(O$1, '2018_commission_structure'!$A$1:$I$1, 0)), 0)</f>
        <v>25790.399999999998</v>
      </c>
      <c r="Q373" s="11">
        <f>IF(G373&gt;H373, MIN(G373-H373, I373-H373)*
INDEX('2018_commission_structure'!$A$1:$I$4,
MATCH($D373, '2018_commission_structure'!$A$1:$A$4, 0),
MATCH(P$1, '2018_commission_structure'!$A$1:$I$1, 0)), 0)</f>
        <v>22500</v>
      </c>
      <c r="R373" s="11">
        <f>IF(G373&gt;K373, (G373-K373) *
INDEX('2018_commission_structure'!$A$1:$I$4,
MATCH($D373, '2018_commission_structure'!$A$1:$A$4,0),
MATCH(R$1, '2018_commission_structure'!$A$1:$I$1,0)), 0)</f>
        <v>0</v>
      </c>
      <c r="S373" s="11">
        <f t="shared" si="35"/>
        <v>67040.399999999994</v>
      </c>
      <c r="T373" s="11" cm="1">
        <f t="array" ref="T373">SUM(E373+O373:Q373)</f>
        <v>178160.4</v>
      </c>
    </row>
    <row r="374" spans="1:20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 xml:space="preserve"> COUNTIF(deals_closed!D:D,A374)</f>
        <v>18</v>
      </c>
      <c r="G374" s="5">
        <f>SUMIF(deals_closed!D:D, calculations!A374, deals_closed!C:C)</f>
        <v>725779</v>
      </c>
      <c r="H374" s="5">
        <f>VLOOKUP(D374,'2018_commission_structure'!$A$2:$I$4,9,FALSE)</f>
        <v>600000</v>
      </c>
      <c r="I374" s="9">
        <f t="shared" si="30"/>
        <v>750000</v>
      </c>
      <c r="J374" s="8">
        <f t="shared" si="31"/>
        <v>900000</v>
      </c>
      <c r="K374" s="9">
        <f t="shared" si="32"/>
        <v>1200000</v>
      </c>
      <c r="L374" s="10">
        <f t="shared" si="33"/>
        <v>1.2096316666666667</v>
      </c>
      <c r="M374" t="str">
        <f t="shared" si="34"/>
        <v>100-125%</v>
      </c>
      <c r="N374" s="9">
        <f>MIN(H374, G374)*INDEX('2018_commission_structure'!$A$1:$I$4,
MATCH($D374, '2018_commission_structure'!$A$1:$A$4,0),
MATCH(N$1, '2018_commission_structure'!$A$1:$I$1,0))</f>
        <v>78000</v>
      </c>
      <c r="O374" s="11">
        <f>IF(G374&gt;H374, MIN(G374-H374, I374-H374)*
INDEX('2018_commission_structure'!$A$1:$I$4,
MATCH($D374, '2018_commission_structure'!$A$1:$A$4, 0),
MATCH(O$1, '2018_commission_structure'!$A$1:$I$1, 0)), 0)</f>
        <v>21382.43</v>
      </c>
      <c r="P374" s="11">
        <f>IF(G374&gt;H374, MIN(G374-H374, J374-H374)*
INDEX('2018_commission_structure'!$A$1:$I$4,
MATCH($D374, '2018_commission_structure'!$A$1:$A$4, 0),
MATCH(O$1, '2018_commission_structure'!$A$1:$I$1, 0)), 0)</f>
        <v>21382.43</v>
      </c>
      <c r="Q374" s="11">
        <f>IF(G374&gt;H374, MIN(G374-H374, I374-H374)*
INDEX('2018_commission_structure'!$A$1:$I$4,
MATCH($D374, '2018_commission_structure'!$A$1:$A$4, 0),
MATCH(P$1, '2018_commission_structure'!$A$1:$I$1, 0)), 0)</f>
        <v>26413.59</v>
      </c>
      <c r="R374" s="11">
        <f>IF(G374&gt;K374, (G374-K374) *
INDEX('2018_commission_structure'!$A$1:$I$4,
MATCH($D374, '2018_commission_structure'!$A$1:$A$4,0),
MATCH(R$1, '2018_commission_structure'!$A$1:$I$1,0)), 0)</f>
        <v>0</v>
      </c>
      <c r="S374" s="11">
        <f t="shared" si="35"/>
        <v>69178.45</v>
      </c>
      <c r="T374" s="11" cm="1">
        <f t="array" ref="T374">SUM(E374+O374:Q374)</f>
        <v>284848.44999999995</v>
      </c>
    </row>
    <row r="375" spans="1:20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 xml:space="preserve"> COUNTIF(deals_closed!D:D,A375)</f>
        <v>19</v>
      </c>
      <c r="G375" s="5">
        <f>SUMIF(deals_closed!D:D, calculations!A375, deals_closed!C:C)</f>
        <v>648927</v>
      </c>
      <c r="H375" s="5">
        <f>VLOOKUP(D375,'2018_commission_structure'!$A$2:$I$4,9,FALSE)</f>
        <v>750000</v>
      </c>
      <c r="I375" s="9">
        <f t="shared" si="30"/>
        <v>937500</v>
      </c>
      <c r="J375" s="8">
        <f t="shared" si="31"/>
        <v>1125000</v>
      </c>
      <c r="K375" s="9">
        <f t="shared" si="32"/>
        <v>1500000</v>
      </c>
      <c r="L375" s="10">
        <f t="shared" si="33"/>
        <v>0.86523600000000001</v>
      </c>
      <c r="M375" t="str">
        <f t="shared" si="34"/>
        <v>0-100%</v>
      </c>
      <c r="N375" s="9">
        <f>MIN(H375, G375)*INDEX('2018_commission_structure'!$A$1:$I$4,
MATCH($D375, '2018_commission_structure'!$A$1:$A$4,0),
MATCH(N$1, '2018_commission_structure'!$A$1:$I$1,0))</f>
        <v>97339.05</v>
      </c>
      <c r="O375" s="11">
        <f>IF(G375&gt;H375, MIN(G375-H375, I375-H375)*
INDEX('2018_commission_structure'!$A$1:$I$4,
MATCH($D375, '2018_commission_structure'!$A$1:$A$4, 0),
MATCH(O$1, '2018_commission_structure'!$A$1:$I$1, 0)), 0)</f>
        <v>0</v>
      </c>
      <c r="P375" s="11">
        <f>IF(G375&gt;H375, MIN(G375-H375, J375-H375)*
INDEX('2018_commission_structure'!$A$1:$I$4,
MATCH($D375, '2018_commission_structure'!$A$1:$A$4, 0),
MATCH(O$1, '2018_commission_structure'!$A$1:$I$1, 0)), 0)</f>
        <v>0</v>
      </c>
      <c r="Q375" s="11">
        <f>IF(G375&gt;H375, MIN(G375-H375, I375-H375)*
INDEX('2018_commission_structure'!$A$1:$I$4,
MATCH($D375, '2018_commission_structure'!$A$1:$A$4, 0),
MATCH(P$1, '2018_commission_structure'!$A$1:$I$1, 0)), 0)</f>
        <v>0</v>
      </c>
      <c r="R375" s="11">
        <f>IF(G375&gt;K375, (G375-K375) *
INDEX('2018_commission_structure'!$A$1:$I$4,
MATCH($D375, '2018_commission_structure'!$A$1:$A$4,0),
MATCH(R$1, '2018_commission_structure'!$A$1:$I$1,0)), 0)</f>
        <v>0</v>
      </c>
      <c r="S375" s="11">
        <f t="shared" si="35"/>
        <v>0</v>
      </c>
      <c r="T375" s="11" cm="1">
        <f t="array" ref="T375">SUM(E375+O375:Q375)</f>
        <v>361092</v>
      </c>
    </row>
    <row r="376" spans="1:20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 xml:space="preserve"> COUNTIF(deals_closed!D:D,A376)</f>
        <v>22</v>
      </c>
      <c r="G376" s="5">
        <f>SUMIF(deals_closed!D:D, calculations!A376, deals_closed!C:C)</f>
        <v>661330</v>
      </c>
      <c r="H376" s="5">
        <f>VLOOKUP(D376,'2018_commission_structure'!$A$2:$I$4,9,FALSE)</f>
        <v>750000</v>
      </c>
      <c r="I376" s="9">
        <f t="shared" si="30"/>
        <v>937500</v>
      </c>
      <c r="J376" s="8">
        <f t="shared" si="31"/>
        <v>1125000</v>
      </c>
      <c r="K376" s="9">
        <f t="shared" si="32"/>
        <v>1500000</v>
      </c>
      <c r="L376" s="10">
        <f t="shared" si="33"/>
        <v>0.8817733333333333</v>
      </c>
      <c r="M376" t="str">
        <f t="shared" si="34"/>
        <v>0-100%</v>
      </c>
      <c r="N376" s="9">
        <f>MIN(H376, G376)*INDEX('2018_commission_structure'!$A$1:$I$4,
MATCH($D376, '2018_commission_structure'!$A$1:$A$4,0),
MATCH(N$1, '2018_commission_structure'!$A$1:$I$1,0))</f>
        <v>99199.5</v>
      </c>
      <c r="O376" s="11">
        <f>IF(G376&gt;H376, MIN(G376-H376, I376-H376)*
INDEX('2018_commission_structure'!$A$1:$I$4,
MATCH($D376, '2018_commission_structure'!$A$1:$A$4, 0),
MATCH(O$1, '2018_commission_structure'!$A$1:$I$1, 0)), 0)</f>
        <v>0</v>
      </c>
      <c r="P376" s="11">
        <f>IF(G376&gt;H376, MIN(G376-H376, J376-H376)*
INDEX('2018_commission_structure'!$A$1:$I$4,
MATCH($D376, '2018_commission_structure'!$A$1:$A$4, 0),
MATCH(O$1, '2018_commission_structure'!$A$1:$I$1, 0)), 0)</f>
        <v>0</v>
      </c>
      <c r="Q376" s="11">
        <f>IF(G376&gt;H376, MIN(G376-H376, I376-H376)*
INDEX('2018_commission_structure'!$A$1:$I$4,
MATCH($D376, '2018_commission_structure'!$A$1:$A$4, 0),
MATCH(P$1, '2018_commission_structure'!$A$1:$I$1, 0)), 0)</f>
        <v>0</v>
      </c>
      <c r="R376" s="11">
        <f>IF(G376&gt;K376, (G376-K376) *
INDEX('2018_commission_structure'!$A$1:$I$4,
MATCH($D376, '2018_commission_structure'!$A$1:$A$4,0),
MATCH(R$1, '2018_commission_structure'!$A$1:$I$1,0)), 0)</f>
        <v>0</v>
      </c>
      <c r="S376" s="11">
        <f t="shared" si="35"/>
        <v>0</v>
      </c>
      <c r="T376" s="11" cm="1">
        <f t="array" ref="T376">SUM(E376+O376:Q376)</f>
        <v>226782</v>
      </c>
    </row>
    <row r="377" spans="1:20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 xml:space="preserve"> COUNTIF(deals_closed!D:D,A377)</f>
        <v>23</v>
      </c>
      <c r="G377" s="5">
        <f>SUMIF(deals_closed!D:D, calculations!A377, deals_closed!C:C)</f>
        <v>806664</v>
      </c>
      <c r="H377" s="5">
        <f>VLOOKUP(D377,'2018_commission_structure'!$A$2:$I$4,9,FALSE)</f>
        <v>500000</v>
      </c>
      <c r="I377" s="9">
        <f t="shared" si="30"/>
        <v>625000</v>
      </c>
      <c r="J377" s="8">
        <f t="shared" si="31"/>
        <v>750000</v>
      </c>
      <c r="K377" s="9">
        <f t="shared" si="32"/>
        <v>1000000</v>
      </c>
      <c r="L377" s="10">
        <f t="shared" si="33"/>
        <v>1.6133280000000001</v>
      </c>
      <c r="M377" t="str">
        <f t="shared" si="34"/>
        <v>150-200%</v>
      </c>
      <c r="N377" s="9">
        <f>MIN(H377, G377)*INDEX('2018_commission_structure'!$A$1:$I$4,
MATCH($D377, '2018_commission_structure'!$A$1:$A$4,0),
MATCH(N$1, '2018_commission_structure'!$A$1:$I$1,0))</f>
        <v>50000</v>
      </c>
      <c r="O377" s="11">
        <f>IF(G377&gt;H377, MIN(G377-H377, I377-H377)*
INDEX('2018_commission_structure'!$A$1:$I$4,
MATCH($D377, '2018_commission_structure'!$A$1:$A$4, 0),
MATCH(O$1, '2018_commission_structure'!$A$1:$I$1, 0)), 0)</f>
        <v>18750</v>
      </c>
      <c r="P377" s="11">
        <f>IF(G377&gt;H377, MIN(G377-H377, J377-H377)*
INDEX('2018_commission_structure'!$A$1:$I$4,
MATCH($D377, '2018_commission_structure'!$A$1:$A$4, 0),
MATCH(O$1, '2018_commission_structure'!$A$1:$I$1, 0)), 0)</f>
        <v>37500</v>
      </c>
      <c r="Q377" s="11">
        <f>IF(G377&gt;H377, MIN(G377-H377, I377-H377)*
INDEX('2018_commission_structure'!$A$1:$I$4,
MATCH($D377, '2018_commission_structure'!$A$1:$A$4, 0),
MATCH(P$1, '2018_commission_structure'!$A$1:$I$1, 0)), 0)</f>
        <v>22500</v>
      </c>
      <c r="R377" s="11">
        <f>IF(G377&gt;K377, (G377-K377) *
INDEX('2018_commission_structure'!$A$1:$I$4,
MATCH($D377, '2018_commission_structure'!$A$1:$A$4,0),
MATCH(R$1, '2018_commission_structure'!$A$1:$I$1,0)), 0)</f>
        <v>0</v>
      </c>
      <c r="S377" s="11">
        <f t="shared" si="35"/>
        <v>78750</v>
      </c>
      <c r="T377" s="11" cm="1">
        <f t="array" ref="T377">SUM(E377+O377:Q377)</f>
        <v>178674</v>
      </c>
    </row>
    <row r="378" spans="1:20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 xml:space="preserve"> COUNTIF(deals_closed!D:D,A378)</f>
        <v>19</v>
      </c>
      <c r="G378" s="5">
        <f>SUMIF(deals_closed!D:D, calculations!A378, deals_closed!C:C)</f>
        <v>640951</v>
      </c>
      <c r="H378" s="5">
        <f>VLOOKUP(D378,'2018_commission_structure'!$A$2:$I$4,9,FALSE)</f>
        <v>600000</v>
      </c>
      <c r="I378" s="9">
        <f t="shared" si="30"/>
        <v>750000</v>
      </c>
      <c r="J378" s="8">
        <f t="shared" si="31"/>
        <v>900000</v>
      </c>
      <c r="K378" s="9">
        <f t="shared" si="32"/>
        <v>1200000</v>
      </c>
      <c r="L378" s="10">
        <f t="shared" si="33"/>
        <v>1.0682516666666666</v>
      </c>
      <c r="M378" t="str">
        <f t="shared" si="34"/>
        <v>100-125%</v>
      </c>
      <c r="N378" s="9">
        <f>MIN(H378, G378)*INDEX('2018_commission_structure'!$A$1:$I$4,
MATCH($D378, '2018_commission_structure'!$A$1:$A$4,0),
MATCH(N$1, '2018_commission_structure'!$A$1:$I$1,0))</f>
        <v>78000</v>
      </c>
      <c r="O378" s="11">
        <f>IF(G378&gt;H378, MIN(G378-H378, I378-H378)*
INDEX('2018_commission_structure'!$A$1:$I$4,
MATCH($D378, '2018_commission_structure'!$A$1:$A$4, 0),
MATCH(O$1, '2018_commission_structure'!$A$1:$I$1, 0)), 0)</f>
        <v>6961.67</v>
      </c>
      <c r="P378" s="11">
        <f>IF(G378&gt;H378, MIN(G378-H378, J378-H378)*
INDEX('2018_commission_structure'!$A$1:$I$4,
MATCH($D378, '2018_commission_structure'!$A$1:$A$4, 0),
MATCH(O$1, '2018_commission_structure'!$A$1:$I$1, 0)), 0)</f>
        <v>6961.67</v>
      </c>
      <c r="Q378" s="11">
        <f>IF(G378&gt;H378, MIN(G378-H378, I378-H378)*
INDEX('2018_commission_structure'!$A$1:$I$4,
MATCH($D378, '2018_commission_structure'!$A$1:$A$4, 0),
MATCH(P$1, '2018_commission_structure'!$A$1:$I$1, 0)), 0)</f>
        <v>8599.7099999999991</v>
      </c>
      <c r="R378" s="11">
        <f>IF(G378&gt;K378, (G378-K378) *
INDEX('2018_commission_structure'!$A$1:$I$4,
MATCH($D378, '2018_commission_structure'!$A$1:$A$4,0),
MATCH(R$1, '2018_commission_structure'!$A$1:$I$1,0)), 0)</f>
        <v>0</v>
      </c>
      <c r="S378" s="11">
        <f t="shared" si="35"/>
        <v>22523.05</v>
      </c>
      <c r="T378" s="11" cm="1">
        <f t="array" ref="T378">SUM(E378+O378:Q378)</f>
        <v>248045.05</v>
      </c>
    </row>
    <row r="379" spans="1:20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 xml:space="preserve"> COUNTIF(deals_closed!D:D,A379)</f>
        <v>17</v>
      </c>
      <c r="G379" s="5">
        <f>SUMIF(deals_closed!D:D, calculations!A379, deals_closed!C:C)</f>
        <v>528218</v>
      </c>
      <c r="H379" s="5">
        <f>VLOOKUP(D379,'2018_commission_structure'!$A$2:$I$4,9,FALSE)</f>
        <v>500000</v>
      </c>
      <c r="I379" s="9">
        <f t="shared" si="30"/>
        <v>625000</v>
      </c>
      <c r="J379" s="8">
        <f t="shared" si="31"/>
        <v>750000</v>
      </c>
      <c r="K379" s="9">
        <f t="shared" si="32"/>
        <v>1000000</v>
      </c>
      <c r="L379" s="10">
        <f t="shared" si="33"/>
        <v>1.0564359999999999</v>
      </c>
      <c r="M379" t="str">
        <f t="shared" si="34"/>
        <v>100-125%</v>
      </c>
      <c r="N379" s="9">
        <f>MIN(H379, G379)*INDEX('2018_commission_structure'!$A$1:$I$4,
MATCH($D379, '2018_commission_structure'!$A$1:$A$4,0),
MATCH(N$1, '2018_commission_structure'!$A$1:$I$1,0))</f>
        <v>50000</v>
      </c>
      <c r="O379" s="11">
        <f>IF(G379&gt;H379, MIN(G379-H379, I379-H379)*
INDEX('2018_commission_structure'!$A$1:$I$4,
MATCH($D379, '2018_commission_structure'!$A$1:$A$4, 0),
MATCH(O$1, '2018_commission_structure'!$A$1:$I$1, 0)), 0)</f>
        <v>4232.7</v>
      </c>
      <c r="P379" s="11">
        <f>IF(G379&gt;H379, MIN(G379-H379, J379-H379)*
INDEX('2018_commission_structure'!$A$1:$I$4,
MATCH($D379, '2018_commission_structure'!$A$1:$A$4, 0),
MATCH(O$1, '2018_commission_structure'!$A$1:$I$1, 0)), 0)</f>
        <v>4232.7</v>
      </c>
      <c r="Q379" s="11">
        <f>IF(G379&gt;H379, MIN(G379-H379, I379-H379)*
INDEX('2018_commission_structure'!$A$1:$I$4,
MATCH($D379, '2018_commission_structure'!$A$1:$A$4, 0),
MATCH(P$1, '2018_commission_structure'!$A$1:$I$1, 0)), 0)</f>
        <v>5079.24</v>
      </c>
      <c r="R379" s="11">
        <f>IF(G379&gt;K379, (G379-K379) *
INDEX('2018_commission_structure'!$A$1:$I$4,
MATCH($D379, '2018_commission_structure'!$A$1:$A$4,0),
MATCH(R$1, '2018_commission_structure'!$A$1:$I$1,0)), 0)</f>
        <v>0</v>
      </c>
      <c r="S379" s="11">
        <f t="shared" si="35"/>
        <v>13544.64</v>
      </c>
      <c r="T379" s="11" cm="1">
        <f t="array" ref="T379">SUM(E379+O379:Q379)</f>
        <v>184208.63999999998</v>
      </c>
    </row>
    <row r="380" spans="1:20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 xml:space="preserve"> COUNTIF(deals_closed!D:D,A380)</f>
        <v>14</v>
      </c>
      <c r="G380" s="5">
        <f>SUMIF(deals_closed!D:D, calculations!A380, deals_closed!C:C)</f>
        <v>510949</v>
      </c>
      <c r="H380" s="5">
        <f>VLOOKUP(D380,'2018_commission_structure'!$A$2:$I$4,9,FALSE)</f>
        <v>750000</v>
      </c>
      <c r="I380" s="9">
        <f t="shared" si="30"/>
        <v>937500</v>
      </c>
      <c r="J380" s="8">
        <f t="shared" si="31"/>
        <v>1125000</v>
      </c>
      <c r="K380" s="9">
        <f t="shared" si="32"/>
        <v>1500000</v>
      </c>
      <c r="L380" s="10">
        <f t="shared" si="33"/>
        <v>0.68126533333333328</v>
      </c>
      <c r="M380" t="str">
        <f t="shared" si="34"/>
        <v>0-100%</v>
      </c>
      <c r="N380" s="9">
        <f>MIN(H380, G380)*INDEX('2018_commission_structure'!$A$1:$I$4,
MATCH($D380, '2018_commission_structure'!$A$1:$A$4,0),
MATCH(N$1, '2018_commission_structure'!$A$1:$I$1,0))</f>
        <v>76642.349999999991</v>
      </c>
      <c r="O380" s="11">
        <f>IF(G380&gt;H380, MIN(G380-H380, I380-H380)*
INDEX('2018_commission_structure'!$A$1:$I$4,
MATCH($D380, '2018_commission_structure'!$A$1:$A$4, 0),
MATCH(O$1, '2018_commission_structure'!$A$1:$I$1, 0)), 0)</f>
        <v>0</v>
      </c>
      <c r="P380" s="11">
        <f>IF(G380&gt;H380, MIN(G380-H380, J380-H380)*
INDEX('2018_commission_structure'!$A$1:$I$4,
MATCH($D380, '2018_commission_structure'!$A$1:$A$4, 0),
MATCH(O$1, '2018_commission_structure'!$A$1:$I$1, 0)), 0)</f>
        <v>0</v>
      </c>
      <c r="Q380" s="11">
        <f>IF(G380&gt;H380, MIN(G380-H380, I380-H380)*
INDEX('2018_commission_structure'!$A$1:$I$4,
MATCH($D380, '2018_commission_structure'!$A$1:$A$4, 0),
MATCH(P$1, '2018_commission_structure'!$A$1:$I$1, 0)), 0)</f>
        <v>0</v>
      </c>
      <c r="R380" s="11">
        <f>IF(G380&gt;K380, (G380-K380) *
INDEX('2018_commission_structure'!$A$1:$I$4,
MATCH($D380, '2018_commission_structure'!$A$1:$A$4,0),
MATCH(R$1, '2018_commission_structure'!$A$1:$I$1,0)), 0)</f>
        <v>0</v>
      </c>
      <c r="S380" s="11">
        <f t="shared" si="35"/>
        <v>0</v>
      </c>
      <c r="T380" s="11" cm="1">
        <f t="array" ref="T380">SUM(E380+O380:Q380)</f>
        <v>243684</v>
      </c>
    </row>
    <row r="381" spans="1:20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 xml:space="preserve"> COUNTIF(deals_closed!D:D,A381)</f>
        <v>17</v>
      </c>
      <c r="G381" s="5">
        <f>SUMIF(deals_closed!D:D, calculations!A381, deals_closed!C:C)</f>
        <v>546387</v>
      </c>
      <c r="H381" s="5">
        <f>VLOOKUP(D381,'2018_commission_structure'!$A$2:$I$4,9,FALSE)</f>
        <v>750000</v>
      </c>
      <c r="I381" s="9">
        <f t="shared" si="30"/>
        <v>937500</v>
      </c>
      <c r="J381" s="8">
        <f t="shared" si="31"/>
        <v>1125000</v>
      </c>
      <c r="K381" s="9">
        <f t="shared" si="32"/>
        <v>1500000</v>
      </c>
      <c r="L381" s="10">
        <f t="shared" si="33"/>
        <v>0.72851600000000005</v>
      </c>
      <c r="M381" t="str">
        <f t="shared" si="34"/>
        <v>0-100%</v>
      </c>
      <c r="N381" s="9">
        <f>MIN(H381, G381)*INDEX('2018_commission_structure'!$A$1:$I$4,
MATCH($D381, '2018_commission_structure'!$A$1:$A$4,0),
MATCH(N$1, '2018_commission_structure'!$A$1:$I$1,0))</f>
        <v>81958.05</v>
      </c>
      <c r="O381" s="11">
        <f>IF(G381&gt;H381, MIN(G381-H381, I381-H381)*
INDEX('2018_commission_structure'!$A$1:$I$4,
MATCH($D381, '2018_commission_structure'!$A$1:$A$4, 0),
MATCH(O$1, '2018_commission_structure'!$A$1:$I$1, 0)), 0)</f>
        <v>0</v>
      </c>
      <c r="P381" s="11">
        <f>IF(G381&gt;H381, MIN(G381-H381, J381-H381)*
INDEX('2018_commission_structure'!$A$1:$I$4,
MATCH($D381, '2018_commission_structure'!$A$1:$A$4, 0),
MATCH(O$1, '2018_commission_structure'!$A$1:$I$1, 0)), 0)</f>
        <v>0</v>
      </c>
      <c r="Q381" s="11">
        <f>IF(G381&gt;H381, MIN(G381-H381, I381-H381)*
INDEX('2018_commission_structure'!$A$1:$I$4,
MATCH($D381, '2018_commission_structure'!$A$1:$A$4, 0),
MATCH(P$1, '2018_commission_structure'!$A$1:$I$1, 0)), 0)</f>
        <v>0</v>
      </c>
      <c r="R381" s="11">
        <f>IF(G381&gt;K381, (G381-K381) *
INDEX('2018_commission_structure'!$A$1:$I$4,
MATCH($D381, '2018_commission_structure'!$A$1:$A$4,0),
MATCH(R$1, '2018_commission_structure'!$A$1:$I$1,0)), 0)</f>
        <v>0</v>
      </c>
      <c r="S381" s="11">
        <f t="shared" si="35"/>
        <v>0</v>
      </c>
      <c r="T381" s="11" cm="1">
        <f t="array" ref="T381">SUM(E381+O381:Q381)</f>
        <v>274269</v>
      </c>
    </row>
    <row r="382" spans="1:20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 xml:space="preserve"> COUNTIF(deals_closed!D:D,A382)</f>
        <v>20</v>
      </c>
      <c r="G382" s="5">
        <f>SUMIF(deals_closed!D:D, calculations!A382, deals_closed!C:C)</f>
        <v>668997</v>
      </c>
      <c r="H382" s="5">
        <f>VLOOKUP(D382,'2018_commission_structure'!$A$2:$I$4,9,FALSE)</f>
        <v>750000</v>
      </c>
      <c r="I382" s="9">
        <f t="shared" si="30"/>
        <v>937500</v>
      </c>
      <c r="J382" s="8">
        <f t="shared" si="31"/>
        <v>1125000</v>
      </c>
      <c r="K382" s="9">
        <f t="shared" si="32"/>
        <v>1500000</v>
      </c>
      <c r="L382" s="10">
        <f t="shared" si="33"/>
        <v>0.89199600000000001</v>
      </c>
      <c r="M382" t="str">
        <f t="shared" si="34"/>
        <v>0-100%</v>
      </c>
      <c r="N382" s="9">
        <f>MIN(H382, G382)*INDEX('2018_commission_structure'!$A$1:$I$4,
MATCH($D382, '2018_commission_structure'!$A$1:$A$4,0),
MATCH(N$1, '2018_commission_structure'!$A$1:$I$1,0))</f>
        <v>100349.55</v>
      </c>
      <c r="O382" s="11">
        <f>IF(G382&gt;H382, MIN(G382-H382, I382-H382)*
INDEX('2018_commission_structure'!$A$1:$I$4,
MATCH($D382, '2018_commission_structure'!$A$1:$A$4, 0),
MATCH(O$1, '2018_commission_structure'!$A$1:$I$1, 0)), 0)</f>
        <v>0</v>
      </c>
      <c r="P382" s="11">
        <f>IF(G382&gt;H382, MIN(G382-H382, J382-H382)*
INDEX('2018_commission_structure'!$A$1:$I$4,
MATCH($D382, '2018_commission_structure'!$A$1:$A$4, 0),
MATCH(O$1, '2018_commission_structure'!$A$1:$I$1, 0)), 0)</f>
        <v>0</v>
      </c>
      <c r="Q382" s="11">
        <f>IF(G382&gt;H382, MIN(G382-H382, I382-H382)*
INDEX('2018_commission_structure'!$A$1:$I$4,
MATCH($D382, '2018_commission_structure'!$A$1:$A$4, 0),
MATCH(P$1, '2018_commission_structure'!$A$1:$I$1, 0)), 0)</f>
        <v>0</v>
      </c>
      <c r="R382" s="11">
        <f>IF(G382&gt;K382, (G382-K382) *
INDEX('2018_commission_structure'!$A$1:$I$4,
MATCH($D382, '2018_commission_structure'!$A$1:$A$4,0),
MATCH(R$1, '2018_commission_structure'!$A$1:$I$1,0)), 0)</f>
        <v>0</v>
      </c>
      <c r="S382" s="11">
        <f t="shared" si="35"/>
        <v>0</v>
      </c>
      <c r="T382" s="11" cm="1">
        <f t="array" ref="T382">SUM(E382+O382:Q382)</f>
        <v>341553</v>
      </c>
    </row>
    <row r="383" spans="1:20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 xml:space="preserve"> COUNTIF(deals_closed!D:D,A383)</f>
        <v>14</v>
      </c>
      <c r="G383" s="5">
        <f>SUMIF(deals_closed!D:D, calculations!A383, deals_closed!C:C)</f>
        <v>413366</v>
      </c>
      <c r="H383" s="5">
        <f>VLOOKUP(D383,'2018_commission_structure'!$A$2:$I$4,9,FALSE)</f>
        <v>750000</v>
      </c>
      <c r="I383" s="9">
        <f t="shared" si="30"/>
        <v>937500</v>
      </c>
      <c r="J383" s="8">
        <f t="shared" si="31"/>
        <v>1125000</v>
      </c>
      <c r="K383" s="9">
        <f t="shared" si="32"/>
        <v>1500000</v>
      </c>
      <c r="L383" s="10">
        <f t="shared" si="33"/>
        <v>0.55115466666666668</v>
      </c>
      <c r="M383" t="str">
        <f t="shared" si="34"/>
        <v>0-100%</v>
      </c>
      <c r="N383" s="9">
        <f>MIN(H383, G383)*INDEX('2018_commission_structure'!$A$1:$I$4,
MATCH($D383, '2018_commission_structure'!$A$1:$A$4,0),
MATCH(N$1, '2018_commission_structure'!$A$1:$I$1,0))</f>
        <v>62004.899999999994</v>
      </c>
      <c r="O383" s="11">
        <f>IF(G383&gt;H383, MIN(G383-H383, I383-H383)*
INDEX('2018_commission_structure'!$A$1:$I$4,
MATCH($D383, '2018_commission_structure'!$A$1:$A$4, 0),
MATCH(O$1, '2018_commission_structure'!$A$1:$I$1, 0)), 0)</f>
        <v>0</v>
      </c>
      <c r="P383" s="11">
        <f>IF(G383&gt;H383, MIN(G383-H383, J383-H383)*
INDEX('2018_commission_structure'!$A$1:$I$4,
MATCH($D383, '2018_commission_structure'!$A$1:$A$4, 0),
MATCH(O$1, '2018_commission_structure'!$A$1:$I$1, 0)), 0)</f>
        <v>0</v>
      </c>
      <c r="Q383" s="11">
        <f>IF(G383&gt;H383, MIN(G383-H383, I383-H383)*
INDEX('2018_commission_structure'!$A$1:$I$4,
MATCH($D383, '2018_commission_structure'!$A$1:$A$4, 0),
MATCH(P$1, '2018_commission_structure'!$A$1:$I$1, 0)), 0)</f>
        <v>0</v>
      </c>
      <c r="R383" s="11">
        <f>IF(G383&gt;K383, (G383-K383) *
INDEX('2018_commission_structure'!$A$1:$I$4,
MATCH($D383, '2018_commission_structure'!$A$1:$A$4,0),
MATCH(R$1, '2018_commission_structure'!$A$1:$I$1,0)), 0)</f>
        <v>0</v>
      </c>
      <c r="S383" s="11">
        <f t="shared" si="35"/>
        <v>0</v>
      </c>
      <c r="T383" s="11" cm="1">
        <f t="array" ref="T383">SUM(E383+O383:Q383)</f>
        <v>370974</v>
      </c>
    </row>
    <row r="384" spans="1:20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 xml:space="preserve"> COUNTIF(deals_closed!D:D,A384)</f>
        <v>23</v>
      </c>
      <c r="G384" s="5">
        <f>SUMIF(deals_closed!D:D, calculations!A384, deals_closed!C:C)</f>
        <v>787765</v>
      </c>
      <c r="H384" s="5">
        <f>VLOOKUP(D384,'2018_commission_structure'!$A$2:$I$4,9,FALSE)</f>
        <v>600000</v>
      </c>
      <c r="I384" s="9">
        <f t="shared" si="30"/>
        <v>750000</v>
      </c>
      <c r="J384" s="8">
        <f t="shared" si="31"/>
        <v>900000</v>
      </c>
      <c r="K384" s="9">
        <f t="shared" si="32"/>
        <v>1200000</v>
      </c>
      <c r="L384" s="10">
        <f t="shared" si="33"/>
        <v>1.3129416666666667</v>
      </c>
      <c r="M384" t="str">
        <f t="shared" si="34"/>
        <v>125-150%</v>
      </c>
      <c r="N384" s="9">
        <f>MIN(H384, G384)*INDEX('2018_commission_structure'!$A$1:$I$4,
MATCH($D384, '2018_commission_structure'!$A$1:$A$4,0),
MATCH(N$1, '2018_commission_structure'!$A$1:$I$1,0))</f>
        <v>78000</v>
      </c>
      <c r="O384" s="11">
        <f>IF(G384&gt;H384, MIN(G384-H384, I384-H384)*
INDEX('2018_commission_structure'!$A$1:$I$4,
MATCH($D384, '2018_commission_structure'!$A$1:$A$4, 0),
MATCH(O$1, '2018_commission_structure'!$A$1:$I$1, 0)), 0)</f>
        <v>25500.000000000004</v>
      </c>
      <c r="P384" s="11">
        <f>IF(G384&gt;H384, MIN(G384-H384, J384-H384)*
INDEX('2018_commission_structure'!$A$1:$I$4,
MATCH($D384, '2018_commission_structure'!$A$1:$A$4, 0),
MATCH(O$1, '2018_commission_structure'!$A$1:$I$1, 0)), 0)</f>
        <v>31920.050000000003</v>
      </c>
      <c r="Q384" s="11">
        <f>IF(G384&gt;H384, MIN(G384-H384, I384-H384)*
INDEX('2018_commission_structure'!$A$1:$I$4,
MATCH($D384, '2018_commission_structure'!$A$1:$A$4, 0),
MATCH(P$1, '2018_commission_structure'!$A$1:$I$1, 0)), 0)</f>
        <v>31500</v>
      </c>
      <c r="R384" s="11">
        <f>IF(G384&gt;K384, (G384-K384) *
INDEX('2018_commission_structure'!$A$1:$I$4,
MATCH($D384, '2018_commission_structure'!$A$1:$A$4,0),
MATCH(R$1, '2018_commission_structure'!$A$1:$I$1,0)), 0)</f>
        <v>0</v>
      </c>
      <c r="S384" s="11">
        <f t="shared" si="35"/>
        <v>88920.05</v>
      </c>
      <c r="T384" s="11" cm="1">
        <f t="array" ref="T384">SUM(E384+O384:Q384)</f>
        <v>325308.05</v>
      </c>
    </row>
    <row r="385" spans="1:20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 xml:space="preserve"> COUNTIF(deals_closed!D:D,A385)</f>
        <v>15</v>
      </c>
      <c r="G385" s="5">
        <f>SUMIF(deals_closed!D:D, calculations!A385, deals_closed!C:C)</f>
        <v>489050</v>
      </c>
      <c r="H385" s="5">
        <f>VLOOKUP(D385,'2018_commission_structure'!$A$2:$I$4,9,FALSE)</f>
        <v>750000</v>
      </c>
      <c r="I385" s="9">
        <f t="shared" si="30"/>
        <v>937500</v>
      </c>
      <c r="J385" s="8">
        <f t="shared" si="31"/>
        <v>1125000</v>
      </c>
      <c r="K385" s="9">
        <f t="shared" si="32"/>
        <v>1500000</v>
      </c>
      <c r="L385" s="10">
        <f t="shared" si="33"/>
        <v>0.65206666666666668</v>
      </c>
      <c r="M385" t="str">
        <f t="shared" si="34"/>
        <v>0-100%</v>
      </c>
      <c r="N385" s="9">
        <f>MIN(H385, G385)*INDEX('2018_commission_structure'!$A$1:$I$4,
MATCH($D385, '2018_commission_structure'!$A$1:$A$4,0),
MATCH(N$1, '2018_commission_structure'!$A$1:$I$1,0))</f>
        <v>73357.5</v>
      </c>
      <c r="O385" s="11">
        <f>IF(G385&gt;H385, MIN(G385-H385, I385-H385)*
INDEX('2018_commission_structure'!$A$1:$I$4,
MATCH($D385, '2018_commission_structure'!$A$1:$A$4, 0),
MATCH(O$1, '2018_commission_structure'!$A$1:$I$1, 0)), 0)</f>
        <v>0</v>
      </c>
      <c r="P385" s="11">
        <f>IF(G385&gt;H385, MIN(G385-H385, J385-H385)*
INDEX('2018_commission_structure'!$A$1:$I$4,
MATCH($D385, '2018_commission_structure'!$A$1:$A$4, 0),
MATCH(O$1, '2018_commission_structure'!$A$1:$I$1, 0)), 0)</f>
        <v>0</v>
      </c>
      <c r="Q385" s="11">
        <f>IF(G385&gt;H385, MIN(G385-H385, I385-H385)*
INDEX('2018_commission_structure'!$A$1:$I$4,
MATCH($D385, '2018_commission_structure'!$A$1:$A$4, 0),
MATCH(P$1, '2018_commission_structure'!$A$1:$I$1, 0)), 0)</f>
        <v>0</v>
      </c>
      <c r="R385" s="11">
        <f>IF(G385&gt;K385, (G385-K385) *
INDEX('2018_commission_structure'!$A$1:$I$4,
MATCH($D385, '2018_commission_structure'!$A$1:$A$4,0),
MATCH(R$1, '2018_commission_structure'!$A$1:$I$1,0)), 0)</f>
        <v>0</v>
      </c>
      <c r="S385" s="11">
        <f t="shared" si="35"/>
        <v>0</v>
      </c>
      <c r="T385" s="11" cm="1">
        <f t="array" ref="T385">SUM(E385+O385:Q385)</f>
        <v>343650</v>
      </c>
    </row>
    <row r="386" spans="1:20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 xml:space="preserve"> COUNTIF(deals_closed!D:D,A386)</f>
        <v>19</v>
      </c>
      <c r="G386" s="5">
        <f>SUMIF(deals_closed!D:D, calculations!A386, deals_closed!C:C)</f>
        <v>584366</v>
      </c>
      <c r="H386" s="5">
        <f>VLOOKUP(D386,'2018_commission_structure'!$A$2:$I$4,9,FALSE)</f>
        <v>750000</v>
      </c>
      <c r="I386" s="9">
        <f t="shared" si="30"/>
        <v>937500</v>
      </c>
      <c r="J386" s="8">
        <f t="shared" si="31"/>
        <v>1125000</v>
      </c>
      <c r="K386" s="9">
        <f t="shared" si="32"/>
        <v>1500000</v>
      </c>
      <c r="L386" s="10">
        <f t="shared" si="33"/>
        <v>0.77915466666666666</v>
      </c>
      <c r="M386" t="str">
        <f t="shared" si="34"/>
        <v>0-100%</v>
      </c>
      <c r="N386" s="9">
        <f>MIN(H386, G386)*INDEX('2018_commission_structure'!$A$1:$I$4,
MATCH($D386, '2018_commission_structure'!$A$1:$A$4,0),
MATCH(N$1, '2018_commission_structure'!$A$1:$I$1,0))</f>
        <v>87654.9</v>
      </c>
      <c r="O386" s="11">
        <f>IF(G386&gt;H386, MIN(G386-H386, I386-H386)*
INDEX('2018_commission_structure'!$A$1:$I$4,
MATCH($D386, '2018_commission_structure'!$A$1:$A$4, 0),
MATCH(O$1, '2018_commission_structure'!$A$1:$I$1, 0)), 0)</f>
        <v>0</v>
      </c>
      <c r="P386" s="11">
        <f>IF(G386&gt;H386, MIN(G386-H386, J386-H386)*
INDEX('2018_commission_structure'!$A$1:$I$4,
MATCH($D386, '2018_commission_structure'!$A$1:$A$4, 0),
MATCH(O$1, '2018_commission_structure'!$A$1:$I$1, 0)), 0)</f>
        <v>0</v>
      </c>
      <c r="Q386" s="11">
        <f>IF(G386&gt;H386, MIN(G386-H386, I386-H386)*
INDEX('2018_commission_structure'!$A$1:$I$4,
MATCH($D386, '2018_commission_structure'!$A$1:$A$4, 0),
MATCH(P$1, '2018_commission_structure'!$A$1:$I$1, 0)), 0)</f>
        <v>0</v>
      </c>
      <c r="R386" s="11">
        <f>IF(G386&gt;K386, (G386-K386) *
INDEX('2018_commission_structure'!$A$1:$I$4,
MATCH($D386, '2018_commission_structure'!$A$1:$A$4,0),
MATCH(R$1, '2018_commission_structure'!$A$1:$I$1,0)), 0)</f>
        <v>0</v>
      </c>
      <c r="S386" s="11">
        <f t="shared" si="35"/>
        <v>0</v>
      </c>
      <c r="T386" s="11" cm="1">
        <f t="array" ref="T386">SUM(E386+O386:Q386)</f>
        <v>274563</v>
      </c>
    </row>
    <row r="387" spans="1:20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 xml:space="preserve"> COUNTIF(deals_closed!D:D,A387)</f>
        <v>23</v>
      </c>
      <c r="G387" s="5">
        <f>SUMIF(deals_closed!D:D, calculations!A387, deals_closed!C:C)</f>
        <v>906215</v>
      </c>
      <c r="H387" s="5">
        <f>VLOOKUP(D387,'2018_commission_structure'!$A$2:$I$4,9,FALSE)</f>
        <v>600000</v>
      </c>
      <c r="I387" s="9">
        <f t="shared" ref="I387:I450" si="36">H387*1.25</f>
        <v>750000</v>
      </c>
      <c r="J387" s="8">
        <f t="shared" ref="J387:J450" si="37">H387*1.5</f>
        <v>900000</v>
      </c>
      <c r="K387" s="9">
        <f t="shared" ref="K387:K450" si="38">H387*2</f>
        <v>1200000</v>
      </c>
      <c r="L387" s="10">
        <f t="shared" ref="L387:L450" si="39">G387/H387</f>
        <v>1.5103583333333332</v>
      </c>
      <c r="M387" t="str">
        <f t="shared" ref="M387:M450" si="40">IF(L387&lt;=1, "0-100%",
IF(L387&lt;=1.25, "100-125%",
IF(L387&lt;=1.5, "125-150%",
IF(L387&lt;2, "150-200%", "&gt;200%"))))</f>
        <v>150-200%</v>
      </c>
      <c r="N387" s="9">
        <f>MIN(H387, G387)*INDEX('2018_commission_structure'!$A$1:$I$4,
MATCH($D387, '2018_commission_structure'!$A$1:$A$4,0),
MATCH(N$1, '2018_commission_structure'!$A$1:$I$1,0))</f>
        <v>78000</v>
      </c>
      <c r="O387" s="11">
        <f>IF(G387&gt;H387, MIN(G387-H387, I387-H387)*
INDEX('2018_commission_structure'!$A$1:$I$4,
MATCH($D387, '2018_commission_structure'!$A$1:$A$4, 0),
MATCH(O$1, '2018_commission_structure'!$A$1:$I$1, 0)), 0)</f>
        <v>25500.000000000004</v>
      </c>
      <c r="P387" s="11">
        <f>IF(G387&gt;H387, MIN(G387-H387, J387-H387)*
INDEX('2018_commission_structure'!$A$1:$I$4,
MATCH($D387, '2018_commission_structure'!$A$1:$A$4, 0),
MATCH(O$1, '2018_commission_structure'!$A$1:$I$1, 0)), 0)</f>
        <v>51000.000000000007</v>
      </c>
      <c r="Q387" s="11">
        <f>IF(G387&gt;H387, MIN(G387-H387, I387-H387)*
INDEX('2018_commission_structure'!$A$1:$I$4,
MATCH($D387, '2018_commission_structure'!$A$1:$A$4, 0),
MATCH(P$1, '2018_commission_structure'!$A$1:$I$1, 0)), 0)</f>
        <v>31500</v>
      </c>
      <c r="R387" s="11">
        <f>IF(G387&gt;K387, (G387-K387) *
INDEX('2018_commission_structure'!$A$1:$I$4,
MATCH($D387, '2018_commission_structure'!$A$1:$A$4,0),
MATCH(R$1, '2018_commission_structure'!$A$1:$I$1,0)), 0)</f>
        <v>0</v>
      </c>
      <c r="S387" s="11">
        <f t="shared" ref="S387:S450" si="41">SUM(O387:Q387)</f>
        <v>108000.00000000001</v>
      </c>
      <c r="T387" s="11" cm="1">
        <f t="array" ref="T387">SUM(E387+O387:Q387)</f>
        <v>345069</v>
      </c>
    </row>
    <row r="388" spans="1:20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 xml:space="preserve"> COUNTIF(deals_closed!D:D,A388)</f>
        <v>19</v>
      </c>
      <c r="G388" s="5">
        <f>SUMIF(deals_closed!D:D, calculations!A388, deals_closed!C:C)</f>
        <v>694951</v>
      </c>
      <c r="H388" s="5">
        <f>VLOOKUP(D388,'2018_commission_structure'!$A$2:$I$4,9,FALSE)</f>
        <v>750000</v>
      </c>
      <c r="I388" s="9">
        <f t="shared" si="36"/>
        <v>937500</v>
      </c>
      <c r="J388" s="8">
        <f t="shared" si="37"/>
        <v>1125000</v>
      </c>
      <c r="K388" s="9">
        <f t="shared" si="38"/>
        <v>1500000</v>
      </c>
      <c r="L388" s="10">
        <f t="shared" si="39"/>
        <v>0.92660133333333339</v>
      </c>
      <c r="M388" t="str">
        <f t="shared" si="40"/>
        <v>0-100%</v>
      </c>
      <c r="N388" s="9">
        <f>MIN(H388, G388)*INDEX('2018_commission_structure'!$A$1:$I$4,
MATCH($D388, '2018_commission_structure'!$A$1:$A$4,0),
MATCH(N$1, '2018_commission_structure'!$A$1:$I$1,0))</f>
        <v>104242.65</v>
      </c>
      <c r="O388" s="11">
        <f>IF(G388&gt;H388, MIN(G388-H388, I388-H388)*
INDEX('2018_commission_structure'!$A$1:$I$4,
MATCH($D388, '2018_commission_structure'!$A$1:$A$4, 0),
MATCH(O$1, '2018_commission_structure'!$A$1:$I$1, 0)), 0)</f>
        <v>0</v>
      </c>
      <c r="P388" s="11">
        <f>IF(G388&gt;H388, MIN(G388-H388, J388-H388)*
INDEX('2018_commission_structure'!$A$1:$I$4,
MATCH($D388, '2018_commission_structure'!$A$1:$A$4, 0),
MATCH(O$1, '2018_commission_structure'!$A$1:$I$1, 0)), 0)</f>
        <v>0</v>
      </c>
      <c r="Q388" s="11">
        <f>IF(G388&gt;H388, MIN(G388-H388, I388-H388)*
INDEX('2018_commission_structure'!$A$1:$I$4,
MATCH($D388, '2018_commission_structure'!$A$1:$A$4, 0),
MATCH(P$1, '2018_commission_structure'!$A$1:$I$1, 0)), 0)</f>
        <v>0</v>
      </c>
      <c r="R388" s="11">
        <f>IF(G388&gt;K388, (G388-K388) *
INDEX('2018_commission_structure'!$A$1:$I$4,
MATCH($D388, '2018_commission_structure'!$A$1:$A$4,0),
MATCH(R$1, '2018_commission_structure'!$A$1:$I$1,0)), 0)</f>
        <v>0</v>
      </c>
      <c r="S388" s="11">
        <f t="shared" si="41"/>
        <v>0</v>
      </c>
      <c r="T388" s="11" cm="1">
        <f t="array" ref="T388">SUM(E388+O388:Q388)</f>
        <v>278400</v>
      </c>
    </row>
    <row r="389" spans="1:20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 xml:space="preserve"> COUNTIF(deals_closed!D:D,A389)</f>
        <v>20</v>
      </c>
      <c r="G389" s="5">
        <f>SUMIF(deals_closed!D:D, calculations!A389, deals_closed!C:C)</f>
        <v>630239</v>
      </c>
      <c r="H389" s="5">
        <f>VLOOKUP(D389,'2018_commission_structure'!$A$2:$I$4,9,FALSE)</f>
        <v>750000</v>
      </c>
      <c r="I389" s="9">
        <f t="shared" si="36"/>
        <v>937500</v>
      </c>
      <c r="J389" s="8">
        <f t="shared" si="37"/>
        <v>1125000</v>
      </c>
      <c r="K389" s="9">
        <f t="shared" si="38"/>
        <v>1500000</v>
      </c>
      <c r="L389" s="10">
        <f t="shared" si="39"/>
        <v>0.84031866666666666</v>
      </c>
      <c r="M389" t="str">
        <f t="shared" si="40"/>
        <v>0-100%</v>
      </c>
      <c r="N389" s="9">
        <f>MIN(H389, G389)*INDEX('2018_commission_structure'!$A$1:$I$4,
MATCH($D389, '2018_commission_structure'!$A$1:$A$4,0),
MATCH(N$1, '2018_commission_structure'!$A$1:$I$1,0))</f>
        <v>94535.849999999991</v>
      </c>
      <c r="O389" s="11">
        <f>IF(G389&gt;H389, MIN(G389-H389, I389-H389)*
INDEX('2018_commission_structure'!$A$1:$I$4,
MATCH($D389, '2018_commission_structure'!$A$1:$A$4, 0),
MATCH(O$1, '2018_commission_structure'!$A$1:$I$1, 0)), 0)</f>
        <v>0</v>
      </c>
      <c r="P389" s="11">
        <f>IF(G389&gt;H389, MIN(G389-H389, J389-H389)*
INDEX('2018_commission_structure'!$A$1:$I$4,
MATCH($D389, '2018_commission_structure'!$A$1:$A$4, 0),
MATCH(O$1, '2018_commission_structure'!$A$1:$I$1, 0)), 0)</f>
        <v>0</v>
      </c>
      <c r="Q389" s="11">
        <f>IF(G389&gt;H389, MIN(G389-H389, I389-H389)*
INDEX('2018_commission_structure'!$A$1:$I$4,
MATCH($D389, '2018_commission_structure'!$A$1:$A$4, 0),
MATCH(P$1, '2018_commission_structure'!$A$1:$I$1, 0)), 0)</f>
        <v>0</v>
      </c>
      <c r="R389" s="11">
        <f>IF(G389&gt;K389, (G389-K389) *
INDEX('2018_commission_structure'!$A$1:$I$4,
MATCH($D389, '2018_commission_structure'!$A$1:$A$4,0),
MATCH(R$1, '2018_commission_structure'!$A$1:$I$1,0)), 0)</f>
        <v>0</v>
      </c>
      <c r="S389" s="11">
        <f t="shared" si="41"/>
        <v>0</v>
      </c>
      <c r="T389" s="11" cm="1">
        <f t="array" ref="T389">SUM(E389+O389:Q389)</f>
        <v>259314</v>
      </c>
    </row>
    <row r="390" spans="1:20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 xml:space="preserve"> COUNTIF(deals_closed!D:D,A390)</f>
        <v>17</v>
      </c>
      <c r="G390" s="5">
        <f>SUMIF(deals_closed!D:D, calculations!A390, deals_closed!C:C)</f>
        <v>593443</v>
      </c>
      <c r="H390" s="5">
        <f>VLOOKUP(D390,'2018_commission_structure'!$A$2:$I$4,9,FALSE)</f>
        <v>600000</v>
      </c>
      <c r="I390" s="9">
        <f t="shared" si="36"/>
        <v>750000</v>
      </c>
      <c r="J390" s="8">
        <f t="shared" si="37"/>
        <v>900000</v>
      </c>
      <c r="K390" s="9">
        <f t="shared" si="38"/>
        <v>1200000</v>
      </c>
      <c r="L390" s="10">
        <f t="shared" si="39"/>
        <v>0.98907166666666668</v>
      </c>
      <c r="M390" t="str">
        <f t="shared" si="40"/>
        <v>0-100%</v>
      </c>
      <c r="N390" s="9">
        <f>MIN(H390, G390)*INDEX('2018_commission_structure'!$A$1:$I$4,
MATCH($D390, '2018_commission_structure'!$A$1:$A$4,0),
MATCH(N$1, '2018_commission_structure'!$A$1:$I$1,0))</f>
        <v>77147.59</v>
      </c>
      <c r="O390" s="11">
        <f>IF(G390&gt;H390, MIN(G390-H390, I390-H390)*
INDEX('2018_commission_structure'!$A$1:$I$4,
MATCH($D390, '2018_commission_structure'!$A$1:$A$4, 0),
MATCH(O$1, '2018_commission_structure'!$A$1:$I$1, 0)), 0)</f>
        <v>0</v>
      </c>
      <c r="P390" s="11">
        <f>IF(G390&gt;H390, MIN(G390-H390, J390-H390)*
INDEX('2018_commission_structure'!$A$1:$I$4,
MATCH($D390, '2018_commission_structure'!$A$1:$A$4, 0),
MATCH(O$1, '2018_commission_structure'!$A$1:$I$1, 0)), 0)</f>
        <v>0</v>
      </c>
      <c r="Q390" s="11">
        <f>IF(G390&gt;H390, MIN(G390-H390, I390-H390)*
INDEX('2018_commission_structure'!$A$1:$I$4,
MATCH($D390, '2018_commission_structure'!$A$1:$A$4, 0),
MATCH(P$1, '2018_commission_structure'!$A$1:$I$1, 0)), 0)</f>
        <v>0</v>
      </c>
      <c r="R390" s="11">
        <f>IF(G390&gt;K390, (G390-K390) *
INDEX('2018_commission_structure'!$A$1:$I$4,
MATCH($D390, '2018_commission_structure'!$A$1:$A$4,0),
MATCH(R$1, '2018_commission_structure'!$A$1:$I$1,0)), 0)</f>
        <v>0</v>
      </c>
      <c r="S390" s="11">
        <f t="shared" si="41"/>
        <v>0</v>
      </c>
      <c r="T390" s="11" cm="1">
        <f t="array" ref="T390">SUM(E390+O390:Q390)</f>
        <v>231522</v>
      </c>
    </row>
    <row r="391" spans="1:20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 xml:space="preserve"> COUNTIF(deals_closed!D:D,A391)</f>
        <v>20</v>
      </c>
      <c r="G391" s="5">
        <f>SUMIF(deals_closed!D:D, calculations!A391, deals_closed!C:C)</f>
        <v>785519</v>
      </c>
      <c r="H391" s="5">
        <f>VLOOKUP(D391,'2018_commission_structure'!$A$2:$I$4,9,FALSE)</f>
        <v>750000</v>
      </c>
      <c r="I391" s="9">
        <f t="shared" si="36"/>
        <v>937500</v>
      </c>
      <c r="J391" s="8">
        <f t="shared" si="37"/>
        <v>1125000</v>
      </c>
      <c r="K391" s="9">
        <f t="shared" si="38"/>
        <v>1500000</v>
      </c>
      <c r="L391" s="10">
        <f t="shared" si="39"/>
        <v>1.0473586666666668</v>
      </c>
      <c r="M391" t="str">
        <f t="shared" si="40"/>
        <v>100-125%</v>
      </c>
      <c r="N391" s="9">
        <f>MIN(H391, G391)*INDEX('2018_commission_structure'!$A$1:$I$4,
MATCH($D391, '2018_commission_structure'!$A$1:$A$4,0),
MATCH(N$1, '2018_commission_structure'!$A$1:$I$1,0))</f>
        <v>112500</v>
      </c>
      <c r="O391" s="11">
        <f>IF(G391&gt;H391, MIN(G391-H391, I391-H391)*
INDEX('2018_commission_structure'!$A$1:$I$4,
MATCH($D391, '2018_commission_structure'!$A$1:$A$4, 0),
MATCH(O$1, '2018_commission_structure'!$A$1:$I$1, 0)), 0)</f>
        <v>6748.61</v>
      </c>
      <c r="P391" s="11">
        <f>IF(G391&gt;H391, MIN(G391-H391, J391-H391)*
INDEX('2018_commission_structure'!$A$1:$I$4,
MATCH($D391, '2018_commission_structure'!$A$1:$A$4, 0),
MATCH(O$1, '2018_commission_structure'!$A$1:$I$1, 0)), 0)</f>
        <v>6748.61</v>
      </c>
      <c r="Q391" s="11">
        <f>IF(G391&gt;H391, MIN(G391-H391, I391-H391)*
INDEX('2018_commission_structure'!$A$1:$I$4,
MATCH($D391, '2018_commission_structure'!$A$1:$A$4, 0),
MATCH(P$1, '2018_commission_structure'!$A$1:$I$1, 0)), 0)</f>
        <v>8169.3700000000008</v>
      </c>
      <c r="R391" s="11">
        <f>IF(G391&gt;K391, (G391-K391) *
INDEX('2018_commission_structure'!$A$1:$I$4,
MATCH($D391, '2018_commission_structure'!$A$1:$A$4,0),
MATCH(R$1, '2018_commission_structure'!$A$1:$I$1,0)), 0)</f>
        <v>0</v>
      </c>
      <c r="S391" s="11">
        <f t="shared" si="41"/>
        <v>21666.59</v>
      </c>
      <c r="T391" s="11" cm="1">
        <f t="array" ref="T391">SUM(E391+O391:Q391)</f>
        <v>255723.59</v>
      </c>
    </row>
    <row r="392" spans="1:20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 xml:space="preserve"> COUNTIF(deals_closed!D:D,A392)</f>
        <v>19</v>
      </c>
      <c r="G392" s="5">
        <f>SUMIF(deals_closed!D:D, calculations!A392, deals_closed!C:C)</f>
        <v>696630</v>
      </c>
      <c r="H392" s="5">
        <f>VLOOKUP(D392,'2018_commission_structure'!$A$2:$I$4,9,FALSE)</f>
        <v>500000</v>
      </c>
      <c r="I392" s="9">
        <f t="shared" si="36"/>
        <v>625000</v>
      </c>
      <c r="J392" s="8">
        <f t="shared" si="37"/>
        <v>750000</v>
      </c>
      <c r="K392" s="9">
        <f t="shared" si="38"/>
        <v>1000000</v>
      </c>
      <c r="L392" s="10">
        <f t="shared" si="39"/>
        <v>1.3932599999999999</v>
      </c>
      <c r="M392" t="str">
        <f t="shared" si="40"/>
        <v>125-150%</v>
      </c>
      <c r="N392" s="9">
        <f>MIN(H392, G392)*INDEX('2018_commission_structure'!$A$1:$I$4,
MATCH($D392, '2018_commission_structure'!$A$1:$A$4,0),
MATCH(N$1, '2018_commission_structure'!$A$1:$I$1,0))</f>
        <v>50000</v>
      </c>
      <c r="O392" s="11">
        <f>IF(G392&gt;H392, MIN(G392-H392, I392-H392)*
INDEX('2018_commission_structure'!$A$1:$I$4,
MATCH($D392, '2018_commission_structure'!$A$1:$A$4, 0),
MATCH(O$1, '2018_commission_structure'!$A$1:$I$1, 0)), 0)</f>
        <v>18750</v>
      </c>
      <c r="P392" s="11">
        <f>IF(G392&gt;H392, MIN(G392-H392, J392-H392)*
INDEX('2018_commission_structure'!$A$1:$I$4,
MATCH($D392, '2018_commission_structure'!$A$1:$A$4, 0),
MATCH(O$1, '2018_commission_structure'!$A$1:$I$1, 0)), 0)</f>
        <v>29494.5</v>
      </c>
      <c r="Q392" s="11">
        <f>IF(G392&gt;H392, MIN(G392-H392, I392-H392)*
INDEX('2018_commission_structure'!$A$1:$I$4,
MATCH($D392, '2018_commission_structure'!$A$1:$A$4, 0),
MATCH(P$1, '2018_commission_structure'!$A$1:$I$1, 0)), 0)</f>
        <v>22500</v>
      </c>
      <c r="R392" s="11">
        <f>IF(G392&gt;K392, (G392-K392) *
INDEX('2018_commission_structure'!$A$1:$I$4,
MATCH($D392, '2018_commission_structure'!$A$1:$A$4,0),
MATCH(R$1, '2018_commission_structure'!$A$1:$I$1,0)), 0)</f>
        <v>0</v>
      </c>
      <c r="S392" s="11">
        <f t="shared" si="41"/>
        <v>70744.5</v>
      </c>
      <c r="T392" s="11" cm="1">
        <f t="array" ref="T392">SUM(E392+O392:Q392)</f>
        <v>215380.5</v>
      </c>
    </row>
    <row r="393" spans="1:20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 xml:space="preserve"> COUNTIF(deals_closed!D:D,A393)</f>
        <v>24</v>
      </c>
      <c r="G393" s="5">
        <f>SUMIF(deals_closed!D:D, calculations!A393, deals_closed!C:C)</f>
        <v>739737</v>
      </c>
      <c r="H393" s="5">
        <f>VLOOKUP(D393,'2018_commission_structure'!$A$2:$I$4,9,FALSE)</f>
        <v>500000</v>
      </c>
      <c r="I393" s="9">
        <f t="shared" si="36"/>
        <v>625000</v>
      </c>
      <c r="J393" s="8">
        <f t="shared" si="37"/>
        <v>750000</v>
      </c>
      <c r="K393" s="9">
        <f t="shared" si="38"/>
        <v>1000000</v>
      </c>
      <c r="L393" s="10">
        <f t="shared" si="39"/>
        <v>1.479474</v>
      </c>
      <c r="M393" t="str">
        <f t="shared" si="40"/>
        <v>125-150%</v>
      </c>
      <c r="N393" s="9">
        <f>MIN(H393, G393)*INDEX('2018_commission_structure'!$A$1:$I$4,
MATCH($D393, '2018_commission_structure'!$A$1:$A$4,0),
MATCH(N$1, '2018_commission_structure'!$A$1:$I$1,0))</f>
        <v>50000</v>
      </c>
      <c r="O393" s="11">
        <f>IF(G393&gt;H393, MIN(G393-H393, I393-H393)*
INDEX('2018_commission_structure'!$A$1:$I$4,
MATCH($D393, '2018_commission_structure'!$A$1:$A$4, 0),
MATCH(O$1, '2018_commission_structure'!$A$1:$I$1, 0)), 0)</f>
        <v>18750</v>
      </c>
      <c r="P393" s="11">
        <f>IF(G393&gt;H393, MIN(G393-H393, J393-H393)*
INDEX('2018_commission_structure'!$A$1:$I$4,
MATCH($D393, '2018_commission_structure'!$A$1:$A$4, 0),
MATCH(O$1, '2018_commission_structure'!$A$1:$I$1, 0)), 0)</f>
        <v>35960.549999999996</v>
      </c>
      <c r="Q393" s="11">
        <f>IF(G393&gt;H393, MIN(G393-H393, I393-H393)*
INDEX('2018_commission_structure'!$A$1:$I$4,
MATCH($D393, '2018_commission_structure'!$A$1:$A$4, 0),
MATCH(P$1, '2018_commission_structure'!$A$1:$I$1, 0)), 0)</f>
        <v>22500</v>
      </c>
      <c r="R393" s="11">
        <f>IF(G393&gt;K393, (G393-K393) *
INDEX('2018_commission_structure'!$A$1:$I$4,
MATCH($D393, '2018_commission_structure'!$A$1:$A$4,0),
MATCH(R$1, '2018_commission_structure'!$A$1:$I$1,0)), 0)</f>
        <v>0</v>
      </c>
      <c r="S393" s="11">
        <f t="shared" si="41"/>
        <v>77210.549999999988</v>
      </c>
      <c r="T393" s="11" cm="1">
        <f t="array" ref="T393">SUM(E393+O393:Q393)</f>
        <v>193631.55</v>
      </c>
    </row>
    <row r="394" spans="1:20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 xml:space="preserve"> COUNTIF(deals_closed!D:D,A394)</f>
        <v>18</v>
      </c>
      <c r="G394" s="5">
        <f>SUMIF(deals_closed!D:D, calculations!A394, deals_closed!C:C)</f>
        <v>631490</v>
      </c>
      <c r="H394" s="5">
        <f>VLOOKUP(D394,'2018_commission_structure'!$A$2:$I$4,9,FALSE)</f>
        <v>500000</v>
      </c>
      <c r="I394" s="9">
        <f t="shared" si="36"/>
        <v>625000</v>
      </c>
      <c r="J394" s="8">
        <f t="shared" si="37"/>
        <v>750000</v>
      </c>
      <c r="K394" s="9">
        <f t="shared" si="38"/>
        <v>1000000</v>
      </c>
      <c r="L394" s="10">
        <f t="shared" si="39"/>
        <v>1.26298</v>
      </c>
      <c r="M394" t="str">
        <f t="shared" si="40"/>
        <v>125-150%</v>
      </c>
      <c r="N394" s="9">
        <f>MIN(H394, G394)*INDEX('2018_commission_structure'!$A$1:$I$4,
MATCH($D394, '2018_commission_structure'!$A$1:$A$4,0),
MATCH(N$1, '2018_commission_structure'!$A$1:$I$1,0))</f>
        <v>50000</v>
      </c>
      <c r="O394" s="11">
        <f>IF(G394&gt;H394, MIN(G394-H394, I394-H394)*
INDEX('2018_commission_structure'!$A$1:$I$4,
MATCH($D394, '2018_commission_structure'!$A$1:$A$4, 0),
MATCH(O$1, '2018_commission_structure'!$A$1:$I$1, 0)), 0)</f>
        <v>18750</v>
      </c>
      <c r="P394" s="11">
        <f>IF(G394&gt;H394, MIN(G394-H394, J394-H394)*
INDEX('2018_commission_structure'!$A$1:$I$4,
MATCH($D394, '2018_commission_structure'!$A$1:$A$4, 0),
MATCH(O$1, '2018_commission_structure'!$A$1:$I$1, 0)), 0)</f>
        <v>19723.5</v>
      </c>
      <c r="Q394" s="11">
        <f>IF(G394&gt;H394, MIN(G394-H394, I394-H394)*
INDEX('2018_commission_structure'!$A$1:$I$4,
MATCH($D394, '2018_commission_structure'!$A$1:$A$4, 0),
MATCH(P$1, '2018_commission_structure'!$A$1:$I$1, 0)), 0)</f>
        <v>22500</v>
      </c>
      <c r="R394" s="11">
        <f>IF(G394&gt;K394, (G394-K394) *
INDEX('2018_commission_structure'!$A$1:$I$4,
MATCH($D394, '2018_commission_structure'!$A$1:$A$4,0),
MATCH(R$1, '2018_commission_structure'!$A$1:$I$1,0)), 0)</f>
        <v>0</v>
      </c>
      <c r="S394" s="11">
        <f t="shared" si="41"/>
        <v>60973.5</v>
      </c>
      <c r="T394" s="11" cm="1">
        <f t="array" ref="T394">SUM(E394+O394:Q394)</f>
        <v>217909.5</v>
      </c>
    </row>
    <row r="395" spans="1:20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 xml:space="preserve"> COUNTIF(deals_closed!D:D,A395)</f>
        <v>9</v>
      </c>
      <c r="G395" s="5">
        <f>SUMIF(deals_closed!D:D, calculations!A395, deals_closed!C:C)</f>
        <v>347519</v>
      </c>
      <c r="H395" s="5">
        <f>VLOOKUP(D395,'2018_commission_structure'!$A$2:$I$4,9,FALSE)</f>
        <v>600000</v>
      </c>
      <c r="I395" s="9">
        <f t="shared" si="36"/>
        <v>750000</v>
      </c>
      <c r="J395" s="8">
        <f t="shared" si="37"/>
        <v>900000</v>
      </c>
      <c r="K395" s="9">
        <f t="shared" si="38"/>
        <v>1200000</v>
      </c>
      <c r="L395" s="10">
        <f t="shared" si="39"/>
        <v>0.57919833333333337</v>
      </c>
      <c r="M395" t="str">
        <f t="shared" si="40"/>
        <v>0-100%</v>
      </c>
      <c r="N395" s="9">
        <f>MIN(H395, G395)*INDEX('2018_commission_structure'!$A$1:$I$4,
MATCH($D395, '2018_commission_structure'!$A$1:$A$4,0),
MATCH(N$1, '2018_commission_structure'!$A$1:$I$1,0))</f>
        <v>45177.47</v>
      </c>
      <c r="O395" s="11">
        <f>IF(G395&gt;H395, MIN(G395-H395, I395-H395)*
INDEX('2018_commission_structure'!$A$1:$I$4,
MATCH($D395, '2018_commission_structure'!$A$1:$A$4, 0),
MATCH(O$1, '2018_commission_structure'!$A$1:$I$1, 0)), 0)</f>
        <v>0</v>
      </c>
      <c r="P395" s="11">
        <f>IF(G395&gt;H395, MIN(G395-H395, J395-H395)*
INDEX('2018_commission_structure'!$A$1:$I$4,
MATCH($D395, '2018_commission_structure'!$A$1:$A$4, 0),
MATCH(O$1, '2018_commission_structure'!$A$1:$I$1, 0)), 0)</f>
        <v>0</v>
      </c>
      <c r="Q395" s="11">
        <f>IF(G395&gt;H395, MIN(G395-H395, I395-H395)*
INDEX('2018_commission_structure'!$A$1:$I$4,
MATCH($D395, '2018_commission_structure'!$A$1:$A$4, 0),
MATCH(P$1, '2018_commission_structure'!$A$1:$I$1, 0)), 0)</f>
        <v>0</v>
      </c>
      <c r="R395" s="11">
        <f>IF(G395&gt;K395, (G395-K395) *
INDEX('2018_commission_structure'!$A$1:$I$4,
MATCH($D395, '2018_commission_structure'!$A$1:$A$4,0),
MATCH(R$1, '2018_commission_structure'!$A$1:$I$1,0)), 0)</f>
        <v>0</v>
      </c>
      <c r="S395" s="11">
        <f t="shared" si="41"/>
        <v>0</v>
      </c>
      <c r="T395" s="11" cm="1">
        <f t="array" ref="T395">SUM(E395+O395:Q395)</f>
        <v>192768</v>
      </c>
    </row>
    <row r="396" spans="1:20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 xml:space="preserve"> COUNTIF(deals_closed!D:D,A396)</f>
        <v>11</v>
      </c>
      <c r="G396" s="5">
        <f>SUMIF(deals_closed!D:D, calculations!A396, deals_closed!C:C)</f>
        <v>373695</v>
      </c>
      <c r="H396" s="5">
        <f>VLOOKUP(D396,'2018_commission_structure'!$A$2:$I$4,9,FALSE)</f>
        <v>500000</v>
      </c>
      <c r="I396" s="9">
        <f t="shared" si="36"/>
        <v>625000</v>
      </c>
      <c r="J396" s="8">
        <f t="shared" si="37"/>
        <v>750000</v>
      </c>
      <c r="K396" s="9">
        <f t="shared" si="38"/>
        <v>1000000</v>
      </c>
      <c r="L396" s="10">
        <f t="shared" si="39"/>
        <v>0.74739</v>
      </c>
      <c r="M396" t="str">
        <f t="shared" si="40"/>
        <v>0-100%</v>
      </c>
      <c r="N396" s="9">
        <f>MIN(H396, G396)*INDEX('2018_commission_structure'!$A$1:$I$4,
MATCH($D396, '2018_commission_structure'!$A$1:$A$4,0),
MATCH(N$1, '2018_commission_structure'!$A$1:$I$1,0))</f>
        <v>37369.5</v>
      </c>
      <c r="O396" s="11">
        <f>IF(G396&gt;H396, MIN(G396-H396, I396-H396)*
INDEX('2018_commission_structure'!$A$1:$I$4,
MATCH($D396, '2018_commission_structure'!$A$1:$A$4, 0),
MATCH(O$1, '2018_commission_structure'!$A$1:$I$1, 0)), 0)</f>
        <v>0</v>
      </c>
      <c r="P396" s="11">
        <f>IF(G396&gt;H396, MIN(G396-H396, J396-H396)*
INDEX('2018_commission_structure'!$A$1:$I$4,
MATCH($D396, '2018_commission_structure'!$A$1:$A$4, 0),
MATCH(O$1, '2018_commission_structure'!$A$1:$I$1, 0)), 0)</f>
        <v>0</v>
      </c>
      <c r="Q396" s="11">
        <f>IF(G396&gt;H396, MIN(G396-H396, I396-H396)*
INDEX('2018_commission_structure'!$A$1:$I$4,
MATCH($D396, '2018_commission_structure'!$A$1:$A$4, 0),
MATCH(P$1, '2018_commission_structure'!$A$1:$I$1, 0)), 0)</f>
        <v>0</v>
      </c>
      <c r="R396" s="11">
        <f>IF(G396&gt;K396, (G396-K396) *
INDEX('2018_commission_structure'!$A$1:$I$4,
MATCH($D396, '2018_commission_structure'!$A$1:$A$4,0),
MATCH(R$1, '2018_commission_structure'!$A$1:$I$1,0)), 0)</f>
        <v>0</v>
      </c>
      <c r="S396" s="11">
        <f t="shared" si="41"/>
        <v>0</v>
      </c>
      <c r="T396" s="11" cm="1">
        <f t="array" ref="T396">SUM(E396+O396:Q396)</f>
        <v>192075</v>
      </c>
    </row>
    <row r="397" spans="1:20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 xml:space="preserve"> COUNTIF(deals_closed!D:D,A397)</f>
        <v>23</v>
      </c>
      <c r="G397" s="5">
        <f>SUMIF(deals_closed!D:D, calculations!A397, deals_closed!C:C)</f>
        <v>868569</v>
      </c>
      <c r="H397" s="5">
        <f>VLOOKUP(D397,'2018_commission_structure'!$A$2:$I$4,9,FALSE)</f>
        <v>500000</v>
      </c>
      <c r="I397" s="9">
        <f t="shared" si="36"/>
        <v>625000</v>
      </c>
      <c r="J397" s="8">
        <f t="shared" si="37"/>
        <v>750000</v>
      </c>
      <c r="K397" s="9">
        <f t="shared" si="38"/>
        <v>1000000</v>
      </c>
      <c r="L397" s="10">
        <f t="shared" si="39"/>
        <v>1.7371380000000001</v>
      </c>
      <c r="M397" t="str">
        <f t="shared" si="40"/>
        <v>150-200%</v>
      </c>
      <c r="N397" s="9">
        <f>MIN(H397, G397)*INDEX('2018_commission_structure'!$A$1:$I$4,
MATCH($D397, '2018_commission_structure'!$A$1:$A$4,0),
MATCH(N$1, '2018_commission_structure'!$A$1:$I$1,0))</f>
        <v>50000</v>
      </c>
      <c r="O397" s="11">
        <f>IF(G397&gt;H397, MIN(G397-H397, I397-H397)*
INDEX('2018_commission_structure'!$A$1:$I$4,
MATCH($D397, '2018_commission_structure'!$A$1:$A$4, 0),
MATCH(O$1, '2018_commission_structure'!$A$1:$I$1, 0)), 0)</f>
        <v>18750</v>
      </c>
      <c r="P397" s="11">
        <f>IF(G397&gt;H397, MIN(G397-H397, J397-H397)*
INDEX('2018_commission_structure'!$A$1:$I$4,
MATCH($D397, '2018_commission_structure'!$A$1:$A$4, 0),
MATCH(O$1, '2018_commission_structure'!$A$1:$I$1, 0)), 0)</f>
        <v>37500</v>
      </c>
      <c r="Q397" s="11">
        <f>IF(G397&gt;H397, MIN(G397-H397, I397-H397)*
INDEX('2018_commission_structure'!$A$1:$I$4,
MATCH($D397, '2018_commission_structure'!$A$1:$A$4, 0),
MATCH(P$1, '2018_commission_structure'!$A$1:$I$1, 0)), 0)</f>
        <v>22500</v>
      </c>
      <c r="R397" s="11">
        <f>IF(G397&gt;K397, (G397-K397) *
INDEX('2018_commission_structure'!$A$1:$I$4,
MATCH($D397, '2018_commission_structure'!$A$1:$A$4,0),
MATCH(R$1, '2018_commission_structure'!$A$1:$I$1,0)), 0)</f>
        <v>0</v>
      </c>
      <c r="S397" s="11">
        <f t="shared" si="41"/>
        <v>78750</v>
      </c>
      <c r="T397" s="11" cm="1">
        <f t="array" ref="T397">SUM(E397+O397:Q397)</f>
        <v>227265</v>
      </c>
    </row>
    <row r="398" spans="1:20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 xml:space="preserve"> COUNTIF(deals_closed!D:D,A398)</f>
        <v>15</v>
      </c>
      <c r="G398" s="5">
        <f>SUMIF(deals_closed!D:D, calculations!A398, deals_closed!C:C)</f>
        <v>499847</v>
      </c>
      <c r="H398" s="5">
        <f>VLOOKUP(D398,'2018_commission_structure'!$A$2:$I$4,9,FALSE)</f>
        <v>600000</v>
      </c>
      <c r="I398" s="9">
        <f t="shared" si="36"/>
        <v>750000</v>
      </c>
      <c r="J398" s="8">
        <f t="shared" si="37"/>
        <v>900000</v>
      </c>
      <c r="K398" s="9">
        <f t="shared" si="38"/>
        <v>1200000</v>
      </c>
      <c r="L398" s="10">
        <f t="shared" si="39"/>
        <v>0.83307833333333337</v>
      </c>
      <c r="M398" t="str">
        <f t="shared" si="40"/>
        <v>0-100%</v>
      </c>
      <c r="N398" s="9">
        <f>MIN(H398, G398)*INDEX('2018_commission_structure'!$A$1:$I$4,
MATCH($D398, '2018_commission_structure'!$A$1:$A$4,0),
MATCH(N$1, '2018_commission_structure'!$A$1:$I$1,0))</f>
        <v>64980.11</v>
      </c>
      <c r="O398" s="11">
        <f>IF(G398&gt;H398, MIN(G398-H398, I398-H398)*
INDEX('2018_commission_structure'!$A$1:$I$4,
MATCH($D398, '2018_commission_structure'!$A$1:$A$4, 0),
MATCH(O$1, '2018_commission_structure'!$A$1:$I$1, 0)), 0)</f>
        <v>0</v>
      </c>
      <c r="P398" s="11">
        <f>IF(G398&gt;H398, MIN(G398-H398, J398-H398)*
INDEX('2018_commission_structure'!$A$1:$I$4,
MATCH($D398, '2018_commission_structure'!$A$1:$A$4, 0),
MATCH(O$1, '2018_commission_structure'!$A$1:$I$1, 0)), 0)</f>
        <v>0</v>
      </c>
      <c r="Q398" s="11">
        <f>IF(G398&gt;H398, MIN(G398-H398, I398-H398)*
INDEX('2018_commission_structure'!$A$1:$I$4,
MATCH($D398, '2018_commission_structure'!$A$1:$A$4, 0),
MATCH(P$1, '2018_commission_structure'!$A$1:$I$1, 0)), 0)</f>
        <v>0</v>
      </c>
      <c r="R398" s="11">
        <f>IF(G398&gt;K398, (G398-K398) *
INDEX('2018_commission_structure'!$A$1:$I$4,
MATCH($D398, '2018_commission_structure'!$A$1:$A$4,0),
MATCH(R$1, '2018_commission_structure'!$A$1:$I$1,0)), 0)</f>
        <v>0</v>
      </c>
      <c r="S398" s="11">
        <f t="shared" si="41"/>
        <v>0</v>
      </c>
      <c r="T398" s="11" cm="1">
        <f t="array" ref="T398">SUM(E398+O398:Q398)</f>
        <v>181494</v>
      </c>
    </row>
    <row r="399" spans="1:20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 xml:space="preserve"> COUNTIF(deals_closed!D:D,A399)</f>
        <v>17</v>
      </c>
      <c r="G399" s="5">
        <f>SUMIF(deals_closed!D:D, calculations!A399, deals_closed!C:C)</f>
        <v>608913</v>
      </c>
      <c r="H399" s="5">
        <f>VLOOKUP(D399,'2018_commission_structure'!$A$2:$I$4,9,FALSE)</f>
        <v>600000</v>
      </c>
      <c r="I399" s="9">
        <f t="shared" si="36"/>
        <v>750000</v>
      </c>
      <c r="J399" s="8">
        <f t="shared" si="37"/>
        <v>900000</v>
      </c>
      <c r="K399" s="9">
        <f t="shared" si="38"/>
        <v>1200000</v>
      </c>
      <c r="L399" s="10">
        <f t="shared" si="39"/>
        <v>1.0148550000000001</v>
      </c>
      <c r="M399" t="str">
        <f t="shared" si="40"/>
        <v>100-125%</v>
      </c>
      <c r="N399" s="9">
        <f>MIN(H399, G399)*INDEX('2018_commission_structure'!$A$1:$I$4,
MATCH($D399, '2018_commission_structure'!$A$1:$A$4,0),
MATCH(N$1, '2018_commission_structure'!$A$1:$I$1,0))</f>
        <v>78000</v>
      </c>
      <c r="O399" s="11">
        <f>IF(G399&gt;H399, MIN(G399-H399, I399-H399)*
INDEX('2018_commission_structure'!$A$1:$I$4,
MATCH($D399, '2018_commission_structure'!$A$1:$A$4, 0),
MATCH(O$1, '2018_commission_structure'!$A$1:$I$1, 0)), 0)</f>
        <v>1515.21</v>
      </c>
      <c r="P399" s="11">
        <f>IF(G399&gt;H399, MIN(G399-H399, J399-H399)*
INDEX('2018_commission_structure'!$A$1:$I$4,
MATCH($D399, '2018_commission_structure'!$A$1:$A$4, 0),
MATCH(O$1, '2018_commission_structure'!$A$1:$I$1, 0)), 0)</f>
        <v>1515.21</v>
      </c>
      <c r="Q399" s="11">
        <f>IF(G399&gt;H399, MIN(G399-H399, I399-H399)*
INDEX('2018_commission_structure'!$A$1:$I$4,
MATCH($D399, '2018_commission_structure'!$A$1:$A$4, 0),
MATCH(P$1, '2018_commission_structure'!$A$1:$I$1, 0)), 0)</f>
        <v>1871.73</v>
      </c>
      <c r="R399" s="11">
        <f>IF(G399&gt;K399, (G399-K399) *
INDEX('2018_commission_structure'!$A$1:$I$4,
MATCH($D399, '2018_commission_structure'!$A$1:$A$4,0),
MATCH(R$1, '2018_commission_structure'!$A$1:$I$1,0)), 0)</f>
        <v>0</v>
      </c>
      <c r="S399" s="11">
        <f t="shared" si="41"/>
        <v>4902.1499999999996</v>
      </c>
      <c r="T399" s="11" cm="1">
        <f t="array" ref="T399">SUM(E399+O399:Q399)</f>
        <v>167940.15</v>
      </c>
    </row>
    <row r="400" spans="1:20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 xml:space="preserve"> COUNTIF(deals_closed!D:D,A400)</f>
        <v>9</v>
      </c>
      <c r="G400" s="5">
        <f>SUMIF(deals_closed!D:D, calculations!A400, deals_closed!C:C)</f>
        <v>256286</v>
      </c>
      <c r="H400" s="5">
        <f>VLOOKUP(D400,'2018_commission_structure'!$A$2:$I$4,9,FALSE)</f>
        <v>600000</v>
      </c>
      <c r="I400" s="9">
        <f t="shared" si="36"/>
        <v>750000</v>
      </c>
      <c r="J400" s="8">
        <f t="shared" si="37"/>
        <v>900000</v>
      </c>
      <c r="K400" s="9">
        <f t="shared" si="38"/>
        <v>1200000</v>
      </c>
      <c r="L400" s="10">
        <f t="shared" si="39"/>
        <v>0.42714333333333332</v>
      </c>
      <c r="M400" t="str">
        <f t="shared" si="40"/>
        <v>0-100%</v>
      </c>
      <c r="N400" s="9">
        <f>MIN(H400, G400)*INDEX('2018_commission_structure'!$A$1:$I$4,
MATCH($D400, '2018_commission_structure'!$A$1:$A$4,0),
MATCH(N$1, '2018_commission_structure'!$A$1:$I$1,0))</f>
        <v>33317.18</v>
      </c>
      <c r="O400" s="11">
        <f>IF(G400&gt;H400, MIN(G400-H400, I400-H400)*
INDEX('2018_commission_structure'!$A$1:$I$4,
MATCH($D400, '2018_commission_structure'!$A$1:$A$4, 0),
MATCH(O$1, '2018_commission_structure'!$A$1:$I$1, 0)), 0)</f>
        <v>0</v>
      </c>
      <c r="P400" s="11">
        <f>IF(G400&gt;H400, MIN(G400-H400, J400-H400)*
INDEX('2018_commission_structure'!$A$1:$I$4,
MATCH($D400, '2018_commission_structure'!$A$1:$A$4, 0),
MATCH(O$1, '2018_commission_structure'!$A$1:$I$1, 0)), 0)</f>
        <v>0</v>
      </c>
      <c r="Q400" s="11">
        <f>IF(G400&gt;H400, MIN(G400-H400, I400-H400)*
INDEX('2018_commission_structure'!$A$1:$I$4,
MATCH($D400, '2018_commission_structure'!$A$1:$A$4, 0),
MATCH(P$1, '2018_commission_structure'!$A$1:$I$1, 0)), 0)</f>
        <v>0</v>
      </c>
      <c r="R400" s="11">
        <f>IF(G400&gt;K400, (G400-K400) *
INDEX('2018_commission_structure'!$A$1:$I$4,
MATCH($D400, '2018_commission_structure'!$A$1:$A$4,0),
MATCH(R$1, '2018_commission_structure'!$A$1:$I$1,0)), 0)</f>
        <v>0</v>
      </c>
      <c r="S400" s="11">
        <f t="shared" si="41"/>
        <v>0</v>
      </c>
      <c r="T400" s="11" cm="1">
        <f t="array" ref="T400">SUM(E400+O400:Q400)</f>
        <v>194196</v>
      </c>
    </row>
    <row r="401" spans="1:20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 xml:space="preserve"> COUNTIF(deals_closed!D:D,A401)</f>
        <v>25</v>
      </c>
      <c r="G401" s="5">
        <f>SUMIF(deals_closed!D:D, calculations!A401, deals_closed!C:C)</f>
        <v>833825</v>
      </c>
      <c r="H401" s="5">
        <f>VLOOKUP(D401,'2018_commission_structure'!$A$2:$I$4,9,FALSE)</f>
        <v>600000</v>
      </c>
      <c r="I401" s="9">
        <f t="shared" si="36"/>
        <v>750000</v>
      </c>
      <c r="J401" s="8">
        <f t="shared" si="37"/>
        <v>900000</v>
      </c>
      <c r="K401" s="9">
        <f t="shared" si="38"/>
        <v>1200000</v>
      </c>
      <c r="L401" s="10">
        <f t="shared" si="39"/>
        <v>1.3897083333333333</v>
      </c>
      <c r="M401" t="str">
        <f t="shared" si="40"/>
        <v>125-150%</v>
      </c>
      <c r="N401" s="9">
        <f>MIN(H401, G401)*INDEX('2018_commission_structure'!$A$1:$I$4,
MATCH($D401, '2018_commission_structure'!$A$1:$A$4,0),
MATCH(N$1, '2018_commission_structure'!$A$1:$I$1,0))</f>
        <v>78000</v>
      </c>
      <c r="O401" s="11">
        <f>IF(G401&gt;H401, MIN(G401-H401, I401-H401)*
INDEX('2018_commission_structure'!$A$1:$I$4,
MATCH($D401, '2018_commission_structure'!$A$1:$A$4, 0),
MATCH(O$1, '2018_commission_structure'!$A$1:$I$1, 0)), 0)</f>
        <v>25500.000000000004</v>
      </c>
      <c r="P401" s="11">
        <f>IF(G401&gt;H401, MIN(G401-H401, J401-H401)*
INDEX('2018_commission_structure'!$A$1:$I$4,
MATCH($D401, '2018_commission_structure'!$A$1:$A$4, 0),
MATCH(O$1, '2018_commission_structure'!$A$1:$I$1, 0)), 0)</f>
        <v>39750.25</v>
      </c>
      <c r="Q401" s="11">
        <f>IF(G401&gt;H401, MIN(G401-H401, I401-H401)*
INDEX('2018_commission_structure'!$A$1:$I$4,
MATCH($D401, '2018_commission_structure'!$A$1:$A$4, 0),
MATCH(P$1, '2018_commission_structure'!$A$1:$I$1, 0)), 0)</f>
        <v>31500</v>
      </c>
      <c r="R401" s="11">
        <f>IF(G401&gt;K401, (G401-K401) *
INDEX('2018_commission_structure'!$A$1:$I$4,
MATCH($D401, '2018_commission_structure'!$A$1:$A$4,0),
MATCH(R$1, '2018_commission_structure'!$A$1:$I$1,0)), 0)</f>
        <v>0</v>
      </c>
      <c r="S401" s="11">
        <f t="shared" si="41"/>
        <v>96750.25</v>
      </c>
      <c r="T401" s="11" cm="1">
        <f t="array" ref="T401">SUM(E401+O401:Q401)</f>
        <v>316242.25</v>
      </c>
    </row>
    <row r="402" spans="1:20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 xml:space="preserve"> COUNTIF(deals_closed!D:D,A402)</f>
        <v>15</v>
      </c>
      <c r="G402" s="5">
        <f>SUMIF(deals_closed!D:D, calculations!A402, deals_closed!C:C)</f>
        <v>488228</v>
      </c>
      <c r="H402" s="5">
        <f>VLOOKUP(D402,'2018_commission_structure'!$A$2:$I$4,9,FALSE)</f>
        <v>600000</v>
      </c>
      <c r="I402" s="9">
        <f t="shared" si="36"/>
        <v>750000</v>
      </c>
      <c r="J402" s="8">
        <f t="shared" si="37"/>
        <v>900000</v>
      </c>
      <c r="K402" s="9">
        <f t="shared" si="38"/>
        <v>1200000</v>
      </c>
      <c r="L402" s="10">
        <f t="shared" si="39"/>
        <v>0.81371333333333329</v>
      </c>
      <c r="M402" t="str">
        <f t="shared" si="40"/>
        <v>0-100%</v>
      </c>
      <c r="N402" s="9">
        <f>MIN(H402, G402)*INDEX('2018_commission_structure'!$A$1:$I$4,
MATCH($D402, '2018_commission_structure'!$A$1:$A$4,0),
MATCH(N$1, '2018_commission_structure'!$A$1:$I$1,0))</f>
        <v>63469.64</v>
      </c>
      <c r="O402" s="11">
        <f>IF(G402&gt;H402, MIN(G402-H402, I402-H402)*
INDEX('2018_commission_structure'!$A$1:$I$4,
MATCH($D402, '2018_commission_structure'!$A$1:$A$4, 0),
MATCH(O$1, '2018_commission_structure'!$A$1:$I$1, 0)), 0)</f>
        <v>0</v>
      </c>
      <c r="P402" s="11">
        <f>IF(G402&gt;H402, MIN(G402-H402, J402-H402)*
INDEX('2018_commission_structure'!$A$1:$I$4,
MATCH($D402, '2018_commission_structure'!$A$1:$A$4, 0),
MATCH(O$1, '2018_commission_structure'!$A$1:$I$1, 0)), 0)</f>
        <v>0</v>
      </c>
      <c r="Q402" s="11">
        <f>IF(G402&gt;H402, MIN(G402-H402, I402-H402)*
INDEX('2018_commission_structure'!$A$1:$I$4,
MATCH($D402, '2018_commission_structure'!$A$1:$A$4, 0),
MATCH(P$1, '2018_commission_structure'!$A$1:$I$1, 0)), 0)</f>
        <v>0</v>
      </c>
      <c r="R402" s="11">
        <f>IF(G402&gt;K402, (G402-K402) *
INDEX('2018_commission_structure'!$A$1:$I$4,
MATCH($D402, '2018_commission_structure'!$A$1:$A$4,0),
MATCH(R$1, '2018_commission_structure'!$A$1:$I$1,0)), 0)</f>
        <v>0</v>
      </c>
      <c r="S402" s="11">
        <f t="shared" si="41"/>
        <v>0</v>
      </c>
      <c r="T402" s="11" cm="1">
        <f t="array" ref="T402">SUM(E402+O402:Q402)</f>
        <v>160062</v>
      </c>
    </row>
    <row r="403" spans="1:20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 xml:space="preserve"> COUNTIF(deals_closed!D:D,A403)</f>
        <v>24</v>
      </c>
      <c r="G403" s="5">
        <f>SUMIF(deals_closed!D:D, calculations!A403, deals_closed!C:C)</f>
        <v>955328</v>
      </c>
      <c r="H403" s="5">
        <f>VLOOKUP(D403,'2018_commission_structure'!$A$2:$I$4,9,FALSE)</f>
        <v>750000</v>
      </c>
      <c r="I403" s="9">
        <f t="shared" si="36"/>
        <v>937500</v>
      </c>
      <c r="J403" s="8">
        <f t="shared" si="37"/>
        <v>1125000</v>
      </c>
      <c r="K403" s="9">
        <f t="shared" si="38"/>
        <v>1500000</v>
      </c>
      <c r="L403" s="10">
        <f t="shared" si="39"/>
        <v>1.2737706666666666</v>
      </c>
      <c r="M403" t="str">
        <f t="shared" si="40"/>
        <v>125-150%</v>
      </c>
      <c r="N403" s="9">
        <f>MIN(H403, G403)*INDEX('2018_commission_structure'!$A$1:$I$4,
MATCH($D403, '2018_commission_structure'!$A$1:$A$4,0),
MATCH(N$1, '2018_commission_structure'!$A$1:$I$1,0))</f>
        <v>112500</v>
      </c>
      <c r="O403" s="11">
        <f>IF(G403&gt;H403, MIN(G403-H403, I403-H403)*
INDEX('2018_commission_structure'!$A$1:$I$4,
MATCH($D403, '2018_commission_structure'!$A$1:$A$4, 0),
MATCH(O$1, '2018_commission_structure'!$A$1:$I$1, 0)), 0)</f>
        <v>35625</v>
      </c>
      <c r="P403" s="11">
        <f>IF(G403&gt;H403, MIN(G403-H403, J403-H403)*
INDEX('2018_commission_structure'!$A$1:$I$4,
MATCH($D403, '2018_commission_structure'!$A$1:$A$4, 0),
MATCH(O$1, '2018_commission_structure'!$A$1:$I$1, 0)), 0)</f>
        <v>39012.32</v>
      </c>
      <c r="Q403" s="11">
        <f>IF(G403&gt;H403, MIN(G403-H403, I403-H403)*
INDEX('2018_commission_structure'!$A$1:$I$4,
MATCH($D403, '2018_commission_structure'!$A$1:$A$4, 0),
MATCH(P$1, '2018_commission_structure'!$A$1:$I$1, 0)), 0)</f>
        <v>43125</v>
      </c>
      <c r="R403" s="11">
        <f>IF(G403&gt;K403, (G403-K403) *
INDEX('2018_commission_structure'!$A$1:$I$4,
MATCH($D403, '2018_commission_structure'!$A$1:$A$4,0),
MATCH(R$1, '2018_commission_structure'!$A$1:$I$1,0)), 0)</f>
        <v>0</v>
      </c>
      <c r="S403" s="11">
        <f t="shared" si="41"/>
        <v>117762.32</v>
      </c>
      <c r="T403" s="11" cm="1">
        <f t="array" ref="T403">SUM(E403+O403:Q403)</f>
        <v>435741.32</v>
      </c>
    </row>
    <row r="404" spans="1:20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 xml:space="preserve"> COUNTIF(deals_closed!D:D,A404)</f>
        <v>23</v>
      </c>
      <c r="G404" s="5">
        <f>SUMIF(deals_closed!D:D, calculations!A404, deals_closed!C:C)</f>
        <v>816810</v>
      </c>
      <c r="H404" s="5">
        <f>VLOOKUP(D404,'2018_commission_structure'!$A$2:$I$4,9,FALSE)</f>
        <v>750000</v>
      </c>
      <c r="I404" s="9">
        <f t="shared" si="36"/>
        <v>937500</v>
      </c>
      <c r="J404" s="8">
        <f t="shared" si="37"/>
        <v>1125000</v>
      </c>
      <c r="K404" s="9">
        <f t="shared" si="38"/>
        <v>1500000</v>
      </c>
      <c r="L404" s="10">
        <f t="shared" si="39"/>
        <v>1.08908</v>
      </c>
      <c r="M404" t="str">
        <f t="shared" si="40"/>
        <v>100-125%</v>
      </c>
      <c r="N404" s="9">
        <f>MIN(H404, G404)*INDEX('2018_commission_structure'!$A$1:$I$4,
MATCH($D404, '2018_commission_structure'!$A$1:$A$4,0),
MATCH(N$1, '2018_commission_structure'!$A$1:$I$1,0))</f>
        <v>112500</v>
      </c>
      <c r="O404" s="11">
        <f>IF(G404&gt;H404, MIN(G404-H404, I404-H404)*
INDEX('2018_commission_structure'!$A$1:$I$4,
MATCH($D404, '2018_commission_structure'!$A$1:$A$4, 0),
MATCH(O$1, '2018_commission_structure'!$A$1:$I$1, 0)), 0)</f>
        <v>12693.9</v>
      </c>
      <c r="P404" s="11">
        <f>IF(G404&gt;H404, MIN(G404-H404, J404-H404)*
INDEX('2018_commission_structure'!$A$1:$I$4,
MATCH($D404, '2018_commission_structure'!$A$1:$A$4, 0),
MATCH(O$1, '2018_commission_structure'!$A$1:$I$1, 0)), 0)</f>
        <v>12693.9</v>
      </c>
      <c r="Q404" s="11">
        <f>IF(G404&gt;H404, MIN(G404-H404, I404-H404)*
INDEX('2018_commission_structure'!$A$1:$I$4,
MATCH($D404, '2018_commission_structure'!$A$1:$A$4, 0),
MATCH(P$1, '2018_commission_structure'!$A$1:$I$1, 0)), 0)</f>
        <v>15366.300000000001</v>
      </c>
      <c r="R404" s="11">
        <f>IF(G404&gt;K404, (G404-K404) *
INDEX('2018_commission_structure'!$A$1:$I$4,
MATCH($D404, '2018_commission_structure'!$A$1:$A$4,0),
MATCH(R$1, '2018_commission_structure'!$A$1:$I$1,0)), 0)</f>
        <v>0</v>
      </c>
      <c r="S404" s="11">
        <f t="shared" si="41"/>
        <v>40754.1</v>
      </c>
      <c r="T404" s="11" cm="1">
        <f t="array" ref="T404">SUM(E404+O404:Q404)</f>
        <v>383243.1</v>
      </c>
    </row>
    <row r="405" spans="1:20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 xml:space="preserve"> COUNTIF(deals_closed!D:D,A405)</f>
        <v>25</v>
      </c>
      <c r="G405" s="5">
        <f>SUMIF(deals_closed!D:D, calculations!A405, deals_closed!C:C)</f>
        <v>891412</v>
      </c>
      <c r="H405" s="5">
        <f>VLOOKUP(D405,'2018_commission_structure'!$A$2:$I$4,9,FALSE)</f>
        <v>600000</v>
      </c>
      <c r="I405" s="9">
        <f t="shared" si="36"/>
        <v>750000</v>
      </c>
      <c r="J405" s="8">
        <f t="shared" si="37"/>
        <v>900000</v>
      </c>
      <c r="K405" s="9">
        <f t="shared" si="38"/>
        <v>1200000</v>
      </c>
      <c r="L405" s="10">
        <f t="shared" si="39"/>
        <v>1.4856866666666666</v>
      </c>
      <c r="M405" t="str">
        <f t="shared" si="40"/>
        <v>125-150%</v>
      </c>
      <c r="N405" s="9">
        <f>MIN(H405, G405)*INDEX('2018_commission_structure'!$A$1:$I$4,
MATCH($D405, '2018_commission_structure'!$A$1:$A$4,0),
MATCH(N$1, '2018_commission_structure'!$A$1:$I$1,0))</f>
        <v>78000</v>
      </c>
      <c r="O405" s="11">
        <f>IF(G405&gt;H405, MIN(G405-H405, I405-H405)*
INDEX('2018_commission_structure'!$A$1:$I$4,
MATCH($D405, '2018_commission_structure'!$A$1:$A$4, 0),
MATCH(O$1, '2018_commission_structure'!$A$1:$I$1, 0)), 0)</f>
        <v>25500.000000000004</v>
      </c>
      <c r="P405" s="11">
        <f>IF(G405&gt;H405, MIN(G405-H405, J405-H405)*
INDEX('2018_commission_structure'!$A$1:$I$4,
MATCH($D405, '2018_commission_structure'!$A$1:$A$4, 0),
MATCH(O$1, '2018_commission_structure'!$A$1:$I$1, 0)), 0)</f>
        <v>49540.04</v>
      </c>
      <c r="Q405" s="11">
        <f>IF(G405&gt;H405, MIN(G405-H405, I405-H405)*
INDEX('2018_commission_structure'!$A$1:$I$4,
MATCH($D405, '2018_commission_structure'!$A$1:$A$4, 0),
MATCH(P$1, '2018_commission_structure'!$A$1:$I$1, 0)), 0)</f>
        <v>31500</v>
      </c>
      <c r="R405" s="11">
        <f>IF(G405&gt;K405, (G405-K405) *
INDEX('2018_commission_structure'!$A$1:$I$4,
MATCH($D405, '2018_commission_structure'!$A$1:$A$4,0),
MATCH(R$1, '2018_commission_structure'!$A$1:$I$1,0)), 0)</f>
        <v>0</v>
      </c>
      <c r="S405" s="11">
        <f t="shared" si="41"/>
        <v>106540.04000000001</v>
      </c>
      <c r="T405" s="11" cm="1">
        <f t="array" ref="T405">SUM(E405+O405:Q405)</f>
        <v>307783.04000000004</v>
      </c>
    </row>
    <row r="406" spans="1:20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 xml:space="preserve"> COUNTIF(deals_closed!D:D,A406)</f>
        <v>19</v>
      </c>
      <c r="G406" s="5">
        <f>SUMIF(deals_closed!D:D, calculations!A406, deals_closed!C:C)</f>
        <v>540781</v>
      </c>
      <c r="H406" s="5">
        <f>VLOOKUP(D406,'2018_commission_structure'!$A$2:$I$4,9,FALSE)</f>
        <v>750000</v>
      </c>
      <c r="I406" s="9">
        <f t="shared" si="36"/>
        <v>937500</v>
      </c>
      <c r="J406" s="8">
        <f t="shared" si="37"/>
        <v>1125000</v>
      </c>
      <c r="K406" s="9">
        <f t="shared" si="38"/>
        <v>1500000</v>
      </c>
      <c r="L406" s="10">
        <f t="shared" si="39"/>
        <v>0.72104133333333331</v>
      </c>
      <c r="M406" t="str">
        <f t="shared" si="40"/>
        <v>0-100%</v>
      </c>
      <c r="N406" s="9">
        <f>MIN(H406, G406)*INDEX('2018_commission_structure'!$A$1:$I$4,
MATCH($D406, '2018_commission_structure'!$A$1:$A$4,0),
MATCH(N$1, '2018_commission_structure'!$A$1:$I$1,0))</f>
        <v>81117.149999999994</v>
      </c>
      <c r="O406" s="11">
        <f>IF(G406&gt;H406, MIN(G406-H406, I406-H406)*
INDEX('2018_commission_structure'!$A$1:$I$4,
MATCH($D406, '2018_commission_structure'!$A$1:$A$4, 0),
MATCH(O$1, '2018_commission_structure'!$A$1:$I$1, 0)), 0)</f>
        <v>0</v>
      </c>
      <c r="P406" s="11">
        <f>IF(G406&gt;H406, MIN(G406-H406, J406-H406)*
INDEX('2018_commission_structure'!$A$1:$I$4,
MATCH($D406, '2018_commission_structure'!$A$1:$A$4, 0),
MATCH(O$1, '2018_commission_structure'!$A$1:$I$1, 0)), 0)</f>
        <v>0</v>
      </c>
      <c r="Q406" s="11">
        <f>IF(G406&gt;H406, MIN(G406-H406, I406-H406)*
INDEX('2018_commission_structure'!$A$1:$I$4,
MATCH($D406, '2018_commission_structure'!$A$1:$A$4, 0),
MATCH(P$1, '2018_commission_structure'!$A$1:$I$1, 0)), 0)</f>
        <v>0</v>
      </c>
      <c r="R406" s="11">
        <f>IF(G406&gt;K406, (G406-K406) *
INDEX('2018_commission_structure'!$A$1:$I$4,
MATCH($D406, '2018_commission_structure'!$A$1:$A$4,0),
MATCH(R$1, '2018_commission_structure'!$A$1:$I$1,0)), 0)</f>
        <v>0</v>
      </c>
      <c r="S406" s="11">
        <f t="shared" si="41"/>
        <v>0</v>
      </c>
      <c r="T406" s="11" cm="1">
        <f t="array" ref="T406">SUM(E406+O406:Q406)</f>
        <v>242157</v>
      </c>
    </row>
    <row r="407" spans="1:20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 xml:space="preserve"> COUNTIF(deals_closed!D:D,A407)</f>
        <v>16</v>
      </c>
      <c r="G407" s="5">
        <f>SUMIF(deals_closed!D:D, calculations!A407, deals_closed!C:C)</f>
        <v>515945</v>
      </c>
      <c r="H407" s="5">
        <f>VLOOKUP(D407,'2018_commission_structure'!$A$2:$I$4,9,FALSE)</f>
        <v>600000</v>
      </c>
      <c r="I407" s="9">
        <f t="shared" si="36"/>
        <v>750000</v>
      </c>
      <c r="J407" s="8">
        <f t="shared" si="37"/>
        <v>900000</v>
      </c>
      <c r="K407" s="9">
        <f t="shared" si="38"/>
        <v>1200000</v>
      </c>
      <c r="L407" s="10">
        <f t="shared" si="39"/>
        <v>0.85990833333333339</v>
      </c>
      <c r="M407" t="str">
        <f t="shared" si="40"/>
        <v>0-100%</v>
      </c>
      <c r="N407" s="9">
        <f>MIN(H407, G407)*INDEX('2018_commission_structure'!$A$1:$I$4,
MATCH($D407, '2018_commission_structure'!$A$1:$A$4,0),
MATCH(N$1, '2018_commission_structure'!$A$1:$I$1,0))</f>
        <v>67072.850000000006</v>
      </c>
      <c r="O407" s="11">
        <f>IF(G407&gt;H407, MIN(G407-H407, I407-H407)*
INDEX('2018_commission_structure'!$A$1:$I$4,
MATCH($D407, '2018_commission_structure'!$A$1:$A$4, 0),
MATCH(O$1, '2018_commission_structure'!$A$1:$I$1, 0)), 0)</f>
        <v>0</v>
      </c>
      <c r="P407" s="11">
        <f>IF(G407&gt;H407, MIN(G407-H407, J407-H407)*
INDEX('2018_commission_structure'!$A$1:$I$4,
MATCH($D407, '2018_commission_structure'!$A$1:$A$4, 0),
MATCH(O$1, '2018_commission_structure'!$A$1:$I$1, 0)), 0)</f>
        <v>0</v>
      </c>
      <c r="Q407" s="11">
        <f>IF(G407&gt;H407, MIN(G407-H407, I407-H407)*
INDEX('2018_commission_structure'!$A$1:$I$4,
MATCH($D407, '2018_commission_structure'!$A$1:$A$4, 0),
MATCH(P$1, '2018_commission_structure'!$A$1:$I$1, 0)), 0)</f>
        <v>0</v>
      </c>
      <c r="R407" s="11">
        <f>IF(G407&gt;K407, (G407-K407) *
INDEX('2018_commission_structure'!$A$1:$I$4,
MATCH($D407, '2018_commission_structure'!$A$1:$A$4,0),
MATCH(R$1, '2018_commission_structure'!$A$1:$I$1,0)), 0)</f>
        <v>0</v>
      </c>
      <c r="S407" s="11">
        <f t="shared" si="41"/>
        <v>0</v>
      </c>
      <c r="T407" s="11" cm="1">
        <f t="array" ref="T407">SUM(E407+O407:Q407)</f>
        <v>165054</v>
      </c>
    </row>
    <row r="408" spans="1:20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 xml:space="preserve"> COUNTIF(deals_closed!D:D,A408)</f>
        <v>23</v>
      </c>
      <c r="G408" s="5">
        <f>SUMIF(deals_closed!D:D, calculations!A408, deals_closed!C:C)</f>
        <v>846165</v>
      </c>
      <c r="H408" s="5">
        <f>VLOOKUP(D408,'2018_commission_structure'!$A$2:$I$4,9,FALSE)</f>
        <v>600000</v>
      </c>
      <c r="I408" s="9">
        <f t="shared" si="36"/>
        <v>750000</v>
      </c>
      <c r="J408" s="8">
        <f t="shared" si="37"/>
        <v>900000</v>
      </c>
      <c r="K408" s="9">
        <f t="shared" si="38"/>
        <v>1200000</v>
      </c>
      <c r="L408" s="10">
        <f t="shared" si="39"/>
        <v>1.4102749999999999</v>
      </c>
      <c r="M408" t="str">
        <f t="shared" si="40"/>
        <v>125-150%</v>
      </c>
      <c r="N408" s="9">
        <f>MIN(H408, G408)*INDEX('2018_commission_structure'!$A$1:$I$4,
MATCH($D408, '2018_commission_structure'!$A$1:$A$4,0),
MATCH(N$1, '2018_commission_structure'!$A$1:$I$1,0))</f>
        <v>78000</v>
      </c>
      <c r="O408" s="11">
        <f>IF(G408&gt;H408, MIN(G408-H408, I408-H408)*
INDEX('2018_commission_structure'!$A$1:$I$4,
MATCH($D408, '2018_commission_structure'!$A$1:$A$4, 0),
MATCH(O$1, '2018_commission_structure'!$A$1:$I$1, 0)), 0)</f>
        <v>25500.000000000004</v>
      </c>
      <c r="P408" s="11">
        <f>IF(G408&gt;H408, MIN(G408-H408, J408-H408)*
INDEX('2018_commission_structure'!$A$1:$I$4,
MATCH($D408, '2018_commission_structure'!$A$1:$A$4, 0),
MATCH(O$1, '2018_commission_structure'!$A$1:$I$1, 0)), 0)</f>
        <v>41848.050000000003</v>
      </c>
      <c r="Q408" s="11">
        <f>IF(G408&gt;H408, MIN(G408-H408, I408-H408)*
INDEX('2018_commission_structure'!$A$1:$I$4,
MATCH($D408, '2018_commission_structure'!$A$1:$A$4, 0),
MATCH(P$1, '2018_commission_structure'!$A$1:$I$1, 0)), 0)</f>
        <v>31500</v>
      </c>
      <c r="R408" s="11">
        <f>IF(G408&gt;K408, (G408-K408) *
INDEX('2018_commission_structure'!$A$1:$I$4,
MATCH($D408, '2018_commission_structure'!$A$1:$A$4,0),
MATCH(R$1, '2018_commission_structure'!$A$1:$I$1,0)), 0)</f>
        <v>0</v>
      </c>
      <c r="S408" s="11">
        <f t="shared" si="41"/>
        <v>98848.05</v>
      </c>
      <c r="T408" s="11" cm="1">
        <f t="array" ref="T408">SUM(E408+O408:Q408)</f>
        <v>305926.05</v>
      </c>
    </row>
    <row r="409" spans="1:20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 xml:space="preserve"> COUNTIF(deals_closed!D:D,A409)</f>
        <v>11</v>
      </c>
      <c r="G409" s="5">
        <f>SUMIF(deals_closed!D:D, calculations!A409, deals_closed!C:C)</f>
        <v>298334</v>
      </c>
      <c r="H409" s="5">
        <f>VLOOKUP(D409,'2018_commission_structure'!$A$2:$I$4,9,FALSE)</f>
        <v>500000</v>
      </c>
      <c r="I409" s="9">
        <f t="shared" si="36"/>
        <v>625000</v>
      </c>
      <c r="J409" s="8">
        <f t="shared" si="37"/>
        <v>750000</v>
      </c>
      <c r="K409" s="9">
        <f t="shared" si="38"/>
        <v>1000000</v>
      </c>
      <c r="L409" s="10">
        <f t="shared" si="39"/>
        <v>0.59666799999999998</v>
      </c>
      <c r="M409" t="str">
        <f t="shared" si="40"/>
        <v>0-100%</v>
      </c>
      <c r="N409" s="9">
        <f>MIN(H409, G409)*INDEX('2018_commission_structure'!$A$1:$I$4,
MATCH($D409, '2018_commission_structure'!$A$1:$A$4,0),
MATCH(N$1, '2018_commission_structure'!$A$1:$I$1,0))</f>
        <v>29833.4</v>
      </c>
      <c r="O409" s="11">
        <f>IF(G409&gt;H409, MIN(G409-H409, I409-H409)*
INDEX('2018_commission_structure'!$A$1:$I$4,
MATCH($D409, '2018_commission_structure'!$A$1:$A$4, 0),
MATCH(O$1, '2018_commission_structure'!$A$1:$I$1, 0)), 0)</f>
        <v>0</v>
      </c>
      <c r="P409" s="11">
        <f>IF(G409&gt;H409, MIN(G409-H409, J409-H409)*
INDEX('2018_commission_structure'!$A$1:$I$4,
MATCH($D409, '2018_commission_structure'!$A$1:$A$4, 0),
MATCH(O$1, '2018_commission_structure'!$A$1:$I$1, 0)), 0)</f>
        <v>0</v>
      </c>
      <c r="Q409" s="11">
        <f>IF(G409&gt;H409, MIN(G409-H409, I409-H409)*
INDEX('2018_commission_structure'!$A$1:$I$4,
MATCH($D409, '2018_commission_structure'!$A$1:$A$4, 0),
MATCH(P$1, '2018_commission_structure'!$A$1:$I$1, 0)), 0)</f>
        <v>0</v>
      </c>
      <c r="R409" s="11">
        <f>IF(G409&gt;K409, (G409-K409) *
INDEX('2018_commission_structure'!$A$1:$I$4,
MATCH($D409, '2018_commission_structure'!$A$1:$A$4,0),
MATCH(R$1, '2018_commission_structure'!$A$1:$I$1,0)), 0)</f>
        <v>0</v>
      </c>
      <c r="S409" s="11">
        <f t="shared" si="41"/>
        <v>0</v>
      </c>
      <c r="T409" s="11" cm="1">
        <f t="array" ref="T409">SUM(E409+O409:Q409)</f>
        <v>97662</v>
      </c>
    </row>
    <row r="410" spans="1:20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 xml:space="preserve"> COUNTIF(deals_closed!D:D,A410)</f>
        <v>14</v>
      </c>
      <c r="G410" s="5">
        <f>SUMIF(deals_closed!D:D, calculations!A410, deals_closed!C:C)</f>
        <v>449442</v>
      </c>
      <c r="H410" s="5">
        <f>VLOOKUP(D410,'2018_commission_structure'!$A$2:$I$4,9,FALSE)</f>
        <v>750000</v>
      </c>
      <c r="I410" s="9">
        <f t="shared" si="36"/>
        <v>937500</v>
      </c>
      <c r="J410" s="8">
        <f t="shared" si="37"/>
        <v>1125000</v>
      </c>
      <c r="K410" s="9">
        <f t="shared" si="38"/>
        <v>1500000</v>
      </c>
      <c r="L410" s="10">
        <f t="shared" si="39"/>
        <v>0.59925600000000001</v>
      </c>
      <c r="M410" t="str">
        <f t="shared" si="40"/>
        <v>0-100%</v>
      </c>
      <c r="N410" s="9">
        <f>MIN(H410, G410)*INDEX('2018_commission_structure'!$A$1:$I$4,
MATCH($D410, '2018_commission_structure'!$A$1:$A$4,0),
MATCH(N$1, '2018_commission_structure'!$A$1:$I$1,0))</f>
        <v>67416.3</v>
      </c>
      <c r="O410" s="11">
        <f>IF(G410&gt;H410, MIN(G410-H410, I410-H410)*
INDEX('2018_commission_structure'!$A$1:$I$4,
MATCH($D410, '2018_commission_structure'!$A$1:$A$4, 0),
MATCH(O$1, '2018_commission_structure'!$A$1:$I$1, 0)), 0)</f>
        <v>0</v>
      </c>
      <c r="P410" s="11">
        <f>IF(G410&gt;H410, MIN(G410-H410, J410-H410)*
INDEX('2018_commission_structure'!$A$1:$I$4,
MATCH($D410, '2018_commission_structure'!$A$1:$A$4, 0),
MATCH(O$1, '2018_commission_structure'!$A$1:$I$1, 0)), 0)</f>
        <v>0</v>
      </c>
      <c r="Q410" s="11">
        <f>IF(G410&gt;H410, MIN(G410-H410, I410-H410)*
INDEX('2018_commission_structure'!$A$1:$I$4,
MATCH($D410, '2018_commission_structure'!$A$1:$A$4, 0),
MATCH(P$1, '2018_commission_structure'!$A$1:$I$1, 0)), 0)</f>
        <v>0</v>
      </c>
      <c r="R410" s="11">
        <f>IF(G410&gt;K410, (G410-K410) *
INDEX('2018_commission_structure'!$A$1:$I$4,
MATCH($D410, '2018_commission_structure'!$A$1:$A$4,0),
MATCH(R$1, '2018_commission_structure'!$A$1:$I$1,0)), 0)</f>
        <v>0</v>
      </c>
      <c r="S410" s="11">
        <f t="shared" si="41"/>
        <v>0</v>
      </c>
      <c r="T410" s="11" cm="1">
        <f t="array" ref="T410">SUM(E410+O410:Q410)</f>
        <v>326943</v>
      </c>
    </row>
    <row r="411" spans="1:20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 xml:space="preserve"> COUNTIF(deals_closed!D:D,A411)</f>
        <v>15</v>
      </c>
      <c r="G411" s="5">
        <f>SUMIF(deals_closed!D:D, calculations!A411, deals_closed!C:C)</f>
        <v>516313</v>
      </c>
      <c r="H411" s="5">
        <f>VLOOKUP(D411,'2018_commission_structure'!$A$2:$I$4,9,FALSE)</f>
        <v>750000</v>
      </c>
      <c r="I411" s="9">
        <f t="shared" si="36"/>
        <v>937500</v>
      </c>
      <c r="J411" s="8">
        <f t="shared" si="37"/>
        <v>1125000</v>
      </c>
      <c r="K411" s="9">
        <f t="shared" si="38"/>
        <v>1500000</v>
      </c>
      <c r="L411" s="10">
        <f t="shared" si="39"/>
        <v>0.68841733333333333</v>
      </c>
      <c r="M411" t="str">
        <f t="shared" si="40"/>
        <v>0-100%</v>
      </c>
      <c r="N411" s="9">
        <f>MIN(H411, G411)*INDEX('2018_commission_structure'!$A$1:$I$4,
MATCH($D411, '2018_commission_structure'!$A$1:$A$4,0),
MATCH(N$1, '2018_commission_structure'!$A$1:$I$1,0))</f>
        <v>77446.95</v>
      </c>
      <c r="O411" s="11">
        <f>IF(G411&gt;H411, MIN(G411-H411, I411-H411)*
INDEX('2018_commission_structure'!$A$1:$I$4,
MATCH($D411, '2018_commission_structure'!$A$1:$A$4, 0),
MATCH(O$1, '2018_commission_structure'!$A$1:$I$1, 0)), 0)</f>
        <v>0</v>
      </c>
      <c r="P411" s="11">
        <f>IF(G411&gt;H411, MIN(G411-H411, J411-H411)*
INDEX('2018_commission_structure'!$A$1:$I$4,
MATCH($D411, '2018_commission_structure'!$A$1:$A$4, 0),
MATCH(O$1, '2018_commission_structure'!$A$1:$I$1, 0)), 0)</f>
        <v>0</v>
      </c>
      <c r="Q411" s="11">
        <f>IF(G411&gt;H411, MIN(G411-H411, I411-H411)*
INDEX('2018_commission_structure'!$A$1:$I$4,
MATCH($D411, '2018_commission_structure'!$A$1:$A$4, 0),
MATCH(P$1, '2018_commission_structure'!$A$1:$I$1, 0)), 0)</f>
        <v>0</v>
      </c>
      <c r="R411" s="11">
        <f>IF(G411&gt;K411, (G411-K411) *
INDEX('2018_commission_structure'!$A$1:$I$4,
MATCH($D411, '2018_commission_structure'!$A$1:$A$4,0),
MATCH(R$1, '2018_commission_structure'!$A$1:$I$1,0)), 0)</f>
        <v>0</v>
      </c>
      <c r="S411" s="11">
        <f t="shared" si="41"/>
        <v>0</v>
      </c>
      <c r="T411" s="11" cm="1">
        <f t="array" ref="T411">SUM(E411+O411:Q411)</f>
        <v>367302</v>
      </c>
    </row>
    <row r="412" spans="1:20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 xml:space="preserve"> COUNTIF(deals_closed!D:D,A412)</f>
        <v>22</v>
      </c>
      <c r="G412" s="5">
        <f>SUMIF(deals_closed!D:D, calculations!A412, deals_closed!C:C)</f>
        <v>756417</v>
      </c>
      <c r="H412" s="5">
        <f>VLOOKUP(D412,'2018_commission_structure'!$A$2:$I$4,9,FALSE)</f>
        <v>600000</v>
      </c>
      <c r="I412" s="9">
        <f t="shared" si="36"/>
        <v>750000</v>
      </c>
      <c r="J412" s="8">
        <f t="shared" si="37"/>
        <v>900000</v>
      </c>
      <c r="K412" s="9">
        <f t="shared" si="38"/>
        <v>1200000</v>
      </c>
      <c r="L412" s="10">
        <f t="shared" si="39"/>
        <v>1.2606949999999999</v>
      </c>
      <c r="M412" t="str">
        <f t="shared" si="40"/>
        <v>125-150%</v>
      </c>
      <c r="N412" s="9">
        <f>MIN(H412, G412)*INDEX('2018_commission_structure'!$A$1:$I$4,
MATCH($D412, '2018_commission_structure'!$A$1:$A$4,0),
MATCH(N$1, '2018_commission_structure'!$A$1:$I$1,0))</f>
        <v>78000</v>
      </c>
      <c r="O412" s="11">
        <f>IF(G412&gt;H412, MIN(G412-H412, I412-H412)*
INDEX('2018_commission_structure'!$A$1:$I$4,
MATCH($D412, '2018_commission_structure'!$A$1:$A$4, 0),
MATCH(O$1, '2018_commission_structure'!$A$1:$I$1, 0)), 0)</f>
        <v>25500.000000000004</v>
      </c>
      <c r="P412" s="11">
        <f>IF(G412&gt;H412, MIN(G412-H412, J412-H412)*
INDEX('2018_commission_structure'!$A$1:$I$4,
MATCH($D412, '2018_commission_structure'!$A$1:$A$4, 0),
MATCH(O$1, '2018_commission_structure'!$A$1:$I$1, 0)), 0)</f>
        <v>26590.890000000003</v>
      </c>
      <c r="Q412" s="11">
        <f>IF(G412&gt;H412, MIN(G412-H412, I412-H412)*
INDEX('2018_commission_structure'!$A$1:$I$4,
MATCH($D412, '2018_commission_structure'!$A$1:$A$4, 0),
MATCH(P$1, '2018_commission_structure'!$A$1:$I$1, 0)), 0)</f>
        <v>31500</v>
      </c>
      <c r="R412" s="11">
        <f>IF(G412&gt;K412, (G412-K412) *
INDEX('2018_commission_structure'!$A$1:$I$4,
MATCH($D412, '2018_commission_structure'!$A$1:$A$4,0),
MATCH(R$1, '2018_commission_structure'!$A$1:$I$1,0)), 0)</f>
        <v>0</v>
      </c>
      <c r="S412" s="11">
        <f t="shared" si="41"/>
        <v>83590.890000000014</v>
      </c>
      <c r="T412" s="11" cm="1">
        <f t="array" ref="T412">SUM(E412+O412:Q412)</f>
        <v>245425.89</v>
      </c>
    </row>
    <row r="413" spans="1:20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 xml:space="preserve"> COUNTIF(deals_closed!D:D,A413)</f>
        <v>17</v>
      </c>
      <c r="G413" s="5">
        <f>SUMIF(deals_closed!D:D, calculations!A413, deals_closed!C:C)</f>
        <v>622486</v>
      </c>
      <c r="H413" s="5">
        <f>VLOOKUP(D413,'2018_commission_structure'!$A$2:$I$4,9,FALSE)</f>
        <v>600000</v>
      </c>
      <c r="I413" s="9">
        <f t="shared" si="36"/>
        <v>750000</v>
      </c>
      <c r="J413" s="8">
        <f t="shared" si="37"/>
        <v>900000</v>
      </c>
      <c r="K413" s="9">
        <f t="shared" si="38"/>
        <v>1200000</v>
      </c>
      <c r="L413" s="10">
        <f t="shared" si="39"/>
        <v>1.0374766666666666</v>
      </c>
      <c r="M413" t="str">
        <f t="shared" si="40"/>
        <v>100-125%</v>
      </c>
      <c r="N413" s="9">
        <f>MIN(H413, G413)*INDEX('2018_commission_structure'!$A$1:$I$4,
MATCH($D413, '2018_commission_structure'!$A$1:$A$4,0),
MATCH(N$1, '2018_commission_structure'!$A$1:$I$1,0))</f>
        <v>78000</v>
      </c>
      <c r="O413" s="11">
        <f>IF(G413&gt;H413, MIN(G413-H413, I413-H413)*
INDEX('2018_commission_structure'!$A$1:$I$4,
MATCH($D413, '2018_commission_structure'!$A$1:$A$4, 0),
MATCH(O$1, '2018_commission_structure'!$A$1:$I$1, 0)), 0)</f>
        <v>3822.6200000000003</v>
      </c>
      <c r="P413" s="11">
        <f>IF(G413&gt;H413, MIN(G413-H413, J413-H413)*
INDEX('2018_commission_structure'!$A$1:$I$4,
MATCH($D413, '2018_commission_structure'!$A$1:$A$4, 0),
MATCH(O$1, '2018_commission_structure'!$A$1:$I$1, 0)), 0)</f>
        <v>3822.6200000000003</v>
      </c>
      <c r="Q413" s="11">
        <f>IF(G413&gt;H413, MIN(G413-H413, I413-H413)*
INDEX('2018_commission_structure'!$A$1:$I$4,
MATCH($D413, '2018_commission_structure'!$A$1:$A$4, 0),
MATCH(P$1, '2018_commission_structure'!$A$1:$I$1, 0)), 0)</f>
        <v>4722.0599999999995</v>
      </c>
      <c r="R413" s="11">
        <f>IF(G413&gt;K413, (G413-K413) *
INDEX('2018_commission_structure'!$A$1:$I$4,
MATCH($D413, '2018_commission_structure'!$A$1:$A$4,0),
MATCH(R$1, '2018_commission_structure'!$A$1:$I$1,0)), 0)</f>
        <v>0</v>
      </c>
      <c r="S413" s="11">
        <f t="shared" si="41"/>
        <v>12367.3</v>
      </c>
      <c r="T413" s="11" cm="1">
        <f t="array" ref="T413">SUM(E413+O413:Q413)</f>
        <v>248764.3</v>
      </c>
    </row>
    <row r="414" spans="1:20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 xml:space="preserve"> COUNTIF(deals_closed!D:D,A414)</f>
        <v>13</v>
      </c>
      <c r="G414" s="5">
        <f>SUMIF(deals_closed!D:D, calculations!A414, deals_closed!C:C)</f>
        <v>516813</v>
      </c>
      <c r="H414" s="5">
        <f>VLOOKUP(D414,'2018_commission_structure'!$A$2:$I$4,9,FALSE)</f>
        <v>750000</v>
      </c>
      <c r="I414" s="9">
        <f t="shared" si="36"/>
        <v>937500</v>
      </c>
      <c r="J414" s="8">
        <f t="shared" si="37"/>
        <v>1125000</v>
      </c>
      <c r="K414" s="9">
        <f t="shared" si="38"/>
        <v>1500000</v>
      </c>
      <c r="L414" s="10">
        <f t="shared" si="39"/>
        <v>0.68908400000000003</v>
      </c>
      <c r="M414" t="str">
        <f t="shared" si="40"/>
        <v>0-100%</v>
      </c>
      <c r="N414" s="9">
        <f>MIN(H414, G414)*INDEX('2018_commission_structure'!$A$1:$I$4,
MATCH($D414, '2018_commission_structure'!$A$1:$A$4,0),
MATCH(N$1, '2018_commission_structure'!$A$1:$I$1,0))</f>
        <v>77521.95</v>
      </c>
      <c r="O414" s="11">
        <f>IF(G414&gt;H414, MIN(G414-H414, I414-H414)*
INDEX('2018_commission_structure'!$A$1:$I$4,
MATCH($D414, '2018_commission_structure'!$A$1:$A$4, 0),
MATCH(O$1, '2018_commission_structure'!$A$1:$I$1, 0)), 0)</f>
        <v>0</v>
      </c>
      <c r="P414" s="11">
        <f>IF(G414&gt;H414, MIN(G414-H414, J414-H414)*
INDEX('2018_commission_structure'!$A$1:$I$4,
MATCH($D414, '2018_commission_structure'!$A$1:$A$4, 0),
MATCH(O$1, '2018_commission_structure'!$A$1:$I$1, 0)), 0)</f>
        <v>0</v>
      </c>
      <c r="Q414" s="11">
        <f>IF(G414&gt;H414, MIN(G414-H414, I414-H414)*
INDEX('2018_commission_structure'!$A$1:$I$4,
MATCH($D414, '2018_commission_structure'!$A$1:$A$4, 0),
MATCH(P$1, '2018_commission_structure'!$A$1:$I$1, 0)), 0)</f>
        <v>0</v>
      </c>
      <c r="R414" s="11">
        <f>IF(G414&gt;K414, (G414-K414) *
INDEX('2018_commission_structure'!$A$1:$I$4,
MATCH($D414, '2018_commission_structure'!$A$1:$A$4,0),
MATCH(R$1, '2018_commission_structure'!$A$1:$I$1,0)), 0)</f>
        <v>0</v>
      </c>
      <c r="S414" s="11">
        <f t="shared" si="41"/>
        <v>0</v>
      </c>
      <c r="T414" s="11" cm="1">
        <f t="array" ref="T414">SUM(E414+O414:Q414)</f>
        <v>265569</v>
      </c>
    </row>
    <row r="415" spans="1:20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 xml:space="preserve"> COUNTIF(deals_closed!D:D,A415)</f>
        <v>18</v>
      </c>
      <c r="G415" s="5">
        <f>SUMIF(deals_closed!D:D, calculations!A415, deals_closed!C:C)</f>
        <v>704891</v>
      </c>
      <c r="H415" s="5">
        <f>VLOOKUP(D415,'2018_commission_structure'!$A$2:$I$4,9,FALSE)</f>
        <v>750000</v>
      </c>
      <c r="I415" s="9">
        <f t="shared" si="36"/>
        <v>937500</v>
      </c>
      <c r="J415" s="8">
        <f t="shared" si="37"/>
        <v>1125000</v>
      </c>
      <c r="K415" s="9">
        <f t="shared" si="38"/>
        <v>1500000</v>
      </c>
      <c r="L415" s="10">
        <f t="shared" si="39"/>
        <v>0.93985466666666662</v>
      </c>
      <c r="M415" t="str">
        <f t="shared" si="40"/>
        <v>0-100%</v>
      </c>
      <c r="N415" s="9">
        <f>MIN(H415, G415)*INDEX('2018_commission_structure'!$A$1:$I$4,
MATCH($D415, '2018_commission_structure'!$A$1:$A$4,0),
MATCH(N$1, '2018_commission_structure'!$A$1:$I$1,0))</f>
        <v>105733.65</v>
      </c>
      <c r="O415" s="11">
        <f>IF(G415&gt;H415, MIN(G415-H415, I415-H415)*
INDEX('2018_commission_structure'!$A$1:$I$4,
MATCH($D415, '2018_commission_structure'!$A$1:$A$4, 0),
MATCH(O$1, '2018_commission_structure'!$A$1:$I$1, 0)), 0)</f>
        <v>0</v>
      </c>
      <c r="P415" s="11">
        <f>IF(G415&gt;H415, MIN(G415-H415, J415-H415)*
INDEX('2018_commission_structure'!$A$1:$I$4,
MATCH($D415, '2018_commission_structure'!$A$1:$A$4, 0),
MATCH(O$1, '2018_commission_structure'!$A$1:$I$1, 0)), 0)</f>
        <v>0</v>
      </c>
      <c r="Q415" s="11">
        <f>IF(G415&gt;H415, MIN(G415-H415, I415-H415)*
INDEX('2018_commission_structure'!$A$1:$I$4,
MATCH($D415, '2018_commission_structure'!$A$1:$A$4, 0),
MATCH(P$1, '2018_commission_structure'!$A$1:$I$1, 0)), 0)</f>
        <v>0</v>
      </c>
      <c r="R415" s="11">
        <f>IF(G415&gt;K415, (G415-K415) *
INDEX('2018_commission_structure'!$A$1:$I$4,
MATCH($D415, '2018_commission_structure'!$A$1:$A$4,0),
MATCH(R$1, '2018_commission_structure'!$A$1:$I$1,0)), 0)</f>
        <v>0</v>
      </c>
      <c r="S415" s="11">
        <f t="shared" si="41"/>
        <v>0</v>
      </c>
      <c r="T415" s="11" cm="1">
        <f t="array" ref="T415">SUM(E415+O415:Q415)</f>
        <v>296682</v>
      </c>
    </row>
    <row r="416" spans="1:20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 xml:space="preserve"> COUNTIF(deals_closed!D:D,A416)</f>
        <v>18</v>
      </c>
      <c r="G416" s="5">
        <f>SUMIF(deals_closed!D:D, calculations!A416, deals_closed!C:C)</f>
        <v>719283</v>
      </c>
      <c r="H416" s="5">
        <f>VLOOKUP(D416,'2018_commission_structure'!$A$2:$I$4,9,FALSE)</f>
        <v>750000</v>
      </c>
      <c r="I416" s="9">
        <f t="shared" si="36"/>
        <v>937500</v>
      </c>
      <c r="J416" s="8">
        <f t="shared" si="37"/>
        <v>1125000</v>
      </c>
      <c r="K416" s="9">
        <f t="shared" si="38"/>
        <v>1500000</v>
      </c>
      <c r="L416" s="10">
        <f t="shared" si="39"/>
        <v>0.95904400000000001</v>
      </c>
      <c r="M416" t="str">
        <f t="shared" si="40"/>
        <v>0-100%</v>
      </c>
      <c r="N416" s="9">
        <f>MIN(H416, G416)*INDEX('2018_commission_structure'!$A$1:$I$4,
MATCH($D416, '2018_commission_structure'!$A$1:$A$4,0),
MATCH(N$1, '2018_commission_structure'!$A$1:$I$1,0))</f>
        <v>107892.45</v>
      </c>
      <c r="O416" s="11">
        <f>IF(G416&gt;H416, MIN(G416-H416, I416-H416)*
INDEX('2018_commission_structure'!$A$1:$I$4,
MATCH($D416, '2018_commission_structure'!$A$1:$A$4, 0),
MATCH(O$1, '2018_commission_structure'!$A$1:$I$1, 0)), 0)</f>
        <v>0</v>
      </c>
      <c r="P416" s="11">
        <f>IF(G416&gt;H416, MIN(G416-H416, J416-H416)*
INDEX('2018_commission_structure'!$A$1:$I$4,
MATCH($D416, '2018_commission_structure'!$A$1:$A$4, 0),
MATCH(O$1, '2018_commission_structure'!$A$1:$I$1, 0)), 0)</f>
        <v>0</v>
      </c>
      <c r="Q416" s="11">
        <f>IF(G416&gt;H416, MIN(G416-H416, I416-H416)*
INDEX('2018_commission_structure'!$A$1:$I$4,
MATCH($D416, '2018_commission_structure'!$A$1:$A$4, 0),
MATCH(P$1, '2018_commission_structure'!$A$1:$I$1, 0)), 0)</f>
        <v>0</v>
      </c>
      <c r="R416" s="11">
        <f>IF(G416&gt;K416, (G416-K416) *
INDEX('2018_commission_structure'!$A$1:$I$4,
MATCH($D416, '2018_commission_structure'!$A$1:$A$4,0),
MATCH(R$1, '2018_commission_structure'!$A$1:$I$1,0)), 0)</f>
        <v>0</v>
      </c>
      <c r="S416" s="11">
        <f t="shared" si="41"/>
        <v>0</v>
      </c>
      <c r="T416" s="11" cm="1">
        <f t="array" ref="T416">SUM(E416+O416:Q416)</f>
        <v>226269</v>
      </c>
    </row>
    <row r="417" spans="1:20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 xml:space="preserve"> COUNTIF(deals_closed!D:D,A417)</f>
        <v>22</v>
      </c>
      <c r="G417" s="5">
        <f>SUMIF(deals_closed!D:D, calculations!A417, deals_closed!C:C)</f>
        <v>661132</v>
      </c>
      <c r="H417" s="5">
        <f>VLOOKUP(D417,'2018_commission_structure'!$A$2:$I$4,9,FALSE)</f>
        <v>500000</v>
      </c>
      <c r="I417" s="9">
        <f t="shared" si="36"/>
        <v>625000</v>
      </c>
      <c r="J417" s="8">
        <f t="shared" si="37"/>
        <v>750000</v>
      </c>
      <c r="K417" s="9">
        <f t="shared" si="38"/>
        <v>1000000</v>
      </c>
      <c r="L417" s="10">
        <f t="shared" si="39"/>
        <v>1.3222640000000001</v>
      </c>
      <c r="M417" t="str">
        <f t="shared" si="40"/>
        <v>125-150%</v>
      </c>
      <c r="N417" s="9">
        <f>MIN(H417, G417)*INDEX('2018_commission_structure'!$A$1:$I$4,
MATCH($D417, '2018_commission_structure'!$A$1:$A$4,0),
MATCH(N$1, '2018_commission_structure'!$A$1:$I$1,0))</f>
        <v>50000</v>
      </c>
      <c r="O417" s="11">
        <f>IF(G417&gt;H417, MIN(G417-H417, I417-H417)*
INDEX('2018_commission_structure'!$A$1:$I$4,
MATCH($D417, '2018_commission_structure'!$A$1:$A$4, 0),
MATCH(O$1, '2018_commission_structure'!$A$1:$I$1, 0)), 0)</f>
        <v>18750</v>
      </c>
      <c r="P417" s="11">
        <f>IF(G417&gt;H417, MIN(G417-H417, J417-H417)*
INDEX('2018_commission_structure'!$A$1:$I$4,
MATCH($D417, '2018_commission_structure'!$A$1:$A$4, 0),
MATCH(O$1, '2018_commission_structure'!$A$1:$I$1, 0)), 0)</f>
        <v>24169.8</v>
      </c>
      <c r="Q417" s="11">
        <f>IF(G417&gt;H417, MIN(G417-H417, I417-H417)*
INDEX('2018_commission_structure'!$A$1:$I$4,
MATCH($D417, '2018_commission_structure'!$A$1:$A$4, 0),
MATCH(P$1, '2018_commission_structure'!$A$1:$I$1, 0)), 0)</f>
        <v>22500</v>
      </c>
      <c r="R417" s="11">
        <f>IF(G417&gt;K417, (G417-K417) *
INDEX('2018_commission_structure'!$A$1:$I$4,
MATCH($D417, '2018_commission_structure'!$A$1:$A$4,0),
MATCH(R$1, '2018_commission_structure'!$A$1:$I$1,0)), 0)</f>
        <v>0</v>
      </c>
      <c r="S417" s="11">
        <f t="shared" si="41"/>
        <v>65419.8</v>
      </c>
      <c r="T417" s="11" cm="1">
        <f t="array" ref="T417">SUM(E417+O417:Q417)</f>
        <v>160660.79999999999</v>
      </c>
    </row>
    <row r="418" spans="1:20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 xml:space="preserve"> COUNTIF(deals_closed!D:D,A418)</f>
        <v>20</v>
      </c>
      <c r="G418" s="5">
        <f>SUMIF(deals_closed!D:D, calculations!A418, deals_closed!C:C)</f>
        <v>710072</v>
      </c>
      <c r="H418" s="5">
        <f>VLOOKUP(D418,'2018_commission_structure'!$A$2:$I$4,9,FALSE)</f>
        <v>750000</v>
      </c>
      <c r="I418" s="9">
        <f t="shared" si="36"/>
        <v>937500</v>
      </c>
      <c r="J418" s="8">
        <f t="shared" si="37"/>
        <v>1125000</v>
      </c>
      <c r="K418" s="9">
        <f t="shared" si="38"/>
        <v>1500000</v>
      </c>
      <c r="L418" s="10">
        <f t="shared" si="39"/>
        <v>0.94676266666666664</v>
      </c>
      <c r="M418" t="str">
        <f t="shared" si="40"/>
        <v>0-100%</v>
      </c>
      <c r="N418" s="9">
        <f>MIN(H418, G418)*INDEX('2018_commission_structure'!$A$1:$I$4,
MATCH($D418, '2018_commission_structure'!$A$1:$A$4,0),
MATCH(N$1, '2018_commission_structure'!$A$1:$I$1,0))</f>
        <v>106510.8</v>
      </c>
      <c r="O418" s="11">
        <f>IF(G418&gt;H418, MIN(G418-H418, I418-H418)*
INDEX('2018_commission_structure'!$A$1:$I$4,
MATCH($D418, '2018_commission_structure'!$A$1:$A$4, 0),
MATCH(O$1, '2018_commission_structure'!$A$1:$I$1, 0)), 0)</f>
        <v>0</v>
      </c>
      <c r="P418" s="11">
        <f>IF(G418&gt;H418, MIN(G418-H418, J418-H418)*
INDEX('2018_commission_structure'!$A$1:$I$4,
MATCH($D418, '2018_commission_structure'!$A$1:$A$4, 0),
MATCH(O$1, '2018_commission_structure'!$A$1:$I$1, 0)), 0)</f>
        <v>0</v>
      </c>
      <c r="Q418" s="11">
        <f>IF(G418&gt;H418, MIN(G418-H418, I418-H418)*
INDEX('2018_commission_structure'!$A$1:$I$4,
MATCH($D418, '2018_commission_structure'!$A$1:$A$4, 0),
MATCH(P$1, '2018_commission_structure'!$A$1:$I$1, 0)), 0)</f>
        <v>0</v>
      </c>
      <c r="R418" s="11">
        <f>IF(G418&gt;K418, (G418-K418) *
INDEX('2018_commission_structure'!$A$1:$I$4,
MATCH($D418, '2018_commission_structure'!$A$1:$A$4,0),
MATCH(R$1, '2018_commission_structure'!$A$1:$I$1,0)), 0)</f>
        <v>0</v>
      </c>
      <c r="S418" s="11">
        <f t="shared" si="41"/>
        <v>0</v>
      </c>
      <c r="T418" s="11" cm="1">
        <f t="array" ref="T418">SUM(E418+O418:Q418)</f>
        <v>292611</v>
      </c>
    </row>
    <row r="419" spans="1:20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 xml:space="preserve"> COUNTIF(deals_closed!D:D,A419)</f>
        <v>24</v>
      </c>
      <c r="G419" s="5">
        <f>SUMIF(deals_closed!D:D, calculations!A419, deals_closed!C:C)</f>
        <v>878279</v>
      </c>
      <c r="H419" s="5">
        <f>VLOOKUP(D419,'2018_commission_structure'!$A$2:$I$4,9,FALSE)</f>
        <v>600000</v>
      </c>
      <c r="I419" s="9">
        <f t="shared" si="36"/>
        <v>750000</v>
      </c>
      <c r="J419" s="8">
        <f t="shared" si="37"/>
        <v>900000</v>
      </c>
      <c r="K419" s="9">
        <f t="shared" si="38"/>
        <v>1200000</v>
      </c>
      <c r="L419" s="10">
        <f t="shared" si="39"/>
        <v>1.4637983333333333</v>
      </c>
      <c r="M419" t="str">
        <f t="shared" si="40"/>
        <v>125-150%</v>
      </c>
      <c r="N419" s="9">
        <f>MIN(H419, G419)*INDEX('2018_commission_structure'!$A$1:$I$4,
MATCH($D419, '2018_commission_structure'!$A$1:$A$4,0),
MATCH(N$1, '2018_commission_structure'!$A$1:$I$1,0))</f>
        <v>78000</v>
      </c>
      <c r="O419" s="11">
        <f>IF(G419&gt;H419, MIN(G419-H419, I419-H419)*
INDEX('2018_commission_structure'!$A$1:$I$4,
MATCH($D419, '2018_commission_structure'!$A$1:$A$4, 0),
MATCH(O$1, '2018_commission_structure'!$A$1:$I$1, 0)), 0)</f>
        <v>25500.000000000004</v>
      </c>
      <c r="P419" s="11">
        <f>IF(G419&gt;H419, MIN(G419-H419, J419-H419)*
INDEX('2018_commission_structure'!$A$1:$I$4,
MATCH($D419, '2018_commission_structure'!$A$1:$A$4, 0),
MATCH(O$1, '2018_commission_structure'!$A$1:$I$1, 0)), 0)</f>
        <v>47307.43</v>
      </c>
      <c r="Q419" s="11">
        <f>IF(G419&gt;H419, MIN(G419-H419, I419-H419)*
INDEX('2018_commission_structure'!$A$1:$I$4,
MATCH($D419, '2018_commission_structure'!$A$1:$A$4, 0),
MATCH(P$1, '2018_commission_structure'!$A$1:$I$1, 0)), 0)</f>
        <v>31500</v>
      </c>
      <c r="R419" s="11">
        <f>IF(G419&gt;K419, (G419-K419) *
INDEX('2018_commission_structure'!$A$1:$I$4,
MATCH($D419, '2018_commission_structure'!$A$1:$A$4,0),
MATCH(R$1, '2018_commission_structure'!$A$1:$I$1,0)), 0)</f>
        <v>0</v>
      </c>
      <c r="S419" s="11">
        <f t="shared" si="41"/>
        <v>104307.43000000001</v>
      </c>
      <c r="T419" s="11" cm="1">
        <f t="array" ref="T419">SUM(E419+O419:Q419)</f>
        <v>315720.43</v>
      </c>
    </row>
    <row r="420" spans="1:20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 xml:space="preserve"> COUNTIF(deals_closed!D:D,A420)</f>
        <v>17</v>
      </c>
      <c r="G420" s="5">
        <f>SUMIF(deals_closed!D:D, calculations!A420, deals_closed!C:C)</f>
        <v>608507</v>
      </c>
      <c r="H420" s="5">
        <f>VLOOKUP(D420,'2018_commission_structure'!$A$2:$I$4,9,FALSE)</f>
        <v>750000</v>
      </c>
      <c r="I420" s="9">
        <f t="shared" si="36"/>
        <v>937500</v>
      </c>
      <c r="J420" s="8">
        <f t="shared" si="37"/>
        <v>1125000</v>
      </c>
      <c r="K420" s="9">
        <f t="shared" si="38"/>
        <v>1500000</v>
      </c>
      <c r="L420" s="10">
        <f t="shared" si="39"/>
        <v>0.81134266666666666</v>
      </c>
      <c r="M420" t="str">
        <f t="shared" si="40"/>
        <v>0-100%</v>
      </c>
      <c r="N420" s="9">
        <f>MIN(H420, G420)*INDEX('2018_commission_structure'!$A$1:$I$4,
MATCH($D420, '2018_commission_structure'!$A$1:$A$4,0),
MATCH(N$1, '2018_commission_structure'!$A$1:$I$1,0))</f>
        <v>91276.05</v>
      </c>
      <c r="O420" s="11">
        <f>IF(G420&gt;H420, MIN(G420-H420, I420-H420)*
INDEX('2018_commission_structure'!$A$1:$I$4,
MATCH($D420, '2018_commission_structure'!$A$1:$A$4, 0),
MATCH(O$1, '2018_commission_structure'!$A$1:$I$1, 0)), 0)</f>
        <v>0</v>
      </c>
      <c r="P420" s="11">
        <f>IF(G420&gt;H420, MIN(G420-H420, J420-H420)*
INDEX('2018_commission_structure'!$A$1:$I$4,
MATCH($D420, '2018_commission_structure'!$A$1:$A$4, 0),
MATCH(O$1, '2018_commission_structure'!$A$1:$I$1, 0)), 0)</f>
        <v>0</v>
      </c>
      <c r="Q420" s="11">
        <f>IF(G420&gt;H420, MIN(G420-H420, I420-H420)*
INDEX('2018_commission_structure'!$A$1:$I$4,
MATCH($D420, '2018_commission_structure'!$A$1:$A$4, 0),
MATCH(P$1, '2018_commission_structure'!$A$1:$I$1, 0)), 0)</f>
        <v>0</v>
      </c>
      <c r="R420" s="11">
        <f>IF(G420&gt;K420, (G420-K420) *
INDEX('2018_commission_structure'!$A$1:$I$4,
MATCH($D420, '2018_commission_structure'!$A$1:$A$4,0),
MATCH(R$1, '2018_commission_structure'!$A$1:$I$1,0)), 0)</f>
        <v>0</v>
      </c>
      <c r="S420" s="11">
        <f t="shared" si="41"/>
        <v>0</v>
      </c>
      <c r="T420" s="11" cm="1">
        <f t="array" ref="T420">SUM(E420+O420:Q420)</f>
        <v>231087</v>
      </c>
    </row>
    <row r="421" spans="1:20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 xml:space="preserve"> COUNTIF(deals_closed!D:D,A421)</f>
        <v>26</v>
      </c>
      <c r="G421" s="5">
        <f>SUMIF(deals_closed!D:D, calculations!A421, deals_closed!C:C)</f>
        <v>995314</v>
      </c>
      <c r="H421" s="5">
        <f>VLOOKUP(D421,'2018_commission_structure'!$A$2:$I$4,9,FALSE)</f>
        <v>600000</v>
      </c>
      <c r="I421" s="9">
        <f t="shared" si="36"/>
        <v>750000</v>
      </c>
      <c r="J421" s="8">
        <f t="shared" si="37"/>
        <v>900000</v>
      </c>
      <c r="K421" s="9">
        <f t="shared" si="38"/>
        <v>1200000</v>
      </c>
      <c r="L421" s="10">
        <f t="shared" si="39"/>
        <v>1.6588566666666666</v>
      </c>
      <c r="M421" t="str">
        <f t="shared" si="40"/>
        <v>150-200%</v>
      </c>
      <c r="N421" s="9">
        <f>MIN(H421, G421)*INDEX('2018_commission_structure'!$A$1:$I$4,
MATCH($D421, '2018_commission_structure'!$A$1:$A$4,0),
MATCH(N$1, '2018_commission_structure'!$A$1:$I$1,0))</f>
        <v>78000</v>
      </c>
      <c r="O421" s="11">
        <f>IF(G421&gt;H421, MIN(G421-H421, I421-H421)*
INDEX('2018_commission_structure'!$A$1:$I$4,
MATCH($D421, '2018_commission_structure'!$A$1:$A$4, 0),
MATCH(O$1, '2018_commission_structure'!$A$1:$I$1, 0)), 0)</f>
        <v>25500.000000000004</v>
      </c>
      <c r="P421" s="11">
        <f>IF(G421&gt;H421, MIN(G421-H421, J421-H421)*
INDEX('2018_commission_structure'!$A$1:$I$4,
MATCH($D421, '2018_commission_structure'!$A$1:$A$4, 0),
MATCH(O$1, '2018_commission_structure'!$A$1:$I$1, 0)), 0)</f>
        <v>51000.000000000007</v>
      </c>
      <c r="Q421" s="11">
        <f>IF(G421&gt;H421, MIN(G421-H421, I421-H421)*
INDEX('2018_commission_structure'!$A$1:$I$4,
MATCH($D421, '2018_commission_structure'!$A$1:$A$4, 0),
MATCH(P$1, '2018_commission_structure'!$A$1:$I$1, 0)), 0)</f>
        <v>31500</v>
      </c>
      <c r="R421" s="11">
        <f>IF(G421&gt;K421, (G421-K421) *
INDEX('2018_commission_structure'!$A$1:$I$4,
MATCH($D421, '2018_commission_structure'!$A$1:$A$4,0),
MATCH(R$1, '2018_commission_structure'!$A$1:$I$1,0)), 0)</f>
        <v>0</v>
      </c>
      <c r="S421" s="11">
        <f t="shared" si="41"/>
        <v>108000.00000000001</v>
      </c>
      <c r="T421" s="11" cm="1">
        <f t="array" ref="T421">SUM(E421+O421:Q421)</f>
        <v>341478</v>
      </c>
    </row>
    <row r="422" spans="1:20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 xml:space="preserve"> COUNTIF(deals_closed!D:D,A422)</f>
        <v>21</v>
      </c>
      <c r="G422" s="5">
        <f>SUMIF(deals_closed!D:D, calculations!A422, deals_closed!C:C)</f>
        <v>715285</v>
      </c>
      <c r="H422" s="5">
        <f>VLOOKUP(D422,'2018_commission_structure'!$A$2:$I$4,9,FALSE)</f>
        <v>500000</v>
      </c>
      <c r="I422" s="9">
        <f t="shared" si="36"/>
        <v>625000</v>
      </c>
      <c r="J422" s="8">
        <f t="shared" si="37"/>
        <v>750000</v>
      </c>
      <c r="K422" s="9">
        <f t="shared" si="38"/>
        <v>1000000</v>
      </c>
      <c r="L422" s="10">
        <f t="shared" si="39"/>
        <v>1.4305699999999999</v>
      </c>
      <c r="M422" t="str">
        <f t="shared" si="40"/>
        <v>125-150%</v>
      </c>
      <c r="N422" s="9">
        <f>MIN(H422, G422)*INDEX('2018_commission_structure'!$A$1:$I$4,
MATCH($D422, '2018_commission_structure'!$A$1:$A$4,0),
MATCH(N$1, '2018_commission_structure'!$A$1:$I$1,0))</f>
        <v>50000</v>
      </c>
      <c r="O422" s="11">
        <f>IF(G422&gt;H422, MIN(G422-H422, I422-H422)*
INDEX('2018_commission_structure'!$A$1:$I$4,
MATCH($D422, '2018_commission_structure'!$A$1:$A$4, 0),
MATCH(O$1, '2018_commission_structure'!$A$1:$I$1, 0)), 0)</f>
        <v>18750</v>
      </c>
      <c r="P422" s="11">
        <f>IF(G422&gt;H422, MIN(G422-H422, J422-H422)*
INDEX('2018_commission_structure'!$A$1:$I$4,
MATCH($D422, '2018_commission_structure'!$A$1:$A$4, 0),
MATCH(O$1, '2018_commission_structure'!$A$1:$I$1, 0)), 0)</f>
        <v>32292.75</v>
      </c>
      <c r="Q422" s="11">
        <f>IF(G422&gt;H422, MIN(G422-H422, I422-H422)*
INDEX('2018_commission_structure'!$A$1:$I$4,
MATCH($D422, '2018_commission_structure'!$A$1:$A$4, 0),
MATCH(P$1, '2018_commission_structure'!$A$1:$I$1, 0)), 0)</f>
        <v>22500</v>
      </c>
      <c r="R422" s="11">
        <f>IF(G422&gt;K422, (G422-K422) *
INDEX('2018_commission_structure'!$A$1:$I$4,
MATCH($D422, '2018_commission_structure'!$A$1:$A$4,0),
MATCH(R$1, '2018_commission_structure'!$A$1:$I$1,0)), 0)</f>
        <v>0</v>
      </c>
      <c r="S422" s="11">
        <f t="shared" si="41"/>
        <v>73542.75</v>
      </c>
      <c r="T422" s="11" cm="1">
        <f t="array" ref="T422">SUM(E422+O422:Q422)</f>
        <v>201882.75</v>
      </c>
    </row>
    <row r="423" spans="1:20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 xml:space="preserve"> COUNTIF(deals_closed!D:D,A423)</f>
        <v>18</v>
      </c>
      <c r="G423" s="5">
        <f>SUMIF(deals_closed!D:D, calculations!A423, deals_closed!C:C)</f>
        <v>624821</v>
      </c>
      <c r="H423" s="5">
        <f>VLOOKUP(D423,'2018_commission_structure'!$A$2:$I$4,9,FALSE)</f>
        <v>500000</v>
      </c>
      <c r="I423" s="9">
        <f t="shared" si="36"/>
        <v>625000</v>
      </c>
      <c r="J423" s="8">
        <f t="shared" si="37"/>
        <v>750000</v>
      </c>
      <c r="K423" s="9">
        <f t="shared" si="38"/>
        <v>1000000</v>
      </c>
      <c r="L423" s="10">
        <f t="shared" si="39"/>
        <v>1.2496419999999999</v>
      </c>
      <c r="M423" t="str">
        <f t="shared" si="40"/>
        <v>100-125%</v>
      </c>
      <c r="N423" s="9">
        <f>MIN(H423, G423)*INDEX('2018_commission_structure'!$A$1:$I$4,
MATCH($D423, '2018_commission_structure'!$A$1:$A$4,0),
MATCH(N$1, '2018_commission_structure'!$A$1:$I$1,0))</f>
        <v>50000</v>
      </c>
      <c r="O423" s="11">
        <f>IF(G423&gt;H423, MIN(G423-H423, I423-H423)*
INDEX('2018_commission_structure'!$A$1:$I$4,
MATCH($D423, '2018_commission_structure'!$A$1:$A$4, 0),
MATCH(O$1, '2018_commission_structure'!$A$1:$I$1, 0)), 0)</f>
        <v>18723.149999999998</v>
      </c>
      <c r="P423" s="11">
        <f>IF(G423&gt;H423, MIN(G423-H423, J423-H423)*
INDEX('2018_commission_structure'!$A$1:$I$4,
MATCH($D423, '2018_commission_structure'!$A$1:$A$4, 0),
MATCH(O$1, '2018_commission_structure'!$A$1:$I$1, 0)), 0)</f>
        <v>18723.149999999998</v>
      </c>
      <c r="Q423" s="11">
        <f>IF(G423&gt;H423, MIN(G423-H423, I423-H423)*
INDEX('2018_commission_structure'!$A$1:$I$4,
MATCH($D423, '2018_commission_structure'!$A$1:$A$4, 0),
MATCH(P$1, '2018_commission_structure'!$A$1:$I$1, 0)), 0)</f>
        <v>22467.78</v>
      </c>
      <c r="R423" s="11">
        <f>IF(G423&gt;K423, (G423-K423) *
INDEX('2018_commission_structure'!$A$1:$I$4,
MATCH($D423, '2018_commission_structure'!$A$1:$A$4,0),
MATCH(R$1, '2018_commission_structure'!$A$1:$I$1,0)), 0)</f>
        <v>0</v>
      </c>
      <c r="S423" s="11">
        <f t="shared" si="41"/>
        <v>59914.079999999994</v>
      </c>
      <c r="T423" s="11" cm="1">
        <f t="array" ref="T423">SUM(E423+O423:Q423)</f>
        <v>253120.08</v>
      </c>
    </row>
    <row r="424" spans="1:20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 xml:space="preserve"> COUNTIF(deals_closed!D:D,A424)</f>
        <v>18</v>
      </c>
      <c r="G424" s="5">
        <f>SUMIF(deals_closed!D:D, calculations!A424, deals_closed!C:C)</f>
        <v>543953</v>
      </c>
      <c r="H424" s="5">
        <f>VLOOKUP(D424,'2018_commission_structure'!$A$2:$I$4,9,FALSE)</f>
        <v>750000</v>
      </c>
      <c r="I424" s="9">
        <f t="shared" si="36"/>
        <v>937500</v>
      </c>
      <c r="J424" s="8">
        <f t="shared" si="37"/>
        <v>1125000</v>
      </c>
      <c r="K424" s="9">
        <f t="shared" si="38"/>
        <v>1500000</v>
      </c>
      <c r="L424" s="10">
        <f t="shared" si="39"/>
        <v>0.72527066666666662</v>
      </c>
      <c r="M424" t="str">
        <f t="shared" si="40"/>
        <v>0-100%</v>
      </c>
      <c r="N424" s="9">
        <f>MIN(H424, G424)*INDEX('2018_commission_structure'!$A$1:$I$4,
MATCH($D424, '2018_commission_structure'!$A$1:$A$4,0),
MATCH(N$1, '2018_commission_structure'!$A$1:$I$1,0))</f>
        <v>81592.95</v>
      </c>
      <c r="O424" s="11">
        <f>IF(G424&gt;H424, MIN(G424-H424, I424-H424)*
INDEX('2018_commission_structure'!$A$1:$I$4,
MATCH($D424, '2018_commission_structure'!$A$1:$A$4, 0),
MATCH(O$1, '2018_commission_structure'!$A$1:$I$1, 0)), 0)</f>
        <v>0</v>
      </c>
      <c r="P424" s="11">
        <f>IF(G424&gt;H424, MIN(G424-H424, J424-H424)*
INDEX('2018_commission_structure'!$A$1:$I$4,
MATCH($D424, '2018_commission_structure'!$A$1:$A$4, 0),
MATCH(O$1, '2018_commission_structure'!$A$1:$I$1, 0)), 0)</f>
        <v>0</v>
      </c>
      <c r="Q424" s="11">
        <f>IF(G424&gt;H424, MIN(G424-H424, I424-H424)*
INDEX('2018_commission_structure'!$A$1:$I$4,
MATCH($D424, '2018_commission_structure'!$A$1:$A$4, 0),
MATCH(P$1, '2018_commission_structure'!$A$1:$I$1, 0)), 0)</f>
        <v>0</v>
      </c>
      <c r="R424" s="11">
        <f>IF(G424&gt;K424, (G424-K424) *
INDEX('2018_commission_structure'!$A$1:$I$4,
MATCH($D424, '2018_commission_structure'!$A$1:$A$4,0),
MATCH(R$1, '2018_commission_structure'!$A$1:$I$1,0)), 0)</f>
        <v>0</v>
      </c>
      <c r="S424" s="11">
        <f t="shared" si="41"/>
        <v>0</v>
      </c>
      <c r="T424" s="11" cm="1">
        <f t="array" ref="T424">SUM(E424+O424:Q424)</f>
        <v>236142</v>
      </c>
    </row>
    <row r="425" spans="1:20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 xml:space="preserve"> COUNTIF(deals_closed!D:D,A425)</f>
        <v>20</v>
      </c>
      <c r="G425" s="5">
        <f>SUMIF(deals_closed!D:D, calculations!A425, deals_closed!C:C)</f>
        <v>668998</v>
      </c>
      <c r="H425" s="5">
        <f>VLOOKUP(D425,'2018_commission_structure'!$A$2:$I$4,9,FALSE)</f>
        <v>750000</v>
      </c>
      <c r="I425" s="9">
        <f t="shared" si="36"/>
        <v>937500</v>
      </c>
      <c r="J425" s="8">
        <f t="shared" si="37"/>
        <v>1125000</v>
      </c>
      <c r="K425" s="9">
        <f t="shared" si="38"/>
        <v>1500000</v>
      </c>
      <c r="L425" s="10">
        <f t="shared" si="39"/>
        <v>0.89199733333333331</v>
      </c>
      <c r="M425" t="str">
        <f t="shared" si="40"/>
        <v>0-100%</v>
      </c>
      <c r="N425" s="9">
        <f>MIN(H425, G425)*INDEX('2018_commission_structure'!$A$1:$I$4,
MATCH($D425, '2018_commission_structure'!$A$1:$A$4,0),
MATCH(N$1, '2018_commission_structure'!$A$1:$I$1,0))</f>
        <v>100349.7</v>
      </c>
      <c r="O425" s="11">
        <f>IF(G425&gt;H425, MIN(G425-H425, I425-H425)*
INDEX('2018_commission_structure'!$A$1:$I$4,
MATCH($D425, '2018_commission_structure'!$A$1:$A$4, 0),
MATCH(O$1, '2018_commission_structure'!$A$1:$I$1, 0)), 0)</f>
        <v>0</v>
      </c>
      <c r="P425" s="11">
        <f>IF(G425&gt;H425, MIN(G425-H425, J425-H425)*
INDEX('2018_commission_structure'!$A$1:$I$4,
MATCH($D425, '2018_commission_structure'!$A$1:$A$4, 0),
MATCH(O$1, '2018_commission_structure'!$A$1:$I$1, 0)), 0)</f>
        <v>0</v>
      </c>
      <c r="Q425" s="11">
        <f>IF(G425&gt;H425, MIN(G425-H425, I425-H425)*
INDEX('2018_commission_structure'!$A$1:$I$4,
MATCH($D425, '2018_commission_structure'!$A$1:$A$4, 0),
MATCH(P$1, '2018_commission_structure'!$A$1:$I$1, 0)), 0)</f>
        <v>0</v>
      </c>
      <c r="R425" s="11">
        <f>IF(G425&gt;K425, (G425-K425) *
INDEX('2018_commission_structure'!$A$1:$I$4,
MATCH($D425, '2018_commission_structure'!$A$1:$A$4,0),
MATCH(R$1, '2018_commission_structure'!$A$1:$I$1,0)), 0)</f>
        <v>0</v>
      </c>
      <c r="S425" s="11">
        <f t="shared" si="41"/>
        <v>0</v>
      </c>
      <c r="T425" s="11" cm="1">
        <f t="array" ref="T425">SUM(E425+O425:Q425)</f>
        <v>319533</v>
      </c>
    </row>
    <row r="426" spans="1:20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 xml:space="preserve"> COUNTIF(deals_closed!D:D,A426)</f>
        <v>21</v>
      </c>
      <c r="G426" s="5">
        <f>SUMIF(deals_closed!D:D, calculations!A426, deals_closed!C:C)</f>
        <v>753098</v>
      </c>
      <c r="H426" s="5">
        <f>VLOOKUP(D426,'2018_commission_structure'!$A$2:$I$4,9,FALSE)</f>
        <v>750000</v>
      </c>
      <c r="I426" s="9">
        <f t="shared" si="36"/>
        <v>937500</v>
      </c>
      <c r="J426" s="8">
        <f t="shared" si="37"/>
        <v>1125000</v>
      </c>
      <c r="K426" s="9">
        <f t="shared" si="38"/>
        <v>1500000</v>
      </c>
      <c r="L426" s="10">
        <f t="shared" si="39"/>
        <v>1.0041306666666667</v>
      </c>
      <c r="M426" t="str">
        <f t="shared" si="40"/>
        <v>100-125%</v>
      </c>
      <c r="N426" s="9">
        <f>MIN(H426, G426)*INDEX('2018_commission_structure'!$A$1:$I$4,
MATCH($D426, '2018_commission_structure'!$A$1:$A$4,0),
MATCH(N$1, '2018_commission_structure'!$A$1:$I$1,0))</f>
        <v>112500</v>
      </c>
      <c r="O426" s="11">
        <f>IF(G426&gt;H426, MIN(G426-H426, I426-H426)*
INDEX('2018_commission_structure'!$A$1:$I$4,
MATCH($D426, '2018_commission_structure'!$A$1:$A$4, 0),
MATCH(O$1, '2018_commission_structure'!$A$1:$I$1, 0)), 0)</f>
        <v>588.62</v>
      </c>
      <c r="P426" s="11">
        <f>IF(G426&gt;H426, MIN(G426-H426, J426-H426)*
INDEX('2018_commission_structure'!$A$1:$I$4,
MATCH($D426, '2018_commission_structure'!$A$1:$A$4, 0),
MATCH(O$1, '2018_commission_structure'!$A$1:$I$1, 0)), 0)</f>
        <v>588.62</v>
      </c>
      <c r="Q426" s="11">
        <f>IF(G426&gt;H426, MIN(G426-H426, I426-H426)*
INDEX('2018_commission_structure'!$A$1:$I$4,
MATCH($D426, '2018_commission_structure'!$A$1:$A$4, 0),
MATCH(P$1, '2018_commission_structure'!$A$1:$I$1, 0)), 0)</f>
        <v>712.54000000000008</v>
      </c>
      <c r="R426" s="11">
        <f>IF(G426&gt;K426, (G426-K426) *
INDEX('2018_commission_structure'!$A$1:$I$4,
MATCH($D426, '2018_commission_structure'!$A$1:$A$4,0),
MATCH(R$1, '2018_commission_structure'!$A$1:$I$1,0)), 0)</f>
        <v>0</v>
      </c>
      <c r="S426" s="11">
        <f t="shared" si="41"/>
        <v>1889.7800000000002</v>
      </c>
      <c r="T426" s="11" cm="1">
        <f t="array" ref="T426">SUM(E426+O426:Q426)</f>
        <v>251513.77999999997</v>
      </c>
    </row>
    <row r="427" spans="1:20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 xml:space="preserve"> COUNTIF(deals_closed!D:D,A427)</f>
        <v>28</v>
      </c>
      <c r="G427" s="5">
        <f>SUMIF(deals_closed!D:D, calculations!A427, deals_closed!C:C)</f>
        <v>1127142</v>
      </c>
      <c r="H427" s="5">
        <f>VLOOKUP(D427,'2018_commission_structure'!$A$2:$I$4,9,FALSE)</f>
        <v>600000</v>
      </c>
      <c r="I427" s="9">
        <f t="shared" si="36"/>
        <v>750000</v>
      </c>
      <c r="J427" s="8">
        <f t="shared" si="37"/>
        <v>900000</v>
      </c>
      <c r="K427" s="9">
        <f t="shared" si="38"/>
        <v>1200000</v>
      </c>
      <c r="L427" s="10">
        <f t="shared" si="39"/>
        <v>1.8785700000000001</v>
      </c>
      <c r="M427" t="str">
        <f t="shared" si="40"/>
        <v>150-200%</v>
      </c>
      <c r="N427" s="9">
        <f>MIN(H427, G427)*INDEX('2018_commission_structure'!$A$1:$I$4,
MATCH($D427, '2018_commission_structure'!$A$1:$A$4,0),
MATCH(N$1, '2018_commission_structure'!$A$1:$I$1,0))</f>
        <v>78000</v>
      </c>
      <c r="O427" s="11">
        <f>IF(G427&gt;H427, MIN(G427-H427, I427-H427)*
INDEX('2018_commission_structure'!$A$1:$I$4,
MATCH($D427, '2018_commission_structure'!$A$1:$A$4, 0),
MATCH(O$1, '2018_commission_structure'!$A$1:$I$1, 0)), 0)</f>
        <v>25500.000000000004</v>
      </c>
      <c r="P427" s="11">
        <f>IF(G427&gt;H427, MIN(G427-H427, J427-H427)*
INDEX('2018_commission_structure'!$A$1:$I$4,
MATCH($D427, '2018_commission_structure'!$A$1:$A$4, 0),
MATCH(O$1, '2018_commission_structure'!$A$1:$I$1, 0)), 0)</f>
        <v>51000.000000000007</v>
      </c>
      <c r="Q427" s="11">
        <f>IF(G427&gt;H427, MIN(G427-H427, I427-H427)*
INDEX('2018_commission_structure'!$A$1:$I$4,
MATCH($D427, '2018_commission_structure'!$A$1:$A$4, 0),
MATCH(P$1, '2018_commission_structure'!$A$1:$I$1, 0)), 0)</f>
        <v>31500</v>
      </c>
      <c r="R427" s="11">
        <f>IF(G427&gt;K427, (G427-K427) *
INDEX('2018_commission_structure'!$A$1:$I$4,
MATCH($D427, '2018_commission_structure'!$A$1:$A$4,0),
MATCH(R$1, '2018_commission_structure'!$A$1:$I$1,0)), 0)</f>
        <v>0</v>
      </c>
      <c r="S427" s="11">
        <f t="shared" si="41"/>
        <v>108000.00000000001</v>
      </c>
      <c r="T427" s="11" cm="1">
        <f t="array" ref="T427">SUM(E427+O427:Q427)</f>
        <v>275211</v>
      </c>
    </row>
    <row r="428" spans="1:20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 xml:space="preserve"> COUNTIF(deals_closed!D:D,A428)</f>
        <v>20</v>
      </c>
      <c r="G428" s="5">
        <f>SUMIF(deals_closed!D:D, calculations!A428, deals_closed!C:C)</f>
        <v>691612</v>
      </c>
      <c r="H428" s="5">
        <f>VLOOKUP(D428,'2018_commission_structure'!$A$2:$I$4,9,FALSE)</f>
        <v>500000</v>
      </c>
      <c r="I428" s="9">
        <f t="shared" si="36"/>
        <v>625000</v>
      </c>
      <c r="J428" s="8">
        <f t="shared" si="37"/>
        <v>750000</v>
      </c>
      <c r="K428" s="9">
        <f t="shared" si="38"/>
        <v>1000000</v>
      </c>
      <c r="L428" s="10">
        <f t="shared" si="39"/>
        <v>1.383224</v>
      </c>
      <c r="M428" t="str">
        <f t="shared" si="40"/>
        <v>125-150%</v>
      </c>
      <c r="N428" s="9">
        <f>MIN(H428, G428)*INDEX('2018_commission_structure'!$A$1:$I$4,
MATCH($D428, '2018_commission_structure'!$A$1:$A$4,0),
MATCH(N$1, '2018_commission_structure'!$A$1:$I$1,0))</f>
        <v>50000</v>
      </c>
      <c r="O428" s="11">
        <f>IF(G428&gt;H428, MIN(G428-H428, I428-H428)*
INDEX('2018_commission_structure'!$A$1:$I$4,
MATCH($D428, '2018_commission_structure'!$A$1:$A$4, 0),
MATCH(O$1, '2018_commission_structure'!$A$1:$I$1, 0)), 0)</f>
        <v>18750</v>
      </c>
      <c r="P428" s="11">
        <f>IF(G428&gt;H428, MIN(G428-H428, J428-H428)*
INDEX('2018_commission_structure'!$A$1:$I$4,
MATCH($D428, '2018_commission_structure'!$A$1:$A$4, 0),
MATCH(O$1, '2018_commission_structure'!$A$1:$I$1, 0)), 0)</f>
        <v>28741.8</v>
      </c>
      <c r="Q428" s="11">
        <f>IF(G428&gt;H428, MIN(G428-H428, I428-H428)*
INDEX('2018_commission_structure'!$A$1:$I$4,
MATCH($D428, '2018_commission_structure'!$A$1:$A$4, 0),
MATCH(P$1, '2018_commission_structure'!$A$1:$I$1, 0)), 0)</f>
        <v>22500</v>
      </c>
      <c r="R428" s="11">
        <f>IF(G428&gt;K428, (G428-K428) *
INDEX('2018_commission_structure'!$A$1:$I$4,
MATCH($D428, '2018_commission_structure'!$A$1:$A$4,0),
MATCH(R$1, '2018_commission_structure'!$A$1:$I$1,0)), 0)</f>
        <v>0</v>
      </c>
      <c r="S428" s="11">
        <f t="shared" si="41"/>
        <v>69991.8</v>
      </c>
      <c r="T428" s="11" cm="1">
        <f t="array" ref="T428">SUM(E428+O428:Q428)</f>
        <v>224626.8</v>
      </c>
    </row>
    <row r="429" spans="1:20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 xml:space="preserve"> COUNTIF(deals_closed!D:D,A429)</f>
        <v>17</v>
      </c>
      <c r="G429" s="5">
        <f>SUMIF(deals_closed!D:D, calculations!A429, deals_closed!C:C)</f>
        <v>594947</v>
      </c>
      <c r="H429" s="5">
        <f>VLOOKUP(D429,'2018_commission_structure'!$A$2:$I$4,9,FALSE)</f>
        <v>500000</v>
      </c>
      <c r="I429" s="9">
        <f t="shared" si="36"/>
        <v>625000</v>
      </c>
      <c r="J429" s="8">
        <f t="shared" si="37"/>
        <v>750000</v>
      </c>
      <c r="K429" s="9">
        <f t="shared" si="38"/>
        <v>1000000</v>
      </c>
      <c r="L429" s="10">
        <f t="shared" si="39"/>
        <v>1.189894</v>
      </c>
      <c r="M429" t="str">
        <f t="shared" si="40"/>
        <v>100-125%</v>
      </c>
      <c r="N429" s="9">
        <f>MIN(H429, G429)*INDEX('2018_commission_structure'!$A$1:$I$4,
MATCH($D429, '2018_commission_structure'!$A$1:$A$4,0),
MATCH(N$1, '2018_commission_structure'!$A$1:$I$1,0))</f>
        <v>50000</v>
      </c>
      <c r="O429" s="11">
        <f>IF(G429&gt;H429, MIN(G429-H429, I429-H429)*
INDEX('2018_commission_structure'!$A$1:$I$4,
MATCH($D429, '2018_commission_structure'!$A$1:$A$4, 0),
MATCH(O$1, '2018_commission_structure'!$A$1:$I$1, 0)), 0)</f>
        <v>14242.05</v>
      </c>
      <c r="P429" s="11">
        <f>IF(G429&gt;H429, MIN(G429-H429, J429-H429)*
INDEX('2018_commission_structure'!$A$1:$I$4,
MATCH($D429, '2018_commission_structure'!$A$1:$A$4, 0),
MATCH(O$1, '2018_commission_structure'!$A$1:$I$1, 0)), 0)</f>
        <v>14242.05</v>
      </c>
      <c r="Q429" s="11">
        <f>IF(G429&gt;H429, MIN(G429-H429, I429-H429)*
INDEX('2018_commission_structure'!$A$1:$I$4,
MATCH($D429, '2018_commission_structure'!$A$1:$A$4, 0),
MATCH(P$1, '2018_commission_structure'!$A$1:$I$1, 0)), 0)</f>
        <v>17090.46</v>
      </c>
      <c r="R429" s="11">
        <f>IF(G429&gt;K429, (G429-K429) *
INDEX('2018_commission_structure'!$A$1:$I$4,
MATCH($D429, '2018_commission_structure'!$A$1:$A$4,0),
MATCH(R$1, '2018_commission_structure'!$A$1:$I$1,0)), 0)</f>
        <v>0</v>
      </c>
      <c r="S429" s="11">
        <f t="shared" si="41"/>
        <v>45574.559999999998</v>
      </c>
      <c r="T429" s="11" cm="1">
        <f t="array" ref="T429">SUM(E429+O429:Q429)</f>
        <v>173593.56</v>
      </c>
    </row>
    <row r="430" spans="1:20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 xml:space="preserve"> COUNTIF(deals_closed!D:D,A430)</f>
        <v>22</v>
      </c>
      <c r="G430" s="5">
        <f>SUMIF(deals_closed!D:D, calculations!A430, deals_closed!C:C)</f>
        <v>878793</v>
      </c>
      <c r="H430" s="5">
        <f>VLOOKUP(D430,'2018_commission_structure'!$A$2:$I$4,9,FALSE)</f>
        <v>600000</v>
      </c>
      <c r="I430" s="9">
        <f t="shared" si="36"/>
        <v>750000</v>
      </c>
      <c r="J430" s="8">
        <f t="shared" si="37"/>
        <v>900000</v>
      </c>
      <c r="K430" s="9">
        <f t="shared" si="38"/>
        <v>1200000</v>
      </c>
      <c r="L430" s="10">
        <f t="shared" si="39"/>
        <v>1.464655</v>
      </c>
      <c r="M430" t="str">
        <f t="shared" si="40"/>
        <v>125-150%</v>
      </c>
      <c r="N430" s="9">
        <f>MIN(H430, G430)*INDEX('2018_commission_structure'!$A$1:$I$4,
MATCH($D430, '2018_commission_structure'!$A$1:$A$4,0),
MATCH(N$1, '2018_commission_structure'!$A$1:$I$1,0))</f>
        <v>78000</v>
      </c>
      <c r="O430" s="11">
        <f>IF(G430&gt;H430, MIN(G430-H430, I430-H430)*
INDEX('2018_commission_structure'!$A$1:$I$4,
MATCH($D430, '2018_commission_structure'!$A$1:$A$4, 0),
MATCH(O$1, '2018_commission_structure'!$A$1:$I$1, 0)), 0)</f>
        <v>25500.000000000004</v>
      </c>
      <c r="P430" s="11">
        <f>IF(G430&gt;H430, MIN(G430-H430, J430-H430)*
INDEX('2018_commission_structure'!$A$1:$I$4,
MATCH($D430, '2018_commission_structure'!$A$1:$A$4, 0),
MATCH(O$1, '2018_commission_structure'!$A$1:$I$1, 0)), 0)</f>
        <v>47394.810000000005</v>
      </c>
      <c r="Q430" s="11">
        <f>IF(G430&gt;H430, MIN(G430-H430, I430-H430)*
INDEX('2018_commission_structure'!$A$1:$I$4,
MATCH($D430, '2018_commission_structure'!$A$1:$A$4, 0),
MATCH(P$1, '2018_commission_structure'!$A$1:$I$1, 0)), 0)</f>
        <v>31500</v>
      </c>
      <c r="R430" s="11">
        <f>IF(G430&gt;K430, (G430-K430) *
INDEX('2018_commission_structure'!$A$1:$I$4,
MATCH($D430, '2018_commission_structure'!$A$1:$A$4,0),
MATCH(R$1, '2018_commission_structure'!$A$1:$I$1,0)), 0)</f>
        <v>0</v>
      </c>
      <c r="S430" s="11">
        <f t="shared" si="41"/>
        <v>104394.81000000001</v>
      </c>
      <c r="T430" s="11" cm="1">
        <f t="array" ref="T430">SUM(E430+O430:Q430)</f>
        <v>270855.81</v>
      </c>
    </row>
    <row r="431" spans="1:20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 xml:space="preserve"> COUNTIF(deals_closed!D:D,A431)</f>
        <v>19</v>
      </c>
      <c r="G431" s="5">
        <f>SUMIF(deals_closed!D:D, calculations!A431, deals_closed!C:C)</f>
        <v>642536</v>
      </c>
      <c r="H431" s="5">
        <f>VLOOKUP(D431,'2018_commission_structure'!$A$2:$I$4,9,FALSE)</f>
        <v>600000</v>
      </c>
      <c r="I431" s="9">
        <f t="shared" si="36"/>
        <v>750000</v>
      </c>
      <c r="J431" s="8">
        <f t="shared" si="37"/>
        <v>900000</v>
      </c>
      <c r="K431" s="9">
        <f t="shared" si="38"/>
        <v>1200000</v>
      </c>
      <c r="L431" s="10">
        <f t="shared" si="39"/>
        <v>1.0708933333333333</v>
      </c>
      <c r="M431" t="str">
        <f t="shared" si="40"/>
        <v>100-125%</v>
      </c>
      <c r="N431" s="9">
        <f>MIN(H431, G431)*INDEX('2018_commission_structure'!$A$1:$I$4,
MATCH($D431, '2018_commission_structure'!$A$1:$A$4,0),
MATCH(N$1, '2018_commission_structure'!$A$1:$I$1,0))</f>
        <v>78000</v>
      </c>
      <c r="O431" s="11">
        <f>IF(G431&gt;H431, MIN(G431-H431, I431-H431)*
INDEX('2018_commission_structure'!$A$1:$I$4,
MATCH($D431, '2018_commission_structure'!$A$1:$A$4, 0),
MATCH(O$1, '2018_commission_structure'!$A$1:$I$1, 0)), 0)</f>
        <v>7231.1200000000008</v>
      </c>
      <c r="P431" s="11">
        <f>IF(G431&gt;H431, MIN(G431-H431, J431-H431)*
INDEX('2018_commission_structure'!$A$1:$I$4,
MATCH($D431, '2018_commission_structure'!$A$1:$A$4, 0),
MATCH(O$1, '2018_commission_structure'!$A$1:$I$1, 0)), 0)</f>
        <v>7231.1200000000008</v>
      </c>
      <c r="Q431" s="11">
        <f>IF(G431&gt;H431, MIN(G431-H431, I431-H431)*
INDEX('2018_commission_structure'!$A$1:$I$4,
MATCH($D431, '2018_commission_structure'!$A$1:$A$4, 0),
MATCH(P$1, '2018_commission_structure'!$A$1:$I$1, 0)), 0)</f>
        <v>8932.56</v>
      </c>
      <c r="R431" s="11">
        <f>IF(G431&gt;K431, (G431-K431) *
INDEX('2018_commission_structure'!$A$1:$I$4,
MATCH($D431, '2018_commission_structure'!$A$1:$A$4,0),
MATCH(R$1, '2018_commission_structure'!$A$1:$I$1,0)), 0)</f>
        <v>0</v>
      </c>
      <c r="S431" s="11">
        <f t="shared" si="41"/>
        <v>23394.800000000003</v>
      </c>
      <c r="T431" s="11" cm="1">
        <f t="array" ref="T431">SUM(E431+O431:Q431)</f>
        <v>248193.8</v>
      </c>
    </row>
    <row r="432" spans="1:20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 xml:space="preserve"> COUNTIF(deals_closed!D:D,A432)</f>
        <v>23</v>
      </c>
      <c r="G432" s="5">
        <f>SUMIF(deals_closed!D:D, calculations!A432, deals_closed!C:C)</f>
        <v>948638</v>
      </c>
      <c r="H432" s="5">
        <f>VLOOKUP(D432,'2018_commission_structure'!$A$2:$I$4,9,FALSE)</f>
        <v>750000</v>
      </c>
      <c r="I432" s="9">
        <f t="shared" si="36"/>
        <v>937500</v>
      </c>
      <c r="J432" s="8">
        <f t="shared" si="37"/>
        <v>1125000</v>
      </c>
      <c r="K432" s="9">
        <f t="shared" si="38"/>
        <v>1500000</v>
      </c>
      <c r="L432" s="10">
        <f t="shared" si="39"/>
        <v>1.2648506666666666</v>
      </c>
      <c r="M432" t="str">
        <f t="shared" si="40"/>
        <v>125-150%</v>
      </c>
      <c r="N432" s="9">
        <f>MIN(H432, G432)*INDEX('2018_commission_structure'!$A$1:$I$4,
MATCH($D432, '2018_commission_structure'!$A$1:$A$4,0),
MATCH(N$1, '2018_commission_structure'!$A$1:$I$1,0))</f>
        <v>112500</v>
      </c>
      <c r="O432" s="11">
        <f>IF(G432&gt;H432, MIN(G432-H432, I432-H432)*
INDEX('2018_commission_structure'!$A$1:$I$4,
MATCH($D432, '2018_commission_structure'!$A$1:$A$4, 0),
MATCH(O$1, '2018_commission_structure'!$A$1:$I$1, 0)), 0)</f>
        <v>35625</v>
      </c>
      <c r="P432" s="11">
        <f>IF(G432&gt;H432, MIN(G432-H432, J432-H432)*
INDEX('2018_commission_structure'!$A$1:$I$4,
MATCH($D432, '2018_commission_structure'!$A$1:$A$4, 0),
MATCH(O$1, '2018_commission_structure'!$A$1:$I$1, 0)), 0)</f>
        <v>37741.22</v>
      </c>
      <c r="Q432" s="11">
        <f>IF(G432&gt;H432, MIN(G432-H432, I432-H432)*
INDEX('2018_commission_structure'!$A$1:$I$4,
MATCH($D432, '2018_commission_structure'!$A$1:$A$4, 0),
MATCH(P$1, '2018_commission_structure'!$A$1:$I$1, 0)), 0)</f>
        <v>43125</v>
      </c>
      <c r="R432" s="11">
        <f>IF(G432&gt;K432, (G432-K432) *
INDEX('2018_commission_structure'!$A$1:$I$4,
MATCH($D432, '2018_commission_structure'!$A$1:$A$4,0),
MATCH(R$1, '2018_commission_structure'!$A$1:$I$1,0)), 0)</f>
        <v>0</v>
      </c>
      <c r="S432" s="11">
        <f t="shared" si="41"/>
        <v>116491.22</v>
      </c>
      <c r="T432" s="11" cm="1">
        <f t="array" ref="T432">SUM(E432+O432:Q432)</f>
        <v>390013.22</v>
      </c>
    </row>
    <row r="433" spans="1:20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 xml:space="preserve"> COUNTIF(deals_closed!D:D,A433)</f>
        <v>24</v>
      </c>
      <c r="G433" s="5">
        <f>SUMIF(deals_closed!D:D, calculations!A433, deals_closed!C:C)</f>
        <v>774827</v>
      </c>
      <c r="H433" s="5">
        <f>VLOOKUP(D433,'2018_commission_structure'!$A$2:$I$4,9,FALSE)</f>
        <v>750000</v>
      </c>
      <c r="I433" s="9">
        <f t="shared" si="36"/>
        <v>937500</v>
      </c>
      <c r="J433" s="8">
        <f t="shared" si="37"/>
        <v>1125000</v>
      </c>
      <c r="K433" s="9">
        <f t="shared" si="38"/>
        <v>1500000</v>
      </c>
      <c r="L433" s="10">
        <f t="shared" si="39"/>
        <v>1.0331026666666667</v>
      </c>
      <c r="M433" t="str">
        <f t="shared" si="40"/>
        <v>100-125%</v>
      </c>
      <c r="N433" s="9">
        <f>MIN(H433, G433)*INDEX('2018_commission_structure'!$A$1:$I$4,
MATCH($D433, '2018_commission_structure'!$A$1:$A$4,0),
MATCH(N$1, '2018_commission_structure'!$A$1:$I$1,0))</f>
        <v>112500</v>
      </c>
      <c r="O433" s="11">
        <f>IF(G433&gt;H433, MIN(G433-H433, I433-H433)*
INDEX('2018_commission_structure'!$A$1:$I$4,
MATCH($D433, '2018_commission_structure'!$A$1:$A$4, 0),
MATCH(O$1, '2018_commission_structure'!$A$1:$I$1, 0)), 0)</f>
        <v>4717.13</v>
      </c>
      <c r="P433" s="11">
        <f>IF(G433&gt;H433, MIN(G433-H433, J433-H433)*
INDEX('2018_commission_structure'!$A$1:$I$4,
MATCH($D433, '2018_commission_structure'!$A$1:$A$4, 0),
MATCH(O$1, '2018_commission_structure'!$A$1:$I$1, 0)), 0)</f>
        <v>4717.13</v>
      </c>
      <c r="Q433" s="11">
        <f>IF(G433&gt;H433, MIN(G433-H433, I433-H433)*
INDEX('2018_commission_structure'!$A$1:$I$4,
MATCH($D433, '2018_commission_structure'!$A$1:$A$4, 0),
MATCH(P$1, '2018_commission_structure'!$A$1:$I$1, 0)), 0)</f>
        <v>5710.21</v>
      </c>
      <c r="R433" s="11">
        <f>IF(G433&gt;K433, (G433-K433) *
INDEX('2018_commission_structure'!$A$1:$I$4,
MATCH($D433, '2018_commission_structure'!$A$1:$A$4,0),
MATCH(R$1, '2018_commission_structure'!$A$1:$I$1,0)), 0)</f>
        <v>0</v>
      </c>
      <c r="S433" s="11">
        <f t="shared" si="41"/>
        <v>15144.470000000001</v>
      </c>
      <c r="T433" s="11" cm="1">
        <f t="array" ref="T433">SUM(E433+O433:Q433)</f>
        <v>252252.47000000003</v>
      </c>
    </row>
    <row r="434" spans="1:20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 xml:space="preserve"> COUNTIF(deals_closed!D:D,A434)</f>
        <v>17</v>
      </c>
      <c r="G434" s="5">
        <f>SUMIF(deals_closed!D:D, calculations!A434, deals_closed!C:C)</f>
        <v>590606</v>
      </c>
      <c r="H434" s="5">
        <f>VLOOKUP(D434,'2018_commission_structure'!$A$2:$I$4,9,FALSE)</f>
        <v>500000</v>
      </c>
      <c r="I434" s="9">
        <f t="shared" si="36"/>
        <v>625000</v>
      </c>
      <c r="J434" s="8">
        <f t="shared" si="37"/>
        <v>750000</v>
      </c>
      <c r="K434" s="9">
        <f t="shared" si="38"/>
        <v>1000000</v>
      </c>
      <c r="L434" s="10">
        <f t="shared" si="39"/>
        <v>1.1812119999999999</v>
      </c>
      <c r="M434" t="str">
        <f t="shared" si="40"/>
        <v>100-125%</v>
      </c>
      <c r="N434" s="9">
        <f>MIN(H434, G434)*INDEX('2018_commission_structure'!$A$1:$I$4,
MATCH($D434, '2018_commission_structure'!$A$1:$A$4,0),
MATCH(N$1, '2018_commission_structure'!$A$1:$I$1,0))</f>
        <v>50000</v>
      </c>
      <c r="O434" s="11">
        <f>IF(G434&gt;H434, MIN(G434-H434, I434-H434)*
INDEX('2018_commission_structure'!$A$1:$I$4,
MATCH($D434, '2018_commission_structure'!$A$1:$A$4, 0),
MATCH(O$1, '2018_commission_structure'!$A$1:$I$1, 0)), 0)</f>
        <v>13590.9</v>
      </c>
      <c r="P434" s="11">
        <f>IF(G434&gt;H434, MIN(G434-H434, J434-H434)*
INDEX('2018_commission_structure'!$A$1:$I$4,
MATCH($D434, '2018_commission_structure'!$A$1:$A$4, 0),
MATCH(O$1, '2018_commission_structure'!$A$1:$I$1, 0)), 0)</f>
        <v>13590.9</v>
      </c>
      <c r="Q434" s="11">
        <f>IF(G434&gt;H434, MIN(G434-H434, I434-H434)*
INDEX('2018_commission_structure'!$A$1:$I$4,
MATCH($D434, '2018_commission_structure'!$A$1:$A$4, 0),
MATCH(P$1, '2018_commission_structure'!$A$1:$I$1, 0)), 0)</f>
        <v>16309.08</v>
      </c>
      <c r="R434" s="11">
        <f>IF(G434&gt;K434, (G434-K434) *
INDEX('2018_commission_structure'!$A$1:$I$4,
MATCH($D434, '2018_commission_structure'!$A$1:$A$4,0),
MATCH(R$1, '2018_commission_structure'!$A$1:$I$1,0)), 0)</f>
        <v>0</v>
      </c>
      <c r="S434" s="11">
        <f t="shared" si="41"/>
        <v>43490.879999999997</v>
      </c>
      <c r="T434" s="11" cm="1">
        <f t="array" ref="T434">SUM(E434+O434:Q434)</f>
        <v>150008.88</v>
      </c>
    </row>
    <row r="435" spans="1:20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 xml:space="preserve"> COUNTIF(deals_closed!D:D,A435)</f>
        <v>26</v>
      </c>
      <c r="G435" s="5">
        <f>SUMIF(deals_closed!D:D, calculations!A435, deals_closed!C:C)</f>
        <v>865380</v>
      </c>
      <c r="H435" s="5">
        <f>VLOOKUP(D435,'2018_commission_structure'!$A$2:$I$4,9,FALSE)</f>
        <v>750000</v>
      </c>
      <c r="I435" s="9">
        <f t="shared" si="36"/>
        <v>937500</v>
      </c>
      <c r="J435" s="8">
        <f t="shared" si="37"/>
        <v>1125000</v>
      </c>
      <c r="K435" s="9">
        <f t="shared" si="38"/>
        <v>1500000</v>
      </c>
      <c r="L435" s="10">
        <f t="shared" si="39"/>
        <v>1.15384</v>
      </c>
      <c r="M435" t="str">
        <f t="shared" si="40"/>
        <v>100-125%</v>
      </c>
      <c r="N435" s="9">
        <f>MIN(H435, G435)*INDEX('2018_commission_structure'!$A$1:$I$4,
MATCH($D435, '2018_commission_structure'!$A$1:$A$4,0),
MATCH(N$1, '2018_commission_structure'!$A$1:$I$1,0))</f>
        <v>112500</v>
      </c>
      <c r="O435" s="11">
        <f>IF(G435&gt;H435, MIN(G435-H435, I435-H435)*
INDEX('2018_commission_structure'!$A$1:$I$4,
MATCH($D435, '2018_commission_structure'!$A$1:$A$4, 0),
MATCH(O$1, '2018_commission_structure'!$A$1:$I$1, 0)), 0)</f>
        <v>21922.2</v>
      </c>
      <c r="P435" s="11">
        <f>IF(G435&gt;H435, MIN(G435-H435, J435-H435)*
INDEX('2018_commission_structure'!$A$1:$I$4,
MATCH($D435, '2018_commission_structure'!$A$1:$A$4, 0),
MATCH(O$1, '2018_commission_structure'!$A$1:$I$1, 0)), 0)</f>
        <v>21922.2</v>
      </c>
      <c r="Q435" s="11">
        <f>IF(G435&gt;H435, MIN(G435-H435, I435-H435)*
INDEX('2018_commission_structure'!$A$1:$I$4,
MATCH($D435, '2018_commission_structure'!$A$1:$A$4, 0),
MATCH(P$1, '2018_commission_structure'!$A$1:$I$1, 0)), 0)</f>
        <v>26537.4</v>
      </c>
      <c r="R435" s="11">
        <f>IF(G435&gt;K435, (G435-K435) *
INDEX('2018_commission_structure'!$A$1:$I$4,
MATCH($D435, '2018_commission_structure'!$A$1:$A$4,0),
MATCH(R$1, '2018_commission_structure'!$A$1:$I$1,0)), 0)</f>
        <v>0</v>
      </c>
      <c r="S435" s="11">
        <f t="shared" si="41"/>
        <v>70381.8</v>
      </c>
      <c r="T435" s="11" cm="1">
        <f t="array" ref="T435">SUM(E435+O435:Q435)</f>
        <v>411838.80000000005</v>
      </c>
    </row>
    <row r="436" spans="1:20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 xml:space="preserve"> COUNTIF(deals_closed!D:D,A436)</f>
        <v>15</v>
      </c>
      <c r="G436" s="5">
        <f>SUMIF(deals_closed!D:D, calculations!A436, deals_closed!C:C)</f>
        <v>520983</v>
      </c>
      <c r="H436" s="5">
        <f>VLOOKUP(D436,'2018_commission_structure'!$A$2:$I$4,9,FALSE)</f>
        <v>750000</v>
      </c>
      <c r="I436" s="9">
        <f t="shared" si="36"/>
        <v>937500</v>
      </c>
      <c r="J436" s="8">
        <f t="shared" si="37"/>
        <v>1125000</v>
      </c>
      <c r="K436" s="9">
        <f t="shared" si="38"/>
        <v>1500000</v>
      </c>
      <c r="L436" s="10">
        <f t="shared" si="39"/>
        <v>0.69464400000000004</v>
      </c>
      <c r="M436" t="str">
        <f t="shared" si="40"/>
        <v>0-100%</v>
      </c>
      <c r="N436" s="9">
        <f>MIN(H436, G436)*INDEX('2018_commission_structure'!$A$1:$I$4,
MATCH($D436, '2018_commission_structure'!$A$1:$A$4,0),
MATCH(N$1, '2018_commission_structure'!$A$1:$I$1,0))</f>
        <v>78147.45</v>
      </c>
      <c r="O436" s="11">
        <f>IF(G436&gt;H436, MIN(G436-H436, I436-H436)*
INDEX('2018_commission_structure'!$A$1:$I$4,
MATCH($D436, '2018_commission_structure'!$A$1:$A$4, 0),
MATCH(O$1, '2018_commission_structure'!$A$1:$I$1, 0)), 0)</f>
        <v>0</v>
      </c>
      <c r="P436" s="11">
        <f>IF(G436&gt;H436, MIN(G436-H436, J436-H436)*
INDEX('2018_commission_structure'!$A$1:$I$4,
MATCH($D436, '2018_commission_structure'!$A$1:$A$4, 0),
MATCH(O$1, '2018_commission_structure'!$A$1:$I$1, 0)), 0)</f>
        <v>0</v>
      </c>
      <c r="Q436" s="11">
        <f>IF(G436&gt;H436, MIN(G436-H436, I436-H436)*
INDEX('2018_commission_structure'!$A$1:$I$4,
MATCH($D436, '2018_commission_structure'!$A$1:$A$4, 0),
MATCH(P$1, '2018_commission_structure'!$A$1:$I$1, 0)), 0)</f>
        <v>0</v>
      </c>
      <c r="R436" s="11">
        <f>IF(G436&gt;K436, (G436-K436) *
INDEX('2018_commission_structure'!$A$1:$I$4,
MATCH($D436, '2018_commission_structure'!$A$1:$A$4,0),
MATCH(R$1, '2018_commission_structure'!$A$1:$I$1,0)), 0)</f>
        <v>0</v>
      </c>
      <c r="S436" s="11">
        <f t="shared" si="41"/>
        <v>0</v>
      </c>
      <c r="T436" s="11" cm="1">
        <f t="array" ref="T436">SUM(E436+O436:Q436)</f>
        <v>367437</v>
      </c>
    </row>
    <row r="437" spans="1:20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 xml:space="preserve"> COUNTIF(deals_closed!D:D,A437)</f>
        <v>19</v>
      </c>
      <c r="G437" s="5">
        <f>SUMIF(deals_closed!D:D, calculations!A437, deals_closed!C:C)</f>
        <v>690784</v>
      </c>
      <c r="H437" s="5">
        <f>VLOOKUP(D437,'2018_commission_structure'!$A$2:$I$4,9,FALSE)</f>
        <v>750000</v>
      </c>
      <c r="I437" s="9">
        <f t="shared" si="36"/>
        <v>937500</v>
      </c>
      <c r="J437" s="8">
        <f t="shared" si="37"/>
        <v>1125000</v>
      </c>
      <c r="K437" s="9">
        <f t="shared" si="38"/>
        <v>1500000</v>
      </c>
      <c r="L437" s="10">
        <f t="shared" si="39"/>
        <v>0.92104533333333338</v>
      </c>
      <c r="M437" t="str">
        <f t="shared" si="40"/>
        <v>0-100%</v>
      </c>
      <c r="N437" s="9">
        <f>MIN(H437, G437)*INDEX('2018_commission_structure'!$A$1:$I$4,
MATCH($D437, '2018_commission_structure'!$A$1:$A$4,0),
MATCH(N$1, '2018_commission_structure'!$A$1:$I$1,0))</f>
        <v>103617.59999999999</v>
      </c>
      <c r="O437" s="11">
        <f>IF(G437&gt;H437, MIN(G437-H437, I437-H437)*
INDEX('2018_commission_structure'!$A$1:$I$4,
MATCH($D437, '2018_commission_structure'!$A$1:$A$4, 0),
MATCH(O$1, '2018_commission_structure'!$A$1:$I$1, 0)), 0)</f>
        <v>0</v>
      </c>
      <c r="P437" s="11">
        <f>IF(G437&gt;H437, MIN(G437-H437, J437-H437)*
INDEX('2018_commission_structure'!$A$1:$I$4,
MATCH($D437, '2018_commission_structure'!$A$1:$A$4, 0),
MATCH(O$1, '2018_commission_structure'!$A$1:$I$1, 0)), 0)</f>
        <v>0</v>
      </c>
      <c r="Q437" s="11">
        <f>IF(G437&gt;H437, MIN(G437-H437, I437-H437)*
INDEX('2018_commission_structure'!$A$1:$I$4,
MATCH($D437, '2018_commission_structure'!$A$1:$A$4, 0),
MATCH(P$1, '2018_commission_structure'!$A$1:$I$1, 0)), 0)</f>
        <v>0</v>
      </c>
      <c r="R437" s="11">
        <f>IF(G437&gt;K437, (G437-K437) *
INDEX('2018_commission_structure'!$A$1:$I$4,
MATCH($D437, '2018_commission_structure'!$A$1:$A$4,0),
MATCH(R$1, '2018_commission_structure'!$A$1:$I$1,0)), 0)</f>
        <v>0</v>
      </c>
      <c r="S437" s="11">
        <f t="shared" si="41"/>
        <v>0</v>
      </c>
      <c r="T437" s="11" cm="1">
        <f t="array" ref="T437">SUM(E437+O437:Q437)</f>
        <v>271845</v>
      </c>
    </row>
    <row r="438" spans="1:20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 xml:space="preserve"> COUNTIF(deals_closed!D:D,A438)</f>
        <v>16</v>
      </c>
      <c r="G438" s="5">
        <f>SUMIF(deals_closed!D:D, calculations!A438, deals_closed!C:C)</f>
        <v>505908</v>
      </c>
      <c r="H438" s="5">
        <f>VLOOKUP(D438,'2018_commission_structure'!$A$2:$I$4,9,FALSE)</f>
        <v>500000</v>
      </c>
      <c r="I438" s="9">
        <f t="shared" si="36"/>
        <v>625000</v>
      </c>
      <c r="J438" s="8">
        <f t="shared" si="37"/>
        <v>750000</v>
      </c>
      <c r="K438" s="9">
        <f t="shared" si="38"/>
        <v>1000000</v>
      </c>
      <c r="L438" s="10">
        <f t="shared" si="39"/>
        <v>1.011816</v>
      </c>
      <c r="M438" t="str">
        <f t="shared" si="40"/>
        <v>100-125%</v>
      </c>
      <c r="N438" s="9">
        <f>MIN(H438, G438)*INDEX('2018_commission_structure'!$A$1:$I$4,
MATCH($D438, '2018_commission_structure'!$A$1:$A$4,0),
MATCH(N$1, '2018_commission_structure'!$A$1:$I$1,0))</f>
        <v>50000</v>
      </c>
      <c r="O438" s="11">
        <f>IF(G438&gt;H438, MIN(G438-H438, I438-H438)*
INDEX('2018_commission_structure'!$A$1:$I$4,
MATCH($D438, '2018_commission_structure'!$A$1:$A$4, 0),
MATCH(O$1, '2018_commission_structure'!$A$1:$I$1, 0)), 0)</f>
        <v>886.19999999999993</v>
      </c>
      <c r="P438" s="11">
        <f>IF(G438&gt;H438, MIN(G438-H438, J438-H438)*
INDEX('2018_commission_structure'!$A$1:$I$4,
MATCH($D438, '2018_commission_structure'!$A$1:$A$4, 0),
MATCH(O$1, '2018_commission_structure'!$A$1:$I$1, 0)), 0)</f>
        <v>886.19999999999993</v>
      </c>
      <c r="Q438" s="11">
        <f>IF(G438&gt;H438, MIN(G438-H438, I438-H438)*
INDEX('2018_commission_structure'!$A$1:$I$4,
MATCH($D438, '2018_commission_structure'!$A$1:$A$4, 0),
MATCH(P$1, '2018_commission_structure'!$A$1:$I$1, 0)), 0)</f>
        <v>1063.44</v>
      </c>
      <c r="R438" s="11">
        <f>IF(G438&gt;K438, (G438-K438) *
INDEX('2018_commission_structure'!$A$1:$I$4,
MATCH($D438, '2018_commission_structure'!$A$1:$A$4,0),
MATCH(R$1, '2018_commission_structure'!$A$1:$I$1,0)), 0)</f>
        <v>0</v>
      </c>
      <c r="S438" s="11">
        <f t="shared" si="41"/>
        <v>2835.84</v>
      </c>
      <c r="T438" s="11" cm="1">
        <f t="array" ref="T438">SUM(E438+O438:Q438)</f>
        <v>133842.84</v>
      </c>
    </row>
    <row r="439" spans="1:20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 xml:space="preserve"> COUNTIF(deals_closed!D:D,A439)</f>
        <v>23</v>
      </c>
      <c r="G439" s="5">
        <f>SUMIF(deals_closed!D:D, calculations!A439, deals_closed!C:C)</f>
        <v>806073</v>
      </c>
      <c r="H439" s="5">
        <f>VLOOKUP(D439,'2018_commission_structure'!$A$2:$I$4,9,FALSE)</f>
        <v>750000</v>
      </c>
      <c r="I439" s="9">
        <f t="shared" si="36"/>
        <v>937500</v>
      </c>
      <c r="J439" s="8">
        <f t="shared" si="37"/>
        <v>1125000</v>
      </c>
      <c r="K439" s="9">
        <f t="shared" si="38"/>
        <v>1500000</v>
      </c>
      <c r="L439" s="10">
        <f t="shared" si="39"/>
        <v>1.0747640000000001</v>
      </c>
      <c r="M439" t="str">
        <f t="shared" si="40"/>
        <v>100-125%</v>
      </c>
      <c r="N439" s="9">
        <f>MIN(H439, G439)*INDEX('2018_commission_structure'!$A$1:$I$4,
MATCH($D439, '2018_commission_structure'!$A$1:$A$4,0),
MATCH(N$1, '2018_commission_structure'!$A$1:$I$1,0))</f>
        <v>112500</v>
      </c>
      <c r="O439" s="11">
        <f>IF(G439&gt;H439, MIN(G439-H439, I439-H439)*
INDEX('2018_commission_structure'!$A$1:$I$4,
MATCH($D439, '2018_commission_structure'!$A$1:$A$4, 0),
MATCH(O$1, '2018_commission_structure'!$A$1:$I$1, 0)), 0)</f>
        <v>10653.87</v>
      </c>
      <c r="P439" s="11">
        <f>IF(G439&gt;H439, MIN(G439-H439, J439-H439)*
INDEX('2018_commission_structure'!$A$1:$I$4,
MATCH($D439, '2018_commission_structure'!$A$1:$A$4, 0),
MATCH(O$1, '2018_commission_structure'!$A$1:$I$1, 0)), 0)</f>
        <v>10653.87</v>
      </c>
      <c r="Q439" s="11">
        <f>IF(G439&gt;H439, MIN(G439-H439, I439-H439)*
INDEX('2018_commission_structure'!$A$1:$I$4,
MATCH($D439, '2018_commission_structure'!$A$1:$A$4, 0),
MATCH(P$1, '2018_commission_structure'!$A$1:$I$1, 0)), 0)</f>
        <v>12896.79</v>
      </c>
      <c r="R439" s="11">
        <f>IF(G439&gt;K439, (G439-K439) *
INDEX('2018_commission_structure'!$A$1:$I$4,
MATCH($D439, '2018_commission_structure'!$A$1:$A$4,0),
MATCH(R$1, '2018_commission_structure'!$A$1:$I$1,0)), 0)</f>
        <v>0</v>
      </c>
      <c r="S439" s="11">
        <f t="shared" si="41"/>
        <v>34204.53</v>
      </c>
      <c r="T439" s="11" cm="1">
        <f t="array" ref="T439">SUM(E439+O439:Q439)</f>
        <v>306688.53000000003</v>
      </c>
    </row>
    <row r="440" spans="1:20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 xml:space="preserve"> COUNTIF(deals_closed!D:D,A440)</f>
        <v>16</v>
      </c>
      <c r="G440" s="5">
        <f>SUMIF(deals_closed!D:D, calculations!A440, deals_closed!C:C)</f>
        <v>501329</v>
      </c>
      <c r="H440" s="5">
        <f>VLOOKUP(D440,'2018_commission_structure'!$A$2:$I$4,9,FALSE)</f>
        <v>500000</v>
      </c>
      <c r="I440" s="9">
        <f t="shared" si="36"/>
        <v>625000</v>
      </c>
      <c r="J440" s="8">
        <f t="shared" si="37"/>
        <v>750000</v>
      </c>
      <c r="K440" s="9">
        <f t="shared" si="38"/>
        <v>1000000</v>
      </c>
      <c r="L440" s="10">
        <f t="shared" si="39"/>
        <v>1.002658</v>
      </c>
      <c r="M440" t="str">
        <f t="shared" si="40"/>
        <v>100-125%</v>
      </c>
      <c r="N440" s="9">
        <f>MIN(H440, G440)*INDEX('2018_commission_structure'!$A$1:$I$4,
MATCH($D440, '2018_commission_structure'!$A$1:$A$4,0),
MATCH(N$1, '2018_commission_structure'!$A$1:$I$1,0))</f>
        <v>50000</v>
      </c>
      <c r="O440" s="11">
        <f>IF(G440&gt;H440, MIN(G440-H440, I440-H440)*
INDEX('2018_commission_structure'!$A$1:$I$4,
MATCH($D440, '2018_commission_structure'!$A$1:$A$4, 0),
MATCH(O$1, '2018_commission_structure'!$A$1:$I$1, 0)), 0)</f>
        <v>199.35</v>
      </c>
      <c r="P440" s="11">
        <f>IF(G440&gt;H440, MIN(G440-H440, J440-H440)*
INDEX('2018_commission_structure'!$A$1:$I$4,
MATCH($D440, '2018_commission_structure'!$A$1:$A$4, 0),
MATCH(O$1, '2018_commission_structure'!$A$1:$I$1, 0)), 0)</f>
        <v>199.35</v>
      </c>
      <c r="Q440" s="11">
        <f>IF(G440&gt;H440, MIN(G440-H440, I440-H440)*
INDEX('2018_commission_structure'!$A$1:$I$4,
MATCH($D440, '2018_commission_structure'!$A$1:$A$4, 0),
MATCH(P$1, '2018_commission_structure'!$A$1:$I$1, 0)), 0)</f>
        <v>239.22</v>
      </c>
      <c r="R440" s="11">
        <f>IF(G440&gt;K440, (G440-K440) *
INDEX('2018_commission_structure'!$A$1:$I$4,
MATCH($D440, '2018_commission_structure'!$A$1:$A$4,0),
MATCH(R$1, '2018_commission_structure'!$A$1:$I$1,0)), 0)</f>
        <v>0</v>
      </c>
      <c r="S440" s="11">
        <f t="shared" si="41"/>
        <v>637.91999999999996</v>
      </c>
      <c r="T440" s="11" cm="1">
        <f t="array" ref="T440">SUM(E440+O440:Q440)</f>
        <v>102340.92</v>
      </c>
    </row>
    <row r="441" spans="1:20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 xml:space="preserve"> COUNTIF(deals_closed!D:D,A441)</f>
        <v>20</v>
      </c>
      <c r="G441" s="5">
        <f>SUMIF(deals_closed!D:D, calculations!A441, deals_closed!C:C)</f>
        <v>621576</v>
      </c>
      <c r="H441" s="5">
        <f>VLOOKUP(D441,'2018_commission_structure'!$A$2:$I$4,9,FALSE)</f>
        <v>600000</v>
      </c>
      <c r="I441" s="9">
        <f t="shared" si="36"/>
        <v>750000</v>
      </c>
      <c r="J441" s="8">
        <f t="shared" si="37"/>
        <v>900000</v>
      </c>
      <c r="K441" s="9">
        <f t="shared" si="38"/>
        <v>1200000</v>
      </c>
      <c r="L441" s="10">
        <f t="shared" si="39"/>
        <v>1.03596</v>
      </c>
      <c r="M441" t="str">
        <f t="shared" si="40"/>
        <v>100-125%</v>
      </c>
      <c r="N441" s="9">
        <f>MIN(H441, G441)*INDEX('2018_commission_structure'!$A$1:$I$4,
MATCH($D441, '2018_commission_structure'!$A$1:$A$4,0),
MATCH(N$1, '2018_commission_structure'!$A$1:$I$1,0))</f>
        <v>78000</v>
      </c>
      <c r="O441" s="11">
        <f>IF(G441&gt;H441, MIN(G441-H441, I441-H441)*
INDEX('2018_commission_structure'!$A$1:$I$4,
MATCH($D441, '2018_commission_structure'!$A$1:$A$4, 0),
MATCH(O$1, '2018_commission_structure'!$A$1:$I$1, 0)), 0)</f>
        <v>3667.92</v>
      </c>
      <c r="P441" s="11">
        <f>IF(G441&gt;H441, MIN(G441-H441, J441-H441)*
INDEX('2018_commission_structure'!$A$1:$I$4,
MATCH($D441, '2018_commission_structure'!$A$1:$A$4, 0),
MATCH(O$1, '2018_commission_structure'!$A$1:$I$1, 0)), 0)</f>
        <v>3667.92</v>
      </c>
      <c r="Q441" s="11">
        <f>IF(G441&gt;H441, MIN(G441-H441, I441-H441)*
INDEX('2018_commission_structure'!$A$1:$I$4,
MATCH($D441, '2018_commission_structure'!$A$1:$A$4, 0),
MATCH(P$1, '2018_commission_structure'!$A$1:$I$1, 0)), 0)</f>
        <v>4530.96</v>
      </c>
      <c r="R441" s="11">
        <f>IF(G441&gt;K441, (G441-K441) *
INDEX('2018_commission_structure'!$A$1:$I$4,
MATCH($D441, '2018_commission_structure'!$A$1:$A$4,0),
MATCH(R$1, '2018_commission_structure'!$A$1:$I$1,0)), 0)</f>
        <v>0</v>
      </c>
      <c r="S441" s="11">
        <f t="shared" si="41"/>
        <v>11866.8</v>
      </c>
      <c r="T441" s="11" cm="1">
        <f t="array" ref="T441">SUM(E441+O441:Q441)</f>
        <v>178087.8</v>
      </c>
    </row>
    <row r="442" spans="1:20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 xml:space="preserve"> COUNTIF(deals_closed!D:D,A442)</f>
        <v>11</v>
      </c>
      <c r="G442" s="5">
        <f>SUMIF(deals_closed!D:D, calculations!A442, deals_closed!C:C)</f>
        <v>409689</v>
      </c>
      <c r="H442" s="5">
        <f>VLOOKUP(D442,'2018_commission_structure'!$A$2:$I$4,9,FALSE)</f>
        <v>500000</v>
      </c>
      <c r="I442" s="9">
        <f t="shared" si="36"/>
        <v>625000</v>
      </c>
      <c r="J442" s="8">
        <f t="shared" si="37"/>
        <v>750000</v>
      </c>
      <c r="K442" s="9">
        <f t="shared" si="38"/>
        <v>1000000</v>
      </c>
      <c r="L442" s="10">
        <f t="shared" si="39"/>
        <v>0.81937800000000005</v>
      </c>
      <c r="M442" t="str">
        <f t="shared" si="40"/>
        <v>0-100%</v>
      </c>
      <c r="N442" s="9">
        <f>MIN(H442, G442)*INDEX('2018_commission_structure'!$A$1:$I$4,
MATCH($D442, '2018_commission_structure'!$A$1:$A$4,0),
MATCH(N$1, '2018_commission_structure'!$A$1:$I$1,0))</f>
        <v>40968.9</v>
      </c>
      <c r="O442" s="11">
        <f>IF(G442&gt;H442, MIN(G442-H442, I442-H442)*
INDEX('2018_commission_structure'!$A$1:$I$4,
MATCH($D442, '2018_commission_structure'!$A$1:$A$4, 0),
MATCH(O$1, '2018_commission_structure'!$A$1:$I$1, 0)), 0)</f>
        <v>0</v>
      </c>
      <c r="P442" s="11">
        <f>IF(G442&gt;H442, MIN(G442-H442, J442-H442)*
INDEX('2018_commission_structure'!$A$1:$I$4,
MATCH($D442, '2018_commission_structure'!$A$1:$A$4, 0),
MATCH(O$1, '2018_commission_structure'!$A$1:$I$1, 0)), 0)</f>
        <v>0</v>
      </c>
      <c r="Q442" s="11">
        <f>IF(G442&gt;H442, MIN(G442-H442, I442-H442)*
INDEX('2018_commission_structure'!$A$1:$I$4,
MATCH($D442, '2018_commission_structure'!$A$1:$A$4, 0),
MATCH(P$1, '2018_commission_structure'!$A$1:$I$1, 0)), 0)</f>
        <v>0</v>
      </c>
      <c r="R442" s="11">
        <f>IF(G442&gt;K442, (G442-K442) *
INDEX('2018_commission_structure'!$A$1:$I$4,
MATCH($D442, '2018_commission_structure'!$A$1:$A$4,0),
MATCH(R$1, '2018_commission_structure'!$A$1:$I$1,0)), 0)</f>
        <v>0</v>
      </c>
      <c r="S442" s="11">
        <f t="shared" si="41"/>
        <v>0</v>
      </c>
      <c r="T442" s="11" cm="1">
        <f t="array" ref="T442">SUM(E442+O442:Q442)</f>
        <v>176622</v>
      </c>
    </row>
    <row r="443" spans="1:20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 xml:space="preserve"> COUNTIF(deals_closed!D:D,A443)</f>
        <v>27</v>
      </c>
      <c r="G443" s="5">
        <f>SUMIF(deals_closed!D:D, calculations!A443, deals_closed!C:C)</f>
        <v>831331</v>
      </c>
      <c r="H443" s="5">
        <f>VLOOKUP(D443,'2018_commission_structure'!$A$2:$I$4,9,FALSE)</f>
        <v>600000</v>
      </c>
      <c r="I443" s="9">
        <f t="shared" si="36"/>
        <v>750000</v>
      </c>
      <c r="J443" s="8">
        <f t="shared" si="37"/>
        <v>900000</v>
      </c>
      <c r="K443" s="9">
        <f t="shared" si="38"/>
        <v>1200000</v>
      </c>
      <c r="L443" s="10">
        <f t="shared" si="39"/>
        <v>1.3855516666666667</v>
      </c>
      <c r="M443" t="str">
        <f t="shared" si="40"/>
        <v>125-150%</v>
      </c>
      <c r="N443" s="9">
        <f>MIN(H443, G443)*INDEX('2018_commission_structure'!$A$1:$I$4,
MATCH($D443, '2018_commission_structure'!$A$1:$A$4,0),
MATCH(N$1, '2018_commission_structure'!$A$1:$I$1,0))</f>
        <v>78000</v>
      </c>
      <c r="O443" s="11">
        <f>IF(G443&gt;H443, MIN(G443-H443, I443-H443)*
INDEX('2018_commission_structure'!$A$1:$I$4,
MATCH($D443, '2018_commission_structure'!$A$1:$A$4, 0),
MATCH(O$1, '2018_commission_structure'!$A$1:$I$1, 0)), 0)</f>
        <v>25500.000000000004</v>
      </c>
      <c r="P443" s="11">
        <f>IF(G443&gt;H443, MIN(G443-H443, J443-H443)*
INDEX('2018_commission_structure'!$A$1:$I$4,
MATCH($D443, '2018_commission_structure'!$A$1:$A$4, 0),
MATCH(O$1, '2018_commission_structure'!$A$1:$I$1, 0)), 0)</f>
        <v>39326.270000000004</v>
      </c>
      <c r="Q443" s="11">
        <f>IF(G443&gt;H443, MIN(G443-H443, I443-H443)*
INDEX('2018_commission_structure'!$A$1:$I$4,
MATCH($D443, '2018_commission_structure'!$A$1:$A$4, 0),
MATCH(P$1, '2018_commission_structure'!$A$1:$I$1, 0)), 0)</f>
        <v>31500</v>
      </c>
      <c r="R443" s="11">
        <f>IF(G443&gt;K443, (G443-K443) *
INDEX('2018_commission_structure'!$A$1:$I$4,
MATCH($D443, '2018_commission_structure'!$A$1:$A$4,0),
MATCH(R$1, '2018_commission_structure'!$A$1:$I$1,0)), 0)</f>
        <v>0</v>
      </c>
      <c r="S443" s="11">
        <f t="shared" si="41"/>
        <v>96326.27</v>
      </c>
      <c r="T443" s="11" cm="1">
        <f t="array" ref="T443">SUM(E443+O443:Q443)</f>
        <v>333293.27</v>
      </c>
    </row>
    <row r="444" spans="1:20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 xml:space="preserve"> COUNTIF(deals_closed!D:D,A444)</f>
        <v>19</v>
      </c>
      <c r="G444" s="5">
        <f>SUMIF(deals_closed!D:D, calculations!A444, deals_closed!C:C)</f>
        <v>667421</v>
      </c>
      <c r="H444" s="5">
        <f>VLOOKUP(D444,'2018_commission_structure'!$A$2:$I$4,9,FALSE)</f>
        <v>750000</v>
      </c>
      <c r="I444" s="9">
        <f t="shared" si="36"/>
        <v>937500</v>
      </c>
      <c r="J444" s="8">
        <f t="shared" si="37"/>
        <v>1125000</v>
      </c>
      <c r="K444" s="9">
        <f t="shared" si="38"/>
        <v>1500000</v>
      </c>
      <c r="L444" s="10">
        <f t="shared" si="39"/>
        <v>0.88989466666666661</v>
      </c>
      <c r="M444" t="str">
        <f t="shared" si="40"/>
        <v>0-100%</v>
      </c>
      <c r="N444" s="9">
        <f>MIN(H444, G444)*INDEX('2018_commission_structure'!$A$1:$I$4,
MATCH($D444, '2018_commission_structure'!$A$1:$A$4,0),
MATCH(N$1, '2018_commission_structure'!$A$1:$I$1,0))</f>
        <v>100113.15</v>
      </c>
      <c r="O444" s="11">
        <f>IF(G444&gt;H444, MIN(G444-H444, I444-H444)*
INDEX('2018_commission_structure'!$A$1:$I$4,
MATCH($D444, '2018_commission_structure'!$A$1:$A$4, 0),
MATCH(O$1, '2018_commission_structure'!$A$1:$I$1, 0)), 0)</f>
        <v>0</v>
      </c>
      <c r="P444" s="11">
        <f>IF(G444&gt;H444, MIN(G444-H444, J444-H444)*
INDEX('2018_commission_structure'!$A$1:$I$4,
MATCH($D444, '2018_commission_structure'!$A$1:$A$4, 0),
MATCH(O$1, '2018_commission_structure'!$A$1:$I$1, 0)), 0)</f>
        <v>0</v>
      </c>
      <c r="Q444" s="11">
        <f>IF(G444&gt;H444, MIN(G444-H444, I444-H444)*
INDEX('2018_commission_structure'!$A$1:$I$4,
MATCH($D444, '2018_commission_structure'!$A$1:$A$4, 0),
MATCH(P$1, '2018_commission_structure'!$A$1:$I$1, 0)), 0)</f>
        <v>0</v>
      </c>
      <c r="R444" s="11">
        <f>IF(G444&gt;K444, (G444-K444) *
INDEX('2018_commission_structure'!$A$1:$I$4,
MATCH($D444, '2018_commission_structure'!$A$1:$A$4,0),
MATCH(R$1, '2018_commission_structure'!$A$1:$I$1,0)), 0)</f>
        <v>0</v>
      </c>
      <c r="S444" s="11">
        <f t="shared" si="41"/>
        <v>0</v>
      </c>
      <c r="T444" s="11" cm="1">
        <f t="array" ref="T444">SUM(E444+O444:Q444)</f>
        <v>229602</v>
      </c>
    </row>
    <row r="445" spans="1:20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 xml:space="preserve"> COUNTIF(deals_closed!D:D,A445)</f>
        <v>20</v>
      </c>
      <c r="G445" s="5">
        <f>SUMIF(deals_closed!D:D, calculations!A445, deals_closed!C:C)</f>
        <v>734794</v>
      </c>
      <c r="H445" s="5">
        <f>VLOOKUP(D445,'2018_commission_structure'!$A$2:$I$4,9,FALSE)</f>
        <v>500000</v>
      </c>
      <c r="I445" s="9">
        <f t="shared" si="36"/>
        <v>625000</v>
      </c>
      <c r="J445" s="8">
        <f t="shared" si="37"/>
        <v>750000</v>
      </c>
      <c r="K445" s="9">
        <f t="shared" si="38"/>
        <v>1000000</v>
      </c>
      <c r="L445" s="10">
        <f t="shared" si="39"/>
        <v>1.4695879999999999</v>
      </c>
      <c r="M445" t="str">
        <f t="shared" si="40"/>
        <v>125-150%</v>
      </c>
      <c r="N445" s="9">
        <f>MIN(H445, G445)*INDEX('2018_commission_structure'!$A$1:$I$4,
MATCH($D445, '2018_commission_structure'!$A$1:$A$4,0),
MATCH(N$1, '2018_commission_structure'!$A$1:$I$1,0))</f>
        <v>50000</v>
      </c>
      <c r="O445" s="11">
        <f>IF(G445&gt;H445, MIN(G445-H445, I445-H445)*
INDEX('2018_commission_structure'!$A$1:$I$4,
MATCH($D445, '2018_commission_structure'!$A$1:$A$4, 0),
MATCH(O$1, '2018_commission_structure'!$A$1:$I$1, 0)), 0)</f>
        <v>18750</v>
      </c>
      <c r="P445" s="11">
        <f>IF(G445&gt;H445, MIN(G445-H445, J445-H445)*
INDEX('2018_commission_structure'!$A$1:$I$4,
MATCH($D445, '2018_commission_structure'!$A$1:$A$4, 0),
MATCH(O$1, '2018_commission_structure'!$A$1:$I$1, 0)), 0)</f>
        <v>35219.1</v>
      </c>
      <c r="Q445" s="11">
        <f>IF(G445&gt;H445, MIN(G445-H445, I445-H445)*
INDEX('2018_commission_structure'!$A$1:$I$4,
MATCH($D445, '2018_commission_structure'!$A$1:$A$4, 0),
MATCH(P$1, '2018_commission_structure'!$A$1:$I$1, 0)), 0)</f>
        <v>22500</v>
      </c>
      <c r="R445" s="11">
        <f>IF(G445&gt;K445, (G445-K445) *
INDEX('2018_commission_structure'!$A$1:$I$4,
MATCH($D445, '2018_commission_structure'!$A$1:$A$4,0),
MATCH(R$1, '2018_commission_structure'!$A$1:$I$1,0)), 0)</f>
        <v>0</v>
      </c>
      <c r="S445" s="11">
        <f t="shared" si="41"/>
        <v>76469.100000000006</v>
      </c>
      <c r="T445" s="11" cm="1">
        <f t="array" ref="T445">SUM(E445+O445:Q445)</f>
        <v>201158.1</v>
      </c>
    </row>
    <row r="446" spans="1:20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 xml:space="preserve"> COUNTIF(deals_closed!D:D,A446)</f>
        <v>17</v>
      </c>
      <c r="G446" s="5">
        <f>SUMIF(deals_closed!D:D, calculations!A446, deals_closed!C:C)</f>
        <v>559337</v>
      </c>
      <c r="H446" s="5">
        <f>VLOOKUP(D446,'2018_commission_structure'!$A$2:$I$4,9,FALSE)</f>
        <v>500000</v>
      </c>
      <c r="I446" s="9">
        <f t="shared" si="36"/>
        <v>625000</v>
      </c>
      <c r="J446" s="8">
        <f t="shared" si="37"/>
        <v>750000</v>
      </c>
      <c r="K446" s="9">
        <f t="shared" si="38"/>
        <v>1000000</v>
      </c>
      <c r="L446" s="10">
        <f t="shared" si="39"/>
        <v>1.1186739999999999</v>
      </c>
      <c r="M446" t="str">
        <f t="shared" si="40"/>
        <v>100-125%</v>
      </c>
      <c r="N446" s="9">
        <f>MIN(H446, G446)*INDEX('2018_commission_structure'!$A$1:$I$4,
MATCH($D446, '2018_commission_structure'!$A$1:$A$4,0),
MATCH(N$1, '2018_commission_structure'!$A$1:$I$1,0))</f>
        <v>50000</v>
      </c>
      <c r="O446" s="11">
        <f>IF(G446&gt;H446, MIN(G446-H446, I446-H446)*
INDEX('2018_commission_structure'!$A$1:$I$4,
MATCH($D446, '2018_commission_structure'!$A$1:$A$4, 0),
MATCH(O$1, '2018_commission_structure'!$A$1:$I$1, 0)), 0)</f>
        <v>8900.5499999999993</v>
      </c>
      <c r="P446" s="11">
        <f>IF(G446&gt;H446, MIN(G446-H446, J446-H446)*
INDEX('2018_commission_structure'!$A$1:$I$4,
MATCH($D446, '2018_commission_structure'!$A$1:$A$4, 0),
MATCH(O$1, '2018_commission_structure'!$A$1:$I$1, 0)), 0)</f>
        <v>8900.5499999999993</v>
      </c>
      <c r="Q446" s="11">
        <f>IF(G446&gt;H446, MIN(G446-H446, I446-H446)*
INDEX('2018_commission_structure'!$A$1:$I$4,
MATCH($D446, '2018_commission_structure'!$A$1:$A$4, 0),
MATCH(P$1, '2018_commission_structure'!$A$1:$I$1, 0)), 0)</f>
        <v>10680.66</v>
      </c>
      <c r="R446" s="11">
        <f>IF(G446&gt;K446, (G446-K446) *
INDEX('2018_commission_structure'!$A$1:$I$4,
MATCH($D446, '2018_commission_structure'!$A$1:$A$4,0),
MATCH(R$1, '2018_commission_structure'!$A$1:$I$1,0)), 0)</f>
        <v>0</v>
      </c>
      <c r="S446" s="11">
        <f t="shared" si="41"/>
        <v>28481.759999999998</v>
      </c>
      <c r="T446" s="11" cm="1">
        <f t="array" ref="T446">SUM(E446+O446:Q446)</f>
        <v>139622.76</v>
      </c>
    </row>
    <row r="447" spans="1:20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 xml:space="preserve"> COUNTIF(deals_closed!D:D,A447)</f>
        <v>18</v>
      </c>
      <c r="G447" s="5">
        <f>SUMIF(deals_closed!D:D, calculations!A447, deals_closed!C:C)</f>
        <v>602312</v>
      </c>
      <c r="H447" s="5">
        <f>VLOOKUP(D447,'2018_commission_structure'!$A$2:$I$4,9,FALSE)</f>
        <v>600000</v>
      </c>
      <c r="I447" s="9">
        <f t="shared" si="36"/>
        <v>750000</v>
      </c>
      <c r="J447" s="8">
        <f t="shared" si="37"/>
        <v>900000</v>
      </c>
      <c r="K447" s="9">
        <f t="shared" si="38"/>
        <v>1200000</v>
      </c>
      <c r="L447" s="10">
        <f t="shared" si="39"/>
        <v>1.0038533333333333</v>
      </c>
      <c r="M447" t="str">
        <f t="shared" si="40"/>
        <v>100-125%</v>
      </c>
      <c r="N447" s="9">
        <f>MIN(H447, G447)*INDEX('2018_commission_structure'!$A$1:$I$4,
MATCH($D447, '2018_commission_structure'!$A$1:$A$4,0),
MATCH(N$1, '2018_commission_structure'!$A$1:$I$1,0))</f>
        <v>78000</v>
      </c>
      <c r="O447" s="11">
        <f>IF(G447&gt;H447, MIN(G447-H447, I447-H447)*
INDEX('2018_commission_structure'!$A$1:$I$4,
MATCH($D447, '2018_commission_structure'!$A$1:$A$4, 0),
MATCH(O$1, '2018_commission_structure'!$A$1:$I$1, 0)), 0)</f>
        <v>393.04</v>
      </c>
      <c r="P447" s="11">
        <f>IF(G447&gt;H447, MIN(G447-H447, J447-H447)*
INDEX('2018_commission_structure'!$A$1:$I$4,
MATCH($D447, '2018_commission_structure'!$A$1:$A$4, 0),
MATCH(O$1, '2018_commission_structure'!$A$1:$I$1, 0)), 0)</f>
        <v>393.04</v>
      </c>
      <c r="Q447" s="11">
        <f>IF(G447&gt;H447, MIN(G447-H447, I447-H447)*
INDEX('2018_commission_structure'!$A$1:$I$4,
MATCH($D447, '2018_commission_structure'!$A$1:$A$4, 0),
MATCH(P$1, '2018_commission_structure'!$A$1:$I$1, 0)), 0)</f>
        <v>485.52</v>
      </c>
      <c r="R447" s="11">
        <f>IF(G447&gt;K447, (G447-K447) *
INDEX('2018_commission_structure'!$A$1:$I$4,
MATCH($D447, '2018_commission_structure'!$A$1:$A$4,0),
MATCH(R$1, '2018_commission_structure'!$A$1:$I$1,0)), 0)</f>
        <v>0</v>
      </c>
      <c r="S447" s="11">
        <f t="shared" si="41"/>
        <v>1271.5999999999999</v>
      </c>
      <c r="T447" s="11" cm="1">
        <f t="array" ref="T447">SUM(E447+O447:Q447)</f>
        <v>193673.60000000001</v>
      </c>
    </row>
    <row r="448" spans="1:20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 xml:space="preserve"> COUNTIF(deals_closed!D:D,A448)</f>
        <v>28</v>
      </c>
      <c r="G448" s="5">
        <f>SUMIF(deals_closed!D:D, calculations!A448, deals_closed!C:C)</f>
        <v>973466</v>
      </c>
      <c r="H448" s="5">
        <f>VLOOKUP(D448,'2018_commission_structure'!$A$2:$I$4,9,FALSE)</f>
        <v>750000</v>
      </c>
      <c r="I448" s="9">
        <f t="shared" si="36"/>
        <v>937500</v>
      </c>
      <c r="J448" s="8">
        <f t="shared" si="37"/>
        <v>1125000</v>
      </c>
      <c r="K448" s="9">
        <f t="shared" si="38"/>
        <v>1500000</v>
      </c>
      <c r="L448" s="10">
        <f t="shared" si="39"/>
        <v>1.2979546666666666</v>
      </c>
      <c r="M448" t="str">
        <f t="shared" si="40"/>
        <v>125-150%</v>
      </c>
      <c r="N448" s="9">
        <f>MIN(H448, G448)*INDEX('2018_commission_structure'!$A$1:$I$4,
MATCH($D448, '2018_commission_structure'!$A$1:$A$4,0),
MATCH(N$1, '2018_commission_structure'!$A$1:$I$1,0))</f>
        <v>112500</v>
      </c>
      <c r="O448" s="11">
        <f>IF(G448&gt;H448, MIN(G448-H448, I448-H448)*
INDEX('2018_commission_structure'!$A$1:$I$4,
MATCH($D448, '2018_commission_structure'!$A$1:$A$4, 0),
MATCH(O$1, '2018_commission_structure'!$A$1:$I$1, 0)), 0)</f>
        <v>35625</v>
      </c>
      <c r="P448" s="11">
        <f>IF(G448&gt;H448, MIN(G448-H448, J448-H448)*
INDEX('2018_commission_structure'!$A$1:$I$4,
MATCH($D448, '2018_commission_structure'!$A$1:$A$4, 0),
MATCH(O$1, '2018_commission_structure'!$A$1:$I$1, 0)), 0)</f>
        <v>42458.54</v>
      </c>
      <c r="Q448" s="11">
        <f>IF(G448&gt;H448, MIN(G448-H448, I448-H448)*
INDEX('2018_commission_structure'!$A$1:$I$4,
MATCH($D448, '2018_commission_structure'!$A$1:$A$4, 0),
MATCH(P$1, '2018_commission_structure'!$A$1:$I$1, 0)), 0)</f>
        <v>43125</v>
      </c>
      <c r="R448" s="11">
        <f>IF(G448&gt;K448, (G448-K448) *
INDEX('2018_commission_structure'!$A$1:$I$4,
MATCH($D448, '2018_commission_structure'!$A$1:$A$4,0),
MATCH(R$1, '2018_commission_structure'!$A$1:$I$1,0)), 0)</f>
        <v>0</v>
      </c>
      <c r="S448" s="11">
        <f t="shared" si="41"/>
        <v>121208.54000000001</v>
      </c>
      <c r="T448" s="11" cm="1">
        <f t="array" ref="T448">SUM(E448+O448:Q448)</f>
        <v>443951.54000000004</v>
      </c>
    </row>
    <row r="449" spans="1:20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 xml:space="preserve"> COUNTIF(deals_closed!D:D,A449)</f>
        <v>20</v>
      </c>
      <c r="G449" s="5">
        <f>SUMIF(deals_closed!D:D, calculations!A449, deals_closed!C:C)</f>
        <v>633620</v>
      </c>
      <c r="H449" s="5">
        <f>VLOOKUP(D449,'2018_commission_structure'!$A$2:$I$4,9,FALSE)</f>
        <v>750000</v>
      </c>
      <c r="I449" s="9">
        <f t="shared" si="36"/>
        <v>937500</v>
      </c>
      <c r="J449" s="8">
        <f t="shared" si="37"/>
        <v>1125000</v>
      </c>
      <c r="K449" s="9">
        <f t="shared" si="38"/>
        <v>1500000</v>
      </c>
      <c r="L449" s="10">
        <f t="shared" si="39"/>
        <v>0.84482666666666661</v>
      </c>
      <c r="M449" t="str">
        <f t="shared" si="40"/>
        <v>0-100%</v>
      </c>
      <c r="N449" s="9">
        <f>MIN(H449, G449)*INDEX('2018_commission_structure'!$A$1:$I$4,
MATCH($D449, '2018_commission_structure'!$A$1:$A$4,0),
MATCH(N$1, '2018_commission_structure'!$A$1:$I$1,0))</f>
        <v>95043</v>
      </c>
      <c r="O449" s="11">
        <f>IF(G449&gt;H449, MIN(G449-H449, I449-H449)*
INDEX('2018_commission_structure'!$A$1:$I$4,
MATCH($D449, '2018_commission_structure'!$A$1:$A$4, 0),
MATCH(O$1, '2018_commission_structure'!$A$1:$I$1, 0)), 0)</f>
        <v>0</v>
      </c>
      <c r="P449" s="11">
        <f>IF(G449&gt;H449, MIN(G449-H449, J449-H449)*
INDEX('2018_commission_structure'!$A$1:$I$4,
MATCH($D449, '2018_commission_structure'!$A$1:$A$4, 0),
MATCH(O$1, '2018_commission_structure'!$A$1:$I$1, 0)), 0)</f>
        <v>0</v>
      </c>
      <c r="Q449" s="11">
        <f>IF(G449&gt;H449, MIN(G449-H449, I449-H449)*
INDEX('2018_commission_structure'!$A$1:$I$4,
MATCH($D449, '2018_commission_structure'!$A$1:$A$4, 0),
MATCH(P$1, '2018_commission_structure'!$A$1:$I$1, 0)), 0)</f>
        <v>0</v>
      </c>
      <c r="R449" s="11">
        <f>IF(G449&gt;K449, (G449-K449) *
INDEX('2018_commission_structure'!$A$1:$I$4,
MATCH($D449, '2018_commission_structure'!$A$1:$A$4,0),
MATCH(R$1, '2018_commission_structure'!$A$1:$I$1,0)), 0)</f>
        <v>0</v>
      </c>
      <c r="S449" s="11">
        <f t="shared" si="41"/>
        <v>0</v>
      </c>
      <c r="T449" s="11" cm="1">
        <f t="array" ref="T449">SUM(E449+O449:Q449)</f>
        <v>344652</v>
      </c>
    </row>
    <row r="450" spans="1:20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 xml:space="preserve"> COUNTIF(deals_closed!D:D,A450)</f>
        <v>20</v>
      </c>
      <c r="G450" s="5">
        <f>SUMIF(deals_closed!D:D, calculations!A450, deals_closed!C:C)</f>
        <v>607358</v>
      </c>
      <c r="H450" s="5">
        <f>VLOOKUP(D450,'2018_commission_structure'!$A$2:$I$4,9,FALSE)</f>
        <v>600000</v>
      </c>
      <c r="I450" s="9">
        <f t="shared" si="36"/>
        <v>750000</v>
      </c>
      <c r="J450" s="8">
        <f t="shared" si="37"/>
        <v>900000</v>
      </c>
      <c r="K450" s="9">
        <f t="shared" si="38"/>
        <v>1200000</v>
      </c>
      <c r="L450" s="10">
        <f t="shared" si="39"/>
        <v>1.0122633333333333</v>
      </c>
      <c r="M450" t="str">
        <f t="shared" si="40"/>
        <v>100-125%</v>
      </c>
      <c r="N450" s="9">
        <f>MIN(H450, G450)*INDEX('2018_commission_structure'!$A$1:$I$4,
MATCH($D450, '2018_commission_structure'!$A$1:$A$4,0),
MATCH(N$1, '2018_commission_structure'!$A$1:$I$1,0))</f>
        <v>78000</v>
      </c>
      <c r="O450" s="11">
        <f>IF(G450&gt;H450, MIN(G450-H450, I450-H450)*
INDEX('2018_commission_structure'!$A$1:$I$4,
MATCH($D450, '2018_commission_structure'!$A$1:$A$4, 0),
MATCH(O$1, '2018_commission_structure'!$A$1:$I$1, 0)), 0)</f>
        <v>1250.8600000000001</v>
      </c>
      <c r="P450" s="11">
        <f>IF(G450&gt;H450, MIN(G450-H450, J450-H450)*
INDEX('2018_commission_structure'!$A$1:$I$4,
MATCH($D450, '2018_commission_structure'!$A$1:$A$4, 0),
MATCH(O$1, '2018_commission_structure'!$A$1:$I$1, 0)), 0)</f>
        <v>1250.8600000000001</v>
      </c>
      <c r="Q450" s="11">
        <f>IF(G450&gt;H450, MIN(G450-H450, I450-H450)*
INDEX('2018_commission_structure'!$A$1:$I$4,
MATCH($D450, '2018_commission_structure'!$A$1:$A$4, 0),
MATCH(P$1, '2018_commission_structure'!$A$1:$I$1, 0)), 0)</f>
        <v>1545.1799999999998</v>
      </c>
      <c r="R450" s="11">
        <f>IF(G450&gt;K450, (G450-K450) *
INDEX('2018_commission_structure'!$A$1:$I$4,
MATCH($D450, '2018_commission_structure'!$A$1:$A$4,0),
MATCH(R$1, '2018_commission_structure'!$A$1:$I$1,0)), 0)</f>
        <v>0</v>
      </c>
      <c r="S450" s="11">
        <f t="shared" si="41"/>
        <v>4046.9</v>
      </c>
      <c r="T450" s="11" cm="1">
        <f t="array" ref="T450">SUM(E450+O450:Q450)</f>
        <v>195149.9</v>
      </c>
    </row>
    <row r="451" spans="1:20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 xml:space="preserve"> COUNTIF(deals_closed!D:D,A451)</f>
        <v>13</v>
      </c>
      <c r="G451" s="5">
        <f>SUMIF(deals_closed!D:D, calculations!A451, deals_closed!C:C)</f>
        <v>455822</v>
      </c>
      <c r="H451" s="5">
        <f>VLOOKUP(D451,'2018_commission_structure'!$A$2:$I$4,9,FALSE)</f>
        <v>750000</v>
      </c>
      <c r="I451" s="9">
        <f t="shared" ref="I451:I514" si="42">H451*1.25</f>
        <v>937500</v>
      </c>
      <c r="J451" s="8">
        <f t="shared" ref="J451:J514" si="43">H451*1.5</f>
        <v>1125000</v>
      </c>
      <c r="K451" s="9">
        <f t="shared" ref="K451:K514" si="44">H451*2</f>
        <v>1500000</v>
      </c>
      <c r="L451" s="10">
        <f t="shared" ref="L451:L514" si="45">G451/H451</f>
        <v>0.60776266666666667</v>
      </c>
      <c r="M451" t="str">
        <f t="shared" ref="M451:M514" si="46">IF(L451&lt;=1, "0-100%",
IF(L451&lt;=1.25, "100-125%",
IF(L451&lt;=1.5, "125-150%",
IF(L451&lt;2, "150-200%", "&gt;200%"))))</f>
        <v>0-100%</v>
      </c>
      <c r="N451" s="9">
        <f>MIN(H451, G451)*INDEX('2018_commission_structure'!$A$1:$I$4,
MATCH($D451, '2018_commission_structure'!$A$1:$A$4,0),
MATCH(N$1, '2018_commission_structure'!$A$1:$I$1,0))</f>
        <v>68373.3</v>
      </c>
      <c r="O451" s="11">
        <f>IF(G451&gt;H451, MIN(G451-H451, I451-H451)*
INDEX('2018_commission_structure'!$A$1:$I$4,
MATCH($D451, '2018_commission_structure'!$A$1:$A$4, 0),
MATCH(O$1, '2018_commission_structure'!$A$1:$I$1, 0)), 0)</f>
        <v>0</v>
      </c>
      <c r="P451" s="11">
        <f>IF(G451&gt;H451, MIN(G451-H451, J451-H451)*
INDEX('2018_commission_structure'!$A$1:$I$4,
MATCH($D451, '2018_commission_structure'!$A$1:$A$4, 0),
MATCH(O$1, '2018_commission_structure'!$A$1:$I$1, 0)), 0)</f>
        <v>0</v>
      </c>
      <c r="Q451" s="11">
        <f>IF(G451&gt;H451, MIN(G451-H451, I451-H451)*
INDEX('2018_commission_structure'!$A$1:$I$4,
MATCH($D451, '2018_commission_structure'!$A$1:$A$4, 0),
MATCH(P$1, '2018_commission_structure'!$A$1:$I$1, 0)), 0)</f>
        <v>0</v>
      </c>
      <c r="R451" s="11">
        <f>IF(G451&gt;K451, (G451-K451) *
INDEX('2018_commission_structure'!$A$1:$I$4,
MATCH($D451, '2018_commission_structure'!$A$1:$A$4,0),
MATCH(R$1, '2018_commission_structure'!$A$1:$I$1,0)), 0)</f>
        <v>0</v>
      </c>
      <c r="S451" s="11">
        <f t="shared" ref="S451:S514" si="47">SUM(O451:Q451)</f>
        <v>0</v>
      </c>
      <c r="T451" s="11" cm="1">
        <f t="array" ref="T451">SUM(E451+O451:Q451)</f>
        <v>303057</v>
      </c>
    </row>
    <row r="452" spans="1:20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 xml:space="preserve"> COUNTIF(deals_closed!D:D,A452)</f>
        <v>23</v>
      </c>
      <c r="G452" s="5">
        <f>SUMIF(deals_closed!D:D, calculations!A452, deals_closed!C:C)</f>
        <v>820679</v>
      </c>
      <c r="H452" s="5">
        <f>VLOOKUP(D452,'2018_commission_structure'!$A$2:$I$4,9,FALSE)</f>
        <v>500000</v>
      </c>
      <c r="I452" s="9">
        <f t="shared" si="42"/>
        <v>625000</v>
      </c>
      <c r="J452" s="8">
        <f t="shared" si="43"/>
        <v>750000</v>
      </c>
      <c r="K452" s="9">
        <f t="shared" si="44"/>
        <v>1000000</v>
      </c>
      <c r="L452" s="10">
        <f t="shared" si="45"/>
        <v>1.6413580000000001</v>
      </c>
      <c r="M452" t="str">
        <f t="shared" si="46"/>
        <v>150-200%</v>
      </c>
      <c r="N452" s="9">
        <f>MIN(H452, G452)*INDEX('2018_commission_structure'!$A$1:$I$4,
MATCH($D452, '2018_commission_structure'!$A$1:$A$4,0),
MATCH(N$1, '2018_commission_structure'!$A$1:$I$1,0))</f>
        <v>50000</v>
      </c>
      <c r="O452" s="11">
        <f>IF(G452&gt;H452, MIN(G452-H452, I452-H452)*
INDEX('2018_commission_structure'!$A$1:$I$4,
MATCH($D452, '2018_commission_structure'!$A$1:$A$4, 0),
MATCH(O$1, '2018_commission_structure'!$A$1:$I$1, 0)), 0)</f>
        <v>18750</v>
      </c>
      <c r="P452" s="11">
        <f>IF(G452&gt;H452, MIN(G452-H452, J452-H452)*
INDEX('2018_commission_structure'!$A$1:$I$4,
MATCH($D452, '2018_commission_structure'!$A$1:$A$4, 0),
MATCH(O$1, '2018_commission_structure'!$A$1:$I$1, 0)), 0)</f>
        <v>37500</v>
      </c>
      <c r="Q452" s="11">
        <f>IF(G452&gt;H452, MIN(G452-H452, I452-H452)*
INDEX('2018_commission_structure'!$A$1:$I$4,
MATCH($D452, '2018_commission_structure'!$A$1:$A$4, 0),
MATCH(P$1, '2018_commission_structure'!$A$1:$I$1, 0)), 0)</f>
        <v>22500</v>
      </c>
      <c r="R452" s="11">
        <f>IF(G452&gt;K452, (G452-K452) *
INDEX('2018_commission_structure'!$A$1:$I$4,
MATCH($D452, '2018_commission_structure'!$A$1:$A$4,0),
MATCH(R$1, '2018_commission_structure'!$A$1:$I$1,0)), 0)</f>
        <v>0</v>
      </c>
      <c r="S452" s="11">
        <f t="shared" si="47"/>
        <v>78750</v>
      </c>
      <c r="T452" s="11" cm="1">
        <f t="array" ref="T452">SUM(E452+O452:Q452)</f>
        <v>249618</v>
      </c>
    </row>
    <row r="453" spans="1:20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 xml:space="preserve"> COUNTIF(deals_closed!D:D,A453)</f>
        <v>17</v>
      </c>
      <c r="G453" s="5">
        <f>SUMIF(deals_closed!D:D, calculations!A453, deals_closed!C:C)</f>
        <v>550688</v>
      </c>
      <c r="H453" s="5">
        <f>VLOOKUP(D453,'2018_commission_structure'!$A$2:$I$4,9,FALSE)</f>
        <v>500000</v>
      </c>
      <c r="I453" s="9">
        <f t="shared" si="42"/>
        <v>625000</v>
      </c>
      <c r="J453" s="8">
        <f t="shared" si="43"/>
        <v>750000</v>
      </c>
      <c r="K453" s="9">
        <f t="shared" si="44"/>
        <v>1000000</v>
      </c>
      <c r="L453" s="10">
        <f t="shared" si="45"/>
        <v>1.1013759999999999</v>
      </c>
      <c r="M453" t="str">
        <f t="shared" si="46"/>
        <v>100-125%</v>
      </c>
      <c r="N453" s="9">
        <f>MIN(H453, G453)*INDEX('2018_commission_structure'!$A$1:$I$4,
MATCH($D453, '2018_commission_structure'!$A$1:$A$4,0),
MATCH(N$1, '2018_commission_structure'!$A$1:$I$1,0))</f>
        <v>50000</v>
      </c>
      <c r="O453" s="11">
        <f>IF(G453&gt;H453, MIN(G453-H453, I453-H453)*
INDEX('2018_commission_structure'!$A$1:$I$4,
MATCH($D453, '2018_commission_structure'!$A$1:$A$4, 0),
MATCH(O$1, '2018_commission_structure'!$A$1:$I$1, 0)), 0)</f>
        <v>7603.2</v>
      </c>
      <c r="P453" s="11">
        <f>IF(G453&gt;H453, MIN(G453-H453, J453-H453)*
INDEX('2018_commission_structure'!$A$1:$I$4,
MATCH($D453, '2018_commission_structure'!$A$1:$A$4, 0),
MATCH(O$1, '2018_commission_structure'!$A$1:$I$1, 0)), 0)</f>
        <v>7603.2</v>
      </c>
      <c r="Q453" s="11">
        <f>IF(G453&gt;H453, MIN(G453-H453, I453-H453)*
INDEX('2018_commission_structure'!$A$1:$I$4,
MATCH($D453, '2018_commission_structure'!$A$1:$A$4, 0),
MATCH(P$1, '2018_commission_structure'!$A$1:$I$1, 0)), 0)</f>
        <v>9123.84</v>
      </c>
      <c r="R453" s="11">
        <f>IF(G453&gt;K453, (G453-K453) *
INDEX('2018_commission_structure'!$A$1:$I$4,
MATCH($D453, '2018_commission_structure'!$A$1:$A$4,0),
MATCH(R$1, '2018_commission_structure'!$A$1:$I$1,0)), 0)</f>
        <v>0</v>
      </c>
      <c r="S453" s="11">
        <f t="shared" si="47"/>
        <v>24330.239999999998</v>
      </c>
      <c r="T453" s="11" cm="1">
        <f t="array" ref="T453">SUM(E453+O453:Q453)</f>
        <v>188427.24</v>
      </c>
    </row>
    <row r="454" spans="1:20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 xml:space="preserve"> COUNTIF(deals_closed!D:D,A454)</f>
        <v>14</v>
      </c>
      <c r="G454" s="5">
        <f>SUMIF(deals_closed!D:D, calculations!A454, deals_closed!C:C)</f>
        <v>486361</v>
      </c>
      <c r="H454" s="5">
        <f>VLOOKUP(D454,'2018_commission_structure'!$A$2:$I$4,9,FALSE)</f>
        <v>750000</v>
      </c>
      <c r="I454" s="9">
        <f t="shared" si="42"/>
        <v>937500</v>
      </c>
      <c r="J454" s="8">
        <f t="shared" si="43"/>
        <v>1125000</v>
      </c>
      <c r="K454" s="9">
        <f t="shared" si="44"/>
        <v>1500000</v>
      </c>
      <c r="L454" s="10">
        <f t="shared" si="45"/>
        <v>0.64848133333333335</v>
      </c>
      <c r="M454" t="str">
        <f t="shared" si="46"/>
        <v>0-100%</v>
      </c>
      <c r="N454" s="9">
        <f>MIN(H454, G454)*INDEX('2018_commission_structure'!$A$1:$I$4,
MATCH($D454, '2018_commission_structure'!$A$1:$A$4,0),
MATCH(N$1, '2018_commission_structure'!$A$1:$I$1,0))</f>
        <v>72954.149999999994</v>
      </c>
      <c r="O454" s="11">
        <f>IF(G454&gt;H454, MIN(G454-H454, I454-H454)*
INDEX('2018_commission_structure'!$A$1:$I$4,
MATCH($D454, '2018_commission_structure'!$A$1:$A$4, 0),
MATCH(O$1, '2018_commission_structure'!$A$1:$I$1, 0)), 0)</f>
        <v>0</v>
      </c>
      <c r="P454" s="11">
        <f>IF(G454&gt;H454, MIN(G454-H454, J454-H454)*
INDEX('2018_commission_structure'!$A$1:$I$4,
MATCH($D454, '2018_commission_structure'!$A$1:$A$4, 0),
MATCH(O$1, '2018_commission_structure'!$A$1:$I$1, 0)), 0)</f>
        <v>0</v>
      </c>
      <c r="Q454" s="11">
        <f>IF(G454&gt;H454, MIN(G454-H454, I454-H454)*
INDEX('2018_commission_structure'!$A$1:$I$4,
MATCH($D454, '2018_commission_structure'!$A$1:$A$4, 0),
MATCH(P$1, '2018_commission_structure'!$A$1:$I$1, 0)), 0)</f>
        <v>0</v>
      </c>
      <c r="R454" s="11">
        <f>IF(G454&gt;K454, (G454-K454) *
INDEX('2018_commission_structure'!$A$1:$I$4,
MATCH($D454, '2018_commission_structure'!$A$1:$A$4,0),
MATCH(R$1, '2018_commission_structure'!$A$1:$I$1,0)), 0)</f>
        <v>0</v>
      </c>
      <c r="S454" s="11">
        <f t="shared" si="47"/>
        <v>0</v>
      </c>
      <c r="T454" s="11" cm="1">
        <f t="array" ref="T454">SUM(E454+O454:Q454)</f>
        <v>261669</v>
      </c>
    </row>
    <row r="455" spans="1:20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 xml:space="preserve"> COUNTIF(deals_closed!D:D,A455)</f>
        <v>19</v>
      </c>
      <c r="G455" s="5">
        <f>SUMIF(deals_closed!D:D, calculations!A455, deals_closed!C:C)</f>
        <v>746779</v>
      </c>
      <c r="H455" s="5">
        <f>VLOOKUP(D455,'2018_commission_structure'!$A$2:$I$4,9,FALSE)</f>
        <v>600000</v>
      </c>
      <c r="I455" s="9">
        <f t="shared" si="42"/>
        <v>750000</v>
      </c>
      <c r="J455" s="8">
        <f t="shared" si="43"/>
        <v>900000</v>
      </c>
      <c r="K455" s="9">
        <f t="shared" si="44"/>
        <v>1200000</v>
      </c>
      <c r="L455" s="10">
        <f t="shared" si="45"/>
        <v>1.2446316666666666</v>
      </c>
      <c r="M455" t="str">
        <f t="shared" si="46"/>
        <v>100-125%</v>
      </c>
      <c r="N455" s="9">
        <f>MIN(H455, G455)*INDEX('2018_commission_structure'!$A$1:$I$4,
MATCH($D455, '2018_commission_structure'!$A$1:$A$4,0),
MATCH(N$1, '2018_commission_structure'!$A$1:$I$1,0))</f>
        <v>78000</v>
      </c>
      <c r="O455" s="11">
        <f>IF(G455&gt;H455, MIN(G455-H455, I455-H455)*
INDEX('2018_commission_structure'!$A$1:$I$4,
MATCH($D455, '2018_commission_structure'!$A$1:$A$4, 0),
MATCH(O$1, '2018_commission_structure'!$A$1:$I$1, 0)), 0)</f>
        <v>24952.43</v>
      </c>
      <c r="P455" s="11">
        <f>IF(G455&gt;H455, MIN(G455-H455, J455-H455)*
INDEX('2018_commission_structure'!$A$1:$I$4,
MATCH($D455, '2018_commission_structure'!$A$1:$A$4, 0),
MATCH(O$1, '2018_commission_structure'!$A$1:$I$1, 0)), 0)</f>
        <v>24952.43</v>
      </c>
      <c r="Q455" s="11">
        <f>IF(G455&gt;H455, MIN(G455-H455, I455-H455)*
INDEX('2018_commission_structure'!$A$1:$I$4,
MATCH($D455, '2018_commission_structure'!$A$1:$A$4, 0),
MATCH(P$1, '2018_commission_structure'!$A$1:$I$1, 0)), 0)</f>
        <v>30823.59</v>
      </c>
      <c r="R455" s="11">
        <f>IF(G455&gt;K455, (G455-K455) *
INDEX('2018_commission_structure'!$A$1:$I$4,
MATCH($D455, '2018_commission_structure'!$A$1:$A$4,0),
MATCH(R$1, '2018_commission_structure'!$A$1:$I$1,0)), 0)</f>
        <v>0</v>
      </c>
      <c r="S455" s="11">
        <f t="shared" si="47"/>
        <v>80728.45</v>
      </c>
      <c r="T455" s="11" cm="1">
        <f t="array" ref="T455">SUM(E455+O455:Q455)</f>
        <v>301252.44999999995</v>
      </c>
    </row>
    <row r="456" spans="1:20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 xml:space="preserve"> COUNTIF(deals_closed!D:D,A456)</f>
        <v>23</v>
      </c>
      <c r="G456" s="5">
        <f>SUMIF(deals_closed!D:D, calculations!A456, deals_closed!C:C)</f>
        <v>834217</v>
      </c>
      <c r="H456" s="5">
        <f>VLOOKUP(D456,'2018_commission_structure'!$A$2:$I$4,9,FALSE)</f>
        <v>500000</v>
      </c>
      <c r="I456" s="9">
        <f t="shared" si="42"/>
        <v>625000</v>
      </c>
      <c r="J456" s="8">
        <f t="shared" si="43"/>
        <v>750000</v>
      </c>
      <c r="K456" s="9">
        <f t="shared" si="44"/>
        <v>1000000</v>
      </c>
      <c r="L456" s="10">
        <f t="shared" si="45"/>
        <v>1.668434</v>
      </c>
      <c r="M456" t="str">
        <f t="shared" si="46"/>
        <v>150-200%</v>
      </c>
      <c r="N456" s="9">
        <f>MIN(H456, G456)*INDEX('2018_commission_structure'!$A$1:$I$4,
MATCH($D456, '2018_commission_structure'!$A$1:$A$4,0),
MATCH(N$1, '2018_commission_structure'!$A$1:$I$1,0))</f>
        <v>50000</v>
      </c>
      <c r="O456" s="11">
        <f>IF(G456&gt;H456, MIN(G456-H456, I456-H456)*
INDEX('2018_commission_structure'!$A$1:$I$4,
MATCH($D456, '2018_commission_structure'!$A$1:$A$4, 0),
MATCH(O$1, '2018_commission_structure'!$A$1:$I$1, 0)), 0)</f>
        <v>18750</v>
      </c>
      <c r="P456" s="11">
        <f>IF(G456&gt;H456, MIN(G456-H456, J456-H456)*
INDEX('2018_commission_structure'!$A$1:$I$4,
MATCH($D456, '2018_commission_structure'!$A$1:$A$4, 0),
MATCH(O$1, '2018_commission_structure'!$A$1:$I$1, 0)), 0)</f>
        <v>37500</v>
      </c>
      <c r="Q456" s="11">
        <f>IF(G456&gt;H456, MIN(G456-H456, I456-H456)*
INDEX('2018_commission_structure'!$A$1:$I$4,
MATCH($D456, '2018_commission_structure'!$A$1:$A$4, 0),
MATCH(P$1, '2018_commission_structure'!$A$1:$I$1, 0)), 0)</f>
        <v>22500</v>
      </c>
      <c r="R456" s="11">
        <f>IF(G456&gt;K456, (G456-K456) *
INDEX('2018_commission_structure'!$A$1:$I$4,
MATCH($D456, '2018_commission_structure'!$A$1:$A$4,0),
MATCH(R$1, '2018_commission_structure'!$A$1:$I$1,0)), 0)</f>
        <v>0</v>
      </c>
      <c r="S456" s="11">
        <f t="shared" si="47"/>
        <v>78750</v>
      </c>
      <c r="T456" s="11" cm="1">
        <f t="array" ref="T456">SUM(E456+O456:Q456)</f>
        <v>255915</v>
      </c>
    </row>
    <row r="457" spans="1:20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 xml:space="preserve"> COUNTIF(deals_closed!D:D,A457)</f>
        <v>23</v>
      </c>
      <c r="G457" s="5">
        <f>SUMIF(deals_closed!D:D, calculations!A457, deals_closed!C:C)</f>
        <v>726495</v>
      </c>
      <c r="H457" s="5">
        <f>VLOOKUP(D457,'2018_commission_structure'!$A$2:$I$4,9,FALSE)</f>
        <v>500000</v>
      </c>
      <c r="I457" s="9">
        <f t="shared" si="42"/>
        <v>625000</v>
      </c>
      <c r="J457" s="8">
        <f t="shared" si="43"/>
        <v>750000</v>
      </c>
      <c r="K457" s="9">
        <f t="shared" si="44"/>
        <v>1000000</v>
      </c>
      <c r="L457" s="10">
        <f t="shared" si="45"/>
        <v>1.45299</v>
      </c>
      <c r="M457" t="str">
        <f t="shared" si="46"/>
        <v>125-150%</v>
      </c>
      <c r="N457" s="9">
        <f>MIN(H457, G457)*INDEX('2018_commission_structure'!$A$1:$I$4,
MATCH($D457, '2018_commission_structure'!$A$1:$A$4,0),
MATCH(N$1, '2018_commission_structure'!$A$1:$I$1,0))</f>
        <v>50000</v>
      </c>
      <c r="O457" s="11">
        <f>IF(G457&gt;H457, MIN(G457-H457, I457-H457)*
INDEX('2018_commission_structure'!$A$1:$I$4,
MATCH($D457, '2018_commission_structure'!$A$1:$A$4, 0),
MATCH(O$1, '2018_commission_structure'!$A$1:$I$1, 0)), 0)</f>
        <v>18750</v>
      </c>
      <c r="P457" s="11">
        <f>IF(G457&gt;H457, MIN(G457-H457, J457-H457)*
INDEX('2018_commission_structure'!$A$1:$I$4,
MATCH($D457, '2018_commission_structure'!$A$1:$A$4, 0),
MATCH(O$1, '2018_commission_structure'!$A$1:$I$1, 0)), 0)</f>
        <v>33974.25</v>
      </c>
      <c r="Q457" s="11">
        <f>IF(G457&gt;H457, MIN(G457-H457, I457-H457)*
INDEX('2018_commission_structure'!$A$1:$I$4,
MATCH($D457, '2018_commission_structure'!$A$1:$A$4, 0),
MATCH(P$1, '2018_commission_structure'!$A$1:$I$1, 0)), 0)</f>
        <v>22500</v>
      </c>
      <c r="R457" s="11">
        <f>IF(G457&gt;K457, (G457-K457) *
INDEX('2018_commission_structure'!$A$1:$I$4,
MATCH($D457, '2018_commission_structure'!$A$1:$A$4,0),
MATCH(R$1, '2018_commission_structure'!$A$1:$I$1,0)), 0)</f>
        <v>0</v>
      </c>
      <c r="S457" s="11">
        <f t="shared" si="47"/>
        <v>75224.25</v>
      </c>
      <c r="T457" s="11" cm="1">
        <f t="array" ref="T457">SUM(E457+O457:Q457)</f>
        <v>220922.25</v>
      </c>
    </row>
    <row r="458" spans="1:20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 xml:space="preserve"> COUNTIF(deals_closed!D:D,A458)</f>
        <v>25</v>
      </c>
      <c r="G458" s="5">
        <f>SUMIF(deals_closed!D:D, calculations!A458, deals_closed!C:C)</f>
        <v>938038</v>
      </c>
      <c r="H458" s="5">
        <f>VLOOKUP(D458,'2018_commission_structure'!$A$2:$I$4,9,FALSE)</f>
        <v>750000</v>
      </c>
      <c r="I458" s="9">
        <f t="shared" si="42"/>
        <v>937500</v>
      </c>
      <c r="J458" s="8">
        <f t="shared" si="43"/>
        <v>1125000</v>
      </c>
      <c r="K458" s="9">
        <f t="shared" si="44"/>
        <v>1500000</v>
      </c>
      <c r="L458" s="10">
        <f t="shared" si="45"/>
        <v>1.2507173333333332</v>
      </c>
      <c r="M458" t="str">
        <f t="shared" si="46"/>
        <v>125-150%</v>
      </c>
      <c r="N458" s="9">
        <f>MIN(H458, G458)*INDEX('2018_commission_structure'!$A$1:$I$4,
MATCH($D458, '2018_commission_structure'!$A$1:$A$4,0),
MATCH(N$1, '2018_commission_structure'!$A$1:$I$1,0))</f>
        <v>112500</v>
      </c>
      <c r="O458" s="11">
        <f>IF(G458&gt;H458, MIN(G458-H458, I458-H458)*
INDEX('2018_commission_structure'!$A$1:$I$4,
MATCH($D458, '2018_commission_structure'!$A$1:$A$4, 0),
MATCH(O$1, '2018_commission_structure'!$A$1:$I$1, 0)), 0)</f>
        <v>35625</v>
      </c>
      <c r="P458" s="11">
        <f>IF(G458&gt;H458, MIN(G458-H458, J458-H458)*
INDEX('2018_commission_structure'!$A$1:$I$4,
MATCH($D458, '2018_commission_structure'!$A$1:$A$4, 0),
MATCH(O$1, '2018_commission_structure'!$A$1:$I$1, 0)), 0)</f>
        <v>35727.22</v>
      </c>
      <c r="Q458" s="11">
        <f>IF(G458&gt;H458, MIN(G458-H458, I458-H458)*
INDEX('2018_commission_structure'!$A$1:$I$4,
MATCH($D458, '2018_commission_structure'!$A$1:$A$4, 0),
MATCH(P$1, '2018_commission_structure'!$A$1:$I$1, 0)), 0)</f>
        <v>43125</v>
      </c>
      <c r="R458" s="11">
        <f>IF(G458&gt;K458, (G458-K458) *
INDEX('2018_commission_structure'!$A$1:$I$4,
MATCH($D458, '2018_commission_structure'!$A$1:$A$4,0),
MATCH(R$1, '2018_commission_structure'!$A$1:$I$1,0)), 0)</f>
        <v>0</v>
      </c>
      <c r="S458" s="11">
        <f t="shared" si="47"/>
        <v>114477.22</v>
      </c>
      <c r="T458" s="11" cm="1">
        <f t="array" ref="T458">SUM(E458+O458:Q458)</f>
        <v>405261.22</v>
      </c>
    </row>
    <row r="459" spans="1:20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 xml:space="preserve"> COUNTIF(deals_closed!D:D,A459)</f>
        <v>23</v>
      </c>
      <c r="G459" s="5">
        <f>SUMIF(deals_closed!D:D, calculations!A459, deals_closed!C:C)</f>
        <v>818109</v>
      </c>
      <c r="H459" s="5">
        <f>VLOOKUP(D459,'2018_commission_structure'!$A$2:$I$4,9,FALSE)</f>
        <v>500000</v>
      </c>
      <c r="I459" s="9">
        <f t="shared" si="42"/>
        <v>625000</v>
      </c>
      <c r="J459" s="8">
        <f t="shared" si="43"/>
        <v>750000</v>
      </c>
      <c r="K459" s="9">
        <f t="shared" si="44"/>
        <v>1000000</v>
      </c>
      <c r="L459" s="10">
        <f t="shared" si="45"/>
        <v>1.636218</v>
      </c>
      <c r="M459" t="str">
        <f t="shared" si="46"/>
        <v>150-200%</v>
      </c>
      <c r="N459" s="9">
        <f>MIN(H459, G459)*INDEX('2018_commission_structure'!$A$1:$I$4,
MATCH($D459, '2018_commission_structure'!$A$1:$A$4,0),
MATCH(N$1, '2018_commission_structure'!$A$1:$I$1,0))</f>
        <v>50000</v>
      </c>
      <c r="O459" s="11">
        <f>IF(G459&gt;H459, MIN(G459-H459, I459-H459)*
INDEX('2018_commission_structure'!$A$1:$I$4,
MATCH($D459, '2018_commission_structure'!$A$1:$A$4, 0),
MATCH(O$1, '2018_commission_structure'!$A$1:$I$1, 0)), 0)</f>
        <v>18750</v>
      </c>
      <c r="P459" s="11">
        <f>IF(G459&gt;H459, MIN(G459-H459, J459-H459)*
INDEX('2018_commission_structure'!$A$1:$I$4,
MATCH($D459, '2018_commission_structure'!$A$1:$A$4, 0),
MATCH(O$1, '2018_commission_structure'!$A$1:$I$1, 0)), 0)</f>
        <v>37500</v>
      </c>
      <c r="Q459" s="11">
        <f>IF(G459&gt;H459, MIN(G459-H459, I459-H459)*
INDEX('2018_commission_structure'!$A$1:$I$4,
MATCH($D459, '2018_commission_structure'!$A$1:$A$4, 0),
MATCH(P$1, '2018_commission_structure'!$A$1:$I$1, 0)), 0)</f>
        <v>22500</v>
      </c>
      <c r="R459" s="11">
        <f>IF(G459&gt;K459, (G459-K459) *
INDEX('2018_commission_structure'!$A$1:$I$4,
MATCH($D459, '2018_commission_structure'!$A$1:$A$4,0),
MATCH(R$1, '2018_commission_structure'!$A$1:$I$1,0)), 0)</f>
        <v>0</v>
      </c>
      <c r="S459" s="11">
        <f t="shared" si="47"/>
        <v>78750</v>
      </c>
      <c r="T459" s="11" cm="1">
        <f t="array" ref="T459">SUM(E459+O459:Q459)</f>
        <v>222243</v>
      </c>
    </row>
    <row r="460" spans="1:20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 xml:space="preserve"> COUNTIF(deals_closed!D:D,A460)</f>
        <v>15</v>
      </c>
      <c r="G460" s="5">
        <f>SUMIF(deals_closed!D:D, calculations!A460, deals_closed!C:C)</f>
        <v>403196</v>
      </c>
      <c r="H460" s="5">
        <f>VLOOKUP(D460,'2018_commission_structure'!$A$2:$I$4,9,FALSE)</f>
        <v>750000</v>
      </c>
      <c r="I460" s="9">
        <f t="shared" si="42"/>
        <v>937500</v>
      </c>
      <c r="J460" s="8">
        <f t="shared" si="43"/>
        <v>1125000</v>
      </c>
      <c r="K460" s="9">
        <f t="shared" si="44"/>
        <v>1500000</v>
      </c>
      <c r="L460" s="10">
        <f t="shared" si="45"/>
        <v>0.53759466666666667</v>
      </c>
      <c r="M460" t="str">
        <f t="shared" si="46"/>
        <v>0-100%</v>
      </c>
      <c r="N460" s="9">
        <f>MIN(H460, G460)*INDEX('2018_commission_structure'!$A$1:$I$4,
MATCH($D460, '2018_commission_structure'!$A$1:$A$4,0),
MATCH(N$1, '2018_commission_structure'!$A$1:$I$1,0))</f>
        <v>60479.399999999994</v>
      </c>
      <c r="O460" s="11">
        <f>IF(G460&gt;H460, MIN(G460-H460, I460-H460)*
INDEX('2018_commission_structure'!$A$1:$I$4,
MATCH($D460, '2018_commission_structure'!$A$1:$A$4, 0),
MATCH(O$1, '2018_commission_structure'!$A$1:$I$1, 0)), 0)</f>
        <v>0</v>
      </c>
      <c r="P460" s="11">
        <f>IF(G460&gt;H460, MIN(G460-H460, J460-H460)*
INDEX('2018_commission_structure'!$A$1:$I$4,
MATCH($D460, '2018_commission_structure'!$A$1:$A$4, 0),
MATCH(O$1, '2018_commission_structure'!$A$1:$I$1, 0)), 0)</f>
        <v>0</v>
      </c>
      <c r="Q460" s="11">
        <f>IF(G460&gt;H460, MIN(G460-H460, I460-H460)*
INDEX('2018_commission_structure'!$A$1:$I$4,
MATCH($D460, '2018_commission_structure'!$A$1:$A$4, 0),
MATCH(P$1, '2018_commission_structure'!$A$1:$I$1, 0)), 0)</f>
        <v>0</v>
      </c>
      <c r="R460" s="11">
        <f>IF(G460&gt;K460, (G460-K460) *
INDEX('2018_commission_structure'!$A$1:$I$4,
MATCH($D460, '2018_commission_structure'!$A$1:$A$4,0),
MATCH(R$1, '2018_commission_structure'!$A$1:$I$1,0)), 0)</f>
        <v>0</v>
      </c>
      <c r="S460" s="11">
        <f t="shared" si="47"/>
        <v>0</v>
      </c>
      <c r="T460" s="11" cm="1">
        <f t="array" ref="T460">SUM(E460+O460:Q460)</f>
        <v>225972</v>
      </c>
    </row>
    <row r="461" spans="1:20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 xml:space="preserve"> COUNTIF(deals_closed!D:D,A461)</f>
        <v>20</v>
      </c>
      <c r="G461" s="5">
        <f>SUMIF(deals_closed!D:D, calculations!A461, deals_closed!C:C)</f>
        <v>638419</v>
      </c>
      <c r="H461" s="5">
        <f>VLOOKUP(D461,'2018_commission_structure'!$A$2:$I$4,9,FALSE)</f>
        <v>750000</v>
      </c>
      <c r="I461" s="9">
        <f t="shared" si="42"/>
        <v>937500</v>
      </c>
      <c r="J461" s="8">
        <f t="shared" si="43"/>
        <v>1125000</v>
      </c>
      <c r="K461" s="9">
        <f t="shared" si="44"/>
        <v>1500000</v>
      </c>
      <c r="L461" s="10">
        <f t="shared" si="45"/>
        <v>0.85122533333333328</v>
      </c>
      <c r="M461" t="str">
        <f t="shared" si="46"/>
        <v>0-100%</v>
      </c>
      <c r="N461" s="9">
        <f>MIN(H461, G461)*INDEX('2018_commission_structure'!$A$1:$I$4,
MATCH($D461, '2018_commission_structure'!$A$1:$A$4,0),
MATCH(N$1, '2018_commission_structure'!$A$1:$I$1,0))</f>
        <v>95762.849999999991</v>
      </c>
      <c r="O461" s="11">
        <f>IF(G461&gt;H461, MIN(G461-H461, I461-H461)*
INDEX('2018_commission_structure'!$A$1:$I$4,
MATCH($D461, '2018_commission_structure'!$A$1:$A$4, 0),
MATCH(O$1, '2018_commission_structure'!$A$1:$I$1, 0)), 0)</f>
        <v>0</v>
      </c>
      <c r="P461" s="11">
        <f>IF(G461&gt;H461, MIN(G461-H461, J461-H461)*
INDEX('2018_commission_structure'!$A$1:$I$4,
MATCH($D461, '2018_commission_structure'!$A$1:$A$4, 0),
MATCH(O$1, '2018_commission_structure'!$A$1:$I$1, 0)), 0)</f>
        <v>0</v>
      </c>
      <c r="Q461" s="11">
        <f>IF(G461&gt;H461, MIN(G461-H461, I461-H461)*
INDEX('2018_commission_structure'!$A$1:$I$4,
MATCH($D461, '2018_commission_structure'!$A$1:$A$4, 0),
MATCH(P$1, '2018_commission_structure'!$A$1:$I$1, 0)), 0)</f>
        <v>0</v>
      </c>
      <c r="R461" s="11">
        <f>IF(G461&gt;K461, (G461-K461) *
INDEX('2018_commission_structure'!$A$1:$I$4,
MATCH($D461, '2018_commission_structure'!$A$1:$A$4,0),
MATCH(R$1, '2018_commission_structure'!$A$1:$I$1,0)), 0)</f>
        <v>0</v>
      </c>
      <c r="S461" s="11">
        <f t="shared" si="47"/>
        <v>0</v>
      </c>
      <c r="T461" s="11" cm="1">
        <f t="array" ref="T461">SUM(E461+O461:Q461)</f>
        <v>291390</v>
      </c>
    </row>
    <row r="462" spans="1:20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 xml:space="preserve"> COUNTIF(deals_closed!D:D,A462)</f>
        <v>19</v>
      </c>
      <c r="G462" s="5">
        <f>SUMIF(deals_closed!D:D, calculations!A462, deals_closed!C:C)</f>
        <v>605319</v>
      </c>
      <c r="H462" s="5">
        <f>VLOOKUP(D462,'2018_commission_structure'!$A$2:$I$4,9,FALSE)</f>
        <v>600000</v>
      </c>
      <c r="I462" s="9">
        <f t="shared" si="42"/>
        <v>750000</v>
      </c>
      <c r="J462" s="8">
        <f t="shared" si="43"/>
        <v>900000</v>
      </c>
      <c r="K462" s="9">
        <f t="shared" si="44"/>
        <v>1200000</v>
      </c>
      <c r="L462" s="10">
        <f t="shared" si="45"/>
        <v>1.0088649999999999</v>
      </c>
      <c r="M462" t="str">
        <f t="shared" si="46"/>
        <v>100-125%</v>
      </c>
      <c r="N462" s="9">
        <f>MIN(H462, G462)*INDEX('2018_commission_structure'!$A$1:$I$4,
MATCH($D462, '2018_commission_structure'!$A$1:$A$4,0),
MATCH(N$1, '2018_commission_structure'!$A$1:$I$1,0))</f>
        <v>78000</v>
      </c>
      <c r="O462" s="11">
        <f>IF(G462&gt;H462, MIN(G462-H462, I462-H462)*
INDEX('2018_commission_structure'!$A$1:$I$4,
MATCH($D462, '2018_commission_structure'!$A$1:$A$4, 0),
MATCH(O$1, '2018_commission_structure'!$A$1:$I$1, 0)), 0)</f>
        <v>904.23</v>
      </c>
      <c r="P462" s="11">
        <f>IF(G462&gt;H462, MIN(G462-H462, J462-H462)*
INDEX('2018_commission_structure'!$A$1:$I$4,
MATCH($D462, '2018_commission_structure'!$A$1:$A$4, 0),
MATCH(O$1, '2018_commission_structure'!$A$1:$I$1, 0)), 0)</f>
        <v>904.23</v>
      </c>
      <c r="Q462" s="11">
        <f>IF(G462&gt;H462, MIN(G462-H462, I462-H462)*
INDEX('2018_commission_structure'!$A$1:$I$4,
MATCH($D462, '2018_commission_structure'!$A$1:$A$4, 0),
MATCH(P$1, '2018_commission_structure'!$A$1:$I$1, 0)), 0)</f>
        <v>1116.99</v>
      </c>
      <c r="R462" s="11">
        <f>IF(G462&gt;K462, (G462-K462) *
INDEX('2018_commission_structure'!$A$1:$I$4,
MATCH($D462, '2018_commission_structure'!$A$1:$A$4,0),
MATCH(R$1, '2018_commission_structure'!$A$1:$I$1,0)), 0)</f>
        <v>0</v>
      </c>
      <c r="S462" s="11">
        <f t="shared" si="47"/>
        <v>2925.45</v>
      </c>
      <c r="T462" s="11" cm="1">
        <f t="array" ref="T462">SUM(E462+O462:Q462)</f>
        <v>235020.45</v>
      </c>
    </row>
    <row r="463" spans="1:20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 xml:space="preserve"> COUNTIF(deals_closed!D:D,A463)</f>
        <v>20</v>
      </c>
      <c r="G463" s="5">
        <f>SUMIF(deals_closed!D:D, calculations!A463, deals_closed!C:C)</f>
        <v>727326</v>
      </c>
      <c r="H463" s="5">
        <f>VLOOKUP(D463,'2018_commission_structure'!$A$2:$I$4,9,FALSE)</f>
        <v>500000</v>
      </c>
      <c r="I463" s="9">
        <f t="shared" si="42"/>
        <v>625000</v>
      </c>
      <c r="J463" s="8">
        <f t="shared" si="43"/>
        <v>750000</v>
      </c>
      <c r="K463" s="9">
        <f t="shared" si="44"/>
        <v>1000000</v>
      </c>
      <c r="L463" s="10">
        <f t="shared" si="45"/>
        <v>1.4546520000000001</v>
      </c>
      <c r="M463" t="str">
        <f t="shared" si="46"/>
        <v>125-150%</v>
      </c>
      <c r="N463" s="9">
        <f>MIN(H463, G463)*INDEX('2018_commission_structure'!$A$1:$I$4,
MATCH($D463, '2018_commission_structure'!$A$1:$A$4,0),
MATCH(N$1, '2018_commission_structure'!$A$1:$I$1,0))</f>
        <v>50000</v>
      </c>
      <c r="O463" s="11">
        <f>IF(G463&gt;H463, MIN(G463-H463, I463-H463)*
INDEX('2018_commission_structure'!$A$1:$I$4,
MATCH($D463, '2018_commission_structure'!$A$1:$A$4, 0),
MATCH(O$1, '2018_commission_structure'!$A$1:$I$1, 0)), 0)</f>
        <v>18750</v>
      </c>
      <c r="P463" s="11">
        <f>IF(G463&gt;H463, MIN(G463-H463, J463-H463)*
INDEX('2018_commission_structure'!$A$1:$I$4,
MATCH($D463, '2018_commission_structure'!$A$1:$A$4, 0),
MATCH(O$1, '2018_commission_structure'!$A$1:$I$1, 0)), 0)</f>
        <v>34098.9</v>
      </c>
      <c r="Q463" s="11">
        <f>IF(G463&gt;H463, MIN(G463-H463, I463-H463)*
INDEX('2018_commission_structure'!$A$1:$I$4,
MATCH($D463, '2018_commission_structure'!$A$1:$A$4, 0),
MATCH(P$1, '2018_commission_structure'!$A$1:$I$1, 0)), 0)</f>
        <v>22500</v>
      </c>
      <c r="R463" s="11">
        <f>IF(G463&gt;K463, (G463-K463) *
INDEX('2018_commission_structure'!$A$1:$I$4,
MATCH($D463, '2018_commission_structure'!$A$1:$A$4,0),
MATCH(R$1, '2018_commission_structure'!$A$1:$I$1,0)), 0)</f>
        <v>0</v>
      </c>
      <c r="S463" s="11">
        <f t="shared" si="47"/>
        <v>75348.899999999994</v>
      </c>
      <c r="T463" s="11" cm="1">
        <f t="array" ref="T463">SUM(E463+O463:Q463)</f>
        <v>228951.9</v>
      </c>
    </row>
    <row r="464" spans="1:20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 xml:space="preserve"> COUNTIF(deals_closed!D:D,A464)</f>
        <v>21</v>
      </c>
      <c r="G464" s="5">
        <f>SUMIF(deals_closed!D:D, calculations!A464, deals_closed!C:C)</f>
        <v>635919</v>
      </c>
      <c r="H464" s="5">
        <f>VLOOKUP(D464,'2018_commission_structure'!$A$2:$I$4,9,FALSE)</f>
        <v>750000</v>
      </c>
      <c r="I464" s="9">
        <f t="shared" si="42"/>
        <v>937500</v>
      </c>
      <c r="J464" s="8">
        <f t="shared" si="43"/>
        <v>1125000</v>
      </c>
      <c r="K464" s="9">
        <f t="shared" si="44"/>
        <v>1500000</v>
      </c>
      <c r="L464" s="10">
        <f t="shared" si="45"/>
        <v>0.84789199999999998</v>
      </c>
      <c r="M464" t="str">
        <f t="shared" si="46"/>
        <v>0-100%</v>
      </c>
      <c r="N464" s="9">
        <f>MIN(H464, G464)*INDEX('2018_commission_structure'!$A$1:$I$4,
MATCH($D464, '2018_commission_structure'!$A$1:$A$4,0),
MATCH(N$1, '2018_commission_structure'!$A$1:$I$1,0))</f>
        <v>95387.849999999991</v>
      </c>
      <c r="O464" s="11">
        <f>IF(G464&gt;H464, MIN(G464-H464, I464-H464)*
INDEX('2018_commission_structure'!$A$1:$I$4,
MATCH($D464, '2018_commission_structure'!$A$1:$A$4, 0),
MATCH(O$1, '2018_commission_structure'!$A$1:$I$1, 0)), 0)</f>
        <v>0</v>
      </c>
      <c r="P464" s="11">
        <f>IF(G464&gt;H464, MIN(G464-H464, J464-H464)*
INDEX('2018_commission_structure'!$A$1:$I$4,
MATCH($D464, '2018_commission_structure'!$A$1:$A$4, 0),
MATCH(O$1, '2018_commission_structure'!$A$1:$I$1, 0)), 0)</f>
        <v>0</v>
      </c>
      <c r="Q464" s="11">
        <f>IF(G464&gt;H464, MIN(G464-H464, I464-H464)*
INDEX('2018_commission_structure'!$A$1:$I$4,
MATCH($D464, '2018_commission_structure'!$A$1:$A$4, 0),
MATCH(P$1, '2018_commission_structure'!$A$1:$I$1, 0)), 0)</f>
        <v>0</v>
      </c>
      <c r="R464" s="11">
        <f>IF(G464&gt;K464, (G464-K464) *
INDEX('2018_commission_structure'!$A$1:$I$4,
MATCH($D464, '2018_commission_structure'!$A$1:$A$4,0),
MATCH(R$1, '2018_commission_structure'!$A$1:$I$1,0)), 0)</f>
        <v>0</v>
      </c>
      <c r="S464" s="11">
        <f t="shared" si="47"/>
        <v>0</v>
      </c>
      <c r="T464" s="11" cm="1">
        <f t="array" ref="T464">SUM(E464+O464:Q464)</f>
        <v>258465</v>
      </c>
    </row>
    <row r="465" spans="1:20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 xml:space="preserve"> COUNTIF(deals_closed!D:D,A465)</f>
        <v>23</v>
      </c>
      <c r="G465" s="5">
        <f>SUMIF(deals_closed!D:D, calculations!A465, deals_closed!C:C)</f>
        <v>795153</v>
      </c>
      <c r="H465" s="5">
        <f>VLOOKUP(D465,'2018_commission_structure'!$A$2:$I$4,9,FALSE)</f>
        <v>600000</v>
      </c>
      <c r="I465" s="9">
        <f t="shared" si="42"/>
        <v>750000</v>
      </c>
      <c r="J465" s="8">
        <f t="shared" si="43"/>
        <v>900000</v>
      </c>
      <c r="K465" s="9">
        <f t="shared" si="44"/>
        <v>1200000</v>
      </c>
      <c r="L465" s="10">
        <f t="shared" si="45"/>
        <v>1.3252550000000001</v>
      </c>
      <c r="M465" t="str">
        <f t="shared" si="46"/>
        <v>125-150%</v>
      </c>
      <c r="N465" s="9">
        <f>MIN(H465, G465)*INDEX('2018_commission_structure'!$A$1:$I$4,
MATCH($D465, '2018_commission_structure'!$A$1:$A$4,0),
MATCH(N$1, '2018_commission_structure'!$A$1:$I$1,0))</f>
        <v>78000</v>
      </c>
      <c r="O465" s="11">
        <f>IF(G465&gt;H465, MIN(G465-H465, I465-H465)*
INDEX('2018_commission_structure'!$A$1:$I$4,
MATCH($D465, '2018_commission_structure'!$A$1:$A$4, 0),
MATCH(O$1, '2018_commission_structure'!$A$1:$I$1, 0)), 0)</f>
        <v>25500.000000000004</v>
      </c>
      <c r="P465" s="11">
        <f>IF(G465&gt;H465, MIN(G465-H465, J465-H465)*
INDEX('2018_commission_structure'!$A$1:$I$4,
MATCH($D465, '2018_commission_structure'!$A$1:$A$4, 0),
MATCH(O$1, '2018_commission_structure'!$A$1:$I$1, 0)), 0)</f>
        <v>33176.01</v>
      </c>
      <c r="Q465" s="11">
        <f>IF(G465&gt;H465, MIN(G465-H465, I465-H465)*
INDEX('2018_commission_structure'!$A$1:$I$4,
MATCH($D465, '2018_commission_structure'!$A$1:$A$4, 0),
MATCH(P$1, '2018_commission_structure'!$A$1:$I$1, 0)), 0)</f>
        <v>31500</v>
      </c>
      <c r="R465" s="11">
        <f>IF(G465&gt;K465, (G465-K465) *
INDEX('2018_commission_structure'!$A$1:$I$4,
MATCH($D465, '2018_commission_structure'!$A$1:$A$4,0),
MATCH(R$1, '2018_commission_structure'!$A$1:$I$1,0)), 0)</f>
        <v>0</v>
      </c>
      <c r="S465" s="11">
        <f t="shared" si="47"/>
        <v>90176.010000000009</v>
      </c>
      <c r="T465" s="11" cm="1">
        <f t="array" ref="T465">SUM(E465+O465:Q465)</f>
        <v>306527.01</v>
      </c>
    </row>
    <row r="466" spans="1:20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 xml:space="preserve"> COUNTIF(deals_closed!D:D,A466)</f>
        <v>19</v>
      </c>
      <c r="G466" s="5">
        <f>SUMIF(deals_closed!D:D, calculations!A466, deals_closed!C:C)</f>
        <v>691543</v>
      </c>
      <c r="H466" s="5">
        <f>VLOOKUP(D466,'2018_commission_structure'!$A$2:$I$4,9,FALSE)</f>
        <v>600000</v>
      </c>
      <c r="I466" s="9">
        <f t="shared" si="42"/>
        <v>750000</v>
      </c>
      <c r="J466" s="8">
        <f t="shared" si="43"/>
        <v>900000</v>
      </c>
      <c r="K466" s="9">
        <f t="shared" si="44"/>
        <v>1200000</v>
      </c>
      <c r="L466" s="10">
        <f t="shared" si="45"/>
        <v>1.1525716666666668</v>
      </c>
      <c r="M466" t="str">
        <f t="shared" si="46"/>
        <v>100-125%</v>
      </c>
      <c r="N466" s="9">
        <f>MIN(H466, G466)*INDEX('2018_commission_structure'!$A$1:$I$4,
MATCH($D466, '2018_commission_structure'!$A$1:$A$4,0),
MATCH(N$1, '2018_commission_structure'!$A$1:$I$1,0))</f>
        <v>78000</v>
      </c>
      <c r="O466" s="11">
        <f>IF(G466&gt;H466, MIN(G466-H466, I466-H466)*
INDEX('2018_commission_structure'!$A$1:$I$4,
MATCH($D466, '2018_commission_structure'!$A$1:$A$4, 0),
MATCH(O$1, '2018_commission_structure'!$A$1:$I$1, 0)), 0)</f>
        <v>15562.310000000001</v>
      </c>
      <c r="P466" s="11">
        <f>IF(G466&gt;H466, MIN(G466-H466, J466-H466)*
INDEX('2018_commission_structure'!$A$1:$I$4,
MATCH($D466, '2018_commission_structure'!$A$1:$A$4, 0),
MATCH(O$1, '2018_commission_structure'!$A$1:$I$1, 0)), 0)</f>
        <v>15562.310000000001</v>
      </c>
      <c r="Q466" s="11">
        <f>IF(G466&gt;H466, MIN(G466-H466, I466-H466)*
INDEX('2018_commission_structure'!$A$1:$I$4,
MATCH($D466, '2018_commission_structure'!$A$1:$A$4, 0),
MATCH(P$1, '2018_commission_structure'!$A$1:$I$1, 0)), 0)</f>
        <v>19224.03</v>
      </c>
      <c r="R466" s="11">
        <f>IF(G466&gt;K466, (G466-K466) *
INDEX('2018_commission_structure'!$A$1:$I$4,
MATCH($D466, '2018_commission_structure'!$A$1:$A$4,0),
MATCH(R$1, '2018_commission_structure'!$A$1:$I$1,0)), 0)</f>
        <v>0</v>
      </c>
      <c r="S466" s="11">
        <f t="shared" si="47"/>
        <v>50348.65</v>
      </c>
      <c r="T466" s="11" cm="1">
        <f t="array" ref="T466">SUM(E466+O466:Q466)</f>
        <v>234503.65</v>
      </c>
    </row>
    <row r="467" spans="1:20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 xml:space="preserve"> COUNTIF(deals_closed!D:D,A467)</f>
        <v>24</v>
      </c>
      <c r="G467" s="5">
        <f>SUMIF(deals_closed!D:D, calculations!A467, deals_closed!C:C)</f>
        <v>846426</v>
      </c>
      <c r="H467" s="5">
        <f>VLOOKUP(D467,'2018_commission_structure'!$A$2:$I$4,9,FALSE)</f>
        <v>500000</v>
      </c>
      <c r="I467" s="9">
        <f t="shared" si="42"/>
        <v>625000</v>
      </c>
      <c r="J467" s="8">
        <f t="shared" si="43"/>
        <v>750000</v>
      </c>
      <c r="K467" s="9">
        <f t="shared" si="44"/>
        <v>1000000</v>
      </c>
      <c r="L467" s="10">
        <f t="shared" si="45"/>
        <v>1.692852</v>
      </c>
      <c r="M467" t="str">
        <f t="shared" si="46"/>
        <v>150-200%</v>
      </c>
      <c r="N467" s="9">
        <f>MIN(H467, G467)*INDEX('2018_commission_structure'!$A$1:$I$4,
MATCH($D467, '2018_commission_structure'!$A$1:$A$4,0),
MATCH(N$1, '2018_commission_structure'!$A$1:$I$1,0))</f>
        <v>50000</v>
      </c>
      <c r="O467" s="11">
        <f>IF(G467&gt;H467, MIN(G467-H467, I467-H467)*
INDEX('2018_commission_structure'!$A$1:$I$4,
MATCH($D467, '2018_commission_structure'!$A$1:$A$4, 0),
MATCH(O$1, '2018_commission_structure'!$A$1:$I$1, 0)), 0)</f>
        <v>18750</v>
      </c>
      <c r="P467" s="11">
        <f>IF(G467&gt;H467, MIN(G467-H467, J467-H467)*
INDEX('2018_commission_structure'!$A$1:$I$4,
MATCH($D467, '2018_commission_structure'!$A$1:$A$4, 0),
MATCH(O$1, '2018_commission_structure'!$A$1:$I$1, 0)), 0)</f>
        <v>37500</v>
      </c>
      <c r="Q467" s="11">
        <f>IF(G467&gt;H467, MIN(G467-H467, I467-H467)*
INDEX('2018_commission_structure'!$A$1:$I$4,
MATCH($D467, '2018_commission_structure'!$A$1:$A$4, 0),
MATCH(P$1, '2018_commission_structure'!$A$1:$I$1, 0)), 0)</f>
        <v>22500</v>
      </c>
      <c r="R467" s="11">
        <f>IF(G467&gt;K467, (G467-K467) *
INDEX('2018_commission_structure'!$A$1:$I$4,
MATCH($D467, '2018_commission_structure'!$A$1:$A$4,0),
MATCH(R$1, '2018_commission_structure'!$A$1:$I$1,0)), 0)</f>
        <v>0</v>
      </c>
      <c r="S467" s="11">
        <f t="shared" si="47"/>
        <v>78750</v>
      </c>
      <c r="T467" s="11" cm="1">
        <f t="array" ref="T467">SUM(E467+O467:Q467)</f>
        <v>251748</v>
      </c>
    </row>
    <row r="468" spans="1:20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 xml:space="preserve"> COUNTIF(deals_closed!D:D,A468)</f>
        <v>23</v>
      </c>
      <c r="G468" s="5">
        <f>SUMIF(deals_closed!D:D, calculations!A468, deals_closed!C:C)</f>
        <v>831538</v>
      </c>
      <c r="H468" s="5">
        <f>VLOOKUP(D468,'2018_commission_structure'!$A$2:$I$4,9,FALSE)</f>
        <v>600000</v>
      </c>
      <c r="I468" s="9">
        <f t="shared" si="42"/>
        <v>750000</v>
      </c>
      <c r="J468" s="8">
        <f t="shared" si="43"/>
        <v>900000</v>
      </c>
      <c r="K468" s="9">
        <f t="shared" si="44"/>
        <v>1200000</v>
      </c>
      <c r="L468" s="10">
        <f t="shared" si="45"/>
        <v>1.3858966666666668</v>
      </c>
      <c r="M468" t="str">
        <f t="shared" si="46"/>
        <v>125-150%</v>
      </c>
      <c r="N468" s="9">
        <f>MIN(H468, G468)*INDEX('2018_commission_structure'!$A$1:$I$4,
MATCH($D468, '2018_commission_structure'!$A$1:$A$4,0),
MATCH(N$1, '2018_commission_structure'!$A$1:$I$1,0))</f>
        <v>78000</v>
      </c>
      <c r="O468" s="11">
        <f>IF(G468&gt;H468, MIN(G468-H468, I468-H468)*
INDEX('2018_commission_structure'!$A$1:$I$4,
MATCH($D468, '2018_commission_structure'!$A$1:$A$4, 0),
MATCH(O$1, '2018_commission_structure'!$A$1:$I$1, 0)), 0)</f>
        <v>25500.000000000004</v>
      </c>
      <c r="P468" s="11">
        <f>IF(G468&gt;H468, MIN(G468-H468, J468-H468)*
INDEX('2018_commission_structure'!$A$1:$I$4,
MATCH($D468, '2018_commission_structure'!$A$1:$A$4, 0),
MATCH(O$1, '2018_commission_structure'!$A$1:$I$1, 0)), 0)</f>
        <v>39361.460000000006</v>
      </c>
      <c r="Q468" s="11">
        <f>IF(G468&gt;H468, MIN(G468-H468, I468-H468)*
INDEX('2018_commission_structure'!$A$1:$I$4,
MATCH($D468, '2018_commission_structure'!$A$1:$A$4, 0),
MATCH(P$1, '2018_commission_structure'!$A$1:$I$1, 0)), 0)</f>
        <v>31500</v>
      </c>
      <c r="R468" s="11">
        <f>IF(G468&gt;K468, (G468-K468) *
INDEX('2018_commission_structure'!$A$1:$I$4,
MATCH($D468, '2018_commission_structure'!$A$1:$A$4,0),
MATCH(R$1, '2018_commission_structure'!$A$1:$I$1,0)), 0)</f>
        <v>0</v>
      </c>
      <c r="S468" s="11">
        <f t="shared" si="47"/>
        <v>96361.46</v>
      </c>
      <c r="T468" s="11" cm="1">
        <f t="array" ref="T468">SUM(E468+O468:Q468)</f>
        <v>263770.46000000002</v>
      </c>
    </row>
    <row r="469" spans="1:20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 xml:space="preserve"> COUNTIF(deals_closed!D:D,A469)</f>
        <v>17</v>
      </c>
      <c r="G469" s="5">
        <f>SUMIF(deals_closed!D:D, calculations!A469, deals_closed!C:C)</f>
        <v>613323</v>
      </c>
      <c r="H469" s="5">
        <f>VLOOKUP(D469,'2018_commission_structure'!$A$2:$I$4,9,FALSE)</f>
        <v>600000</v>
      </c>
      <c r="I469" s="9">
        <f t="shared" si="42"/>
        <v>750000</v>
      </c>
      <c r="J469" s="8">
        <f t="shared" si="43"/>
        <v>900000</v>
      </c>
      <c r="K469" s="9">
        <f t="shared" si="44"/>
        <v>1200000</v>
      </c>
      <c r="L469" s="10">
        <f t="shared" si="45"/>
        <v>1.022205</v>
      </c>
      <c r="M469" t="str">
        <f t="shared" si="46"/>
        <v>100-125%</v>
      </c>
      <c r="N469" s="9">
        <f>MIN(H469, G469)*INDEX('2018_commission_structure'!$A$1:$I$4,
MATCH($D469, '2018_commission_structure'!$A$1:$A$4,0),
MATCH(N$1, '2018_commission_structure'!$A$1:$I$1,0))</f>
        <v>78000</v>
      </c>
      <c r="O469" s="11">
        <f>IF(G469&gt;H469, MIN(G469-H469, I469-H469)*
INDEX('2018_commission_structure'!$A$1:$I$4,
MATCH($D469, '2018_commission_structure'!$A$1:$A$4, 0),
MATCH(O$1, '2018_commission_structure'!$A$1:$I$1, 0)), 0)</f>
        <v>2264.9100000000003</v>
      </c>
      <c r="P469" s="11">
        <f>IF(G469&gt;H469, MIN(G469-H469, J469-H469)*
INDEX('2018_commission_structure'!$A$1:$I$4,
MATCH($D469, '2018_commission_structure'!$A$1:$A$4, 0),
MATCH(O$1, '2018_commission_structure'!$A$1:$I$1, 0)), 0)</f>
        <v>2264.9100000000003</v>
      </c>
      <c r="Q469" s="11">
        <f>IF(G469&gt;H469, MIN(G469-H469, I469-H469)*
INDEX('2018_commission_structure'!$A$1:$I$4,
MATCH($D469, '2018_commission_structure'!$A$1:$A$4, 0),
MATCH(P$1, '2018_commission_structure'!$A$1:$I$1, 0)), 0)</f>
        <v>2797.83</v>
      </c>
      <c r="R469" s="11">
        <f>IF(G469&gt;K469, (G469-K469) *
INDEX('2018_commission_structure'!$A$1:$I$4,
MATCH($D469, '2018_commission_structure'!$A$1:$A$4,0),
MATCH(R$1, '2018_commission_structure'!$A$1:$I$1,0)), 0)</f>
        <v>0</v>
      </c>
      <c r="S469" s="11">
        <f t="shared" si="47"/>
        <v>7327.6500000000005</v>
      </c>
      <c r="T469" s="11" cm="1">
        <f t="array" ref="T469">SUM(E469+O469:Q469)</f>
        <v>229363.65000000002</v>
      </c>
    </row>
    <row r="470" spans="1:20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 xml:space="preserve"> COUNTIF(deals_closed!D:D,A470)</f>
        <v>14</v>
      </c>
      <c r="G470" s="5">
        <f>SUMIF(deals_closed!D:D, calculations!A470, deals_closed!C:C)</f>
        <v>414450</v>
      </c>
      <c r="H470" s="5">
        <f>VLOOKUP(D470,'2018_commission_structure'!$A$2:$I$4,9,FALSE)</f>
        <v>500000</v>
      </c>
      <c r="I470" s="9">
        <f t="shared" si="42"/>
        <v>625000</v>
      </c>
      <c r="J470" s="8">
        <f t="shared" si="43"/>
        <v>750000</v>
      </c>
      <c r="K470" s="9">
        <f t="shared" si="44"/>
        <v>1000000</v>
      </c>
      <c r="L470" s="10">
        <f t="shared" si="45"/>
        <v>0.82889999999999997</v>
      </c>
      <c r="M470" t="str">
        <f t="shared" si="46"/>
        <v>0-100%</v>
      </c>
      <c r="N470" s="9">
        <f>MIN(H470, G470)*INDEX('2018_commission_structure'!$A$1:$I$4,
MATCH($D470, '2018_commission_structure'!$A$1:$A$4,0),
MATCH(N$1, '2018_commission_structure'!$A$1:$I$1,0))</f>
        <v>41445</v>
      </c>
      <c r="O470" s="11">
        <f>IF(G470&gt;H470, MIN(G470-H470, I470-H470)*
INDEX('2018_commission_structure'!$A$1:$I$4,
MATCH($D470, '2018_commission_structure'!$A$1:$A$4, 0),
MATCH(O$1, '2018_commission_structure'!$A$1:$I$1, 0)), 0)</f>
        <v>0</v>
      </c>
      <c r="P470" s="11">
        <f>IF(G470&gt;H470, MIN(G470-H470, J470-H470)*
INDEX('2018_commission_structure'!$A$1:$I$4,
MATCH($D470, '2018_commission_structure'!$A$1:$A$4, 0),
MATCH(O$1, '2018_commission_structure'!$A$1:$I$1, 0)), 0)</f>
        <v>0</v>
      </c>
      <c r="Q470" s="11">
        <f>IF(G470&gt;H470, MIN(G470-H470, I470-H470)*
INDEX('2018_commission_structure'!$A$1:$I$4,
MATCH($D470, '2018_commission_structure'!$A$1:$A$4, 0),
MATCH(P$1, '2018_commission_structure'!$A$1:$I$1, 0)), 0)</f>
        <v>0</v>
      </c>
      <c r="R470" s="11">
        <f>IF(G470&gt;K470, (G470-K470) *
INDEX('2018_commission_structure'!$A$1:$I$4,
MATCH($D470, '2018_commission_structure'!$A$1:$A$4,0),
MATCH(R$1, '2018_commission_structure'!$A$1:$I$1,0)), 0)</f>
        <v>0</v>
      </c>
      <c r="S470" s="11">
        <f t="shared" si="47"/>
        <v>0</v>
      </c>
      <c r="T470" s="11" cm="1">
        <f t="array" ref="T470">SUM(E470+O470:Q470)</f>
        <v>147750</v>
      </c>
    </row>
    <row r="471" spans="1:20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 xml:space="preserve"> COUNTIF(deals_closed!D:D,A471)</f>
        <v>19</v>
      </c>
      <c r="G471" s="5">
        <f>SUMIF(deals_closed!D:D, calculations!A471, deals_closed!C:C)</f>
        <v>578752</v>
      </c>
      <c r="H471" s="5">
        <f>VLOOKUP(D471,'2018_commission_structure'!$A$2:$I$4,9,FALSE)</f>
        <v>500000</v>
      </c>
      <c r="I471" s="9">
        <f t="shared" si="42"/>
        <v>625000</v>
      </c>
      <c r="J471" s="8">
        <f t="shared" si="43"/>
        <v>750000</v>
      </c>
      <c r="K471" s="9">
        <f t="shared" si="44"/>
        <v>1000000</v>
      </c>
      <c r="L471" s="10">
        <f t="shared" si="45"/>
        <v>1.1575040000000001</v>
      </c>
      <c r="M471" t="str">
        <f t="shared" si="46"/>
        <v>100-125%</v>
      </c>
      <c r="N471" s="9">
        <f>MIN(H471, G471)*INDEX('2018_commission_structure'!$A$1:$I$4,
MATCH($D471, '2018_commission_structure'!$A$1:$A$4,0),
MATCH(N$1, '2018_commission_structure'!$A$1:$I$1,0))</f>
        <v>50000</v>
      </c>
      <c r="O471" s="11">
        <f>IF(G471&gt;H471, MIN(G471-H471, I471-H471)*
INDEX('2018_commission_structure'!$A$1:$I$4,
MATCH($D471, '2018_commission_structure'!$A$1:$A$4, 0),
MATCH(O$1, '2018_commission_structure'!$A$1:$I$1, 0)), 0)</f>
        <v>11812.8</v>
      </c>
      <c r="P471" s="11">
        <f>IF(G471&gt;H471, MIN(G471-H471, J471-H471)*
INDEX('2018_commission_structure'!$A$1:$I$4,
MATCH($D471, '2018_commission_structure'!$A$1:$A$4, 0),
MATCH(O$1, '2018_commission_structure'!$A$1:$I$1, 0)), 0)</f>
        <v>11812.8</v>
      </c>
      <c r="Q471" s="11">
        <f>IF(G471&gt;H471, MIN(G471-H471, I471-H471)*
INDEX('2018_commission_structure'!$A$1:$I$4,
MATCH($D471, '2018_commission_structure'!$A$1:$A$4, 0),
MATCH(P$1, '2018_commission_structure'!$A$1:$I$1, 0)), 0)</f>
        <v>14175.359999999999</v>
      </c>
      <c r="R471" s="11">
        <f>IF(G471&gt;K471, (G471-K471) *
INDEX('2018_commission_structure'!$A$1:$I$4,
MATCH($D471, '2018_commission_structure'!$A$1:$A$4,0),
MATCH(R$1, '2018_commission_structure'!$A$1:$I$1,0)), 0)</f>
        <v>0</v>
      </c>
      <c r="S471" s="11">
        <f t="shared" si="47"/>
        <v>37800.959999999999</v>
      </c>
      <c r="T471" s="11" cm="1">
        <f t="array" ref="T471">SUM(E471+O471:Q471)</f>
        <v>202434.96000000002</v>
      </c>
    </row>
    <row r="472" spans="1:20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 xml:space="preserve"> COUNTIF(deals_closed!D:D,A472)</f>
        <v>13</v>
      </c>
      <c r="G472" s="5">
        <f>SUMIF(deals_closed!D:D, calculations!A472, deals_closed!C:C)</f>
        <v>397145</v>
      </c>
      <c r="H472" s="5">
        <f>VLOOKUP(D472,'2018_commission_structure'!$A$2:$I$4,9,FALSE)</f>
        <v>500000</v>
      </c>
      <c r="I472" s="9">
        <f t="shared" si="42"/>
        <v>625000</v>
      </c>
      <c r="J472" s="8">
        <f t="shared" si="43"/>
        <v>750000</v>
      </c>
      <c r="K472" s="9">
        <f t="shared" si="44"/>
        <v>1000000</v>
      </c>
      <c r="L472" s="10">
        <f t="shared" si="45"/>
        <v>0.79429000000000005</v>
      </c>
      <c r="M472" t="str">
        <f t="shared" si="46"/>
        <v>0-100%</v>
      </c>
      <c r="N472" s="9">
        <f>MIN(H472, G472)*INDEX('2018_commission_structure'!$A$1:$I$4,
MATCH($D472, '2018_commission_structure'!$A$1:$A$4,0),
MATCH(N$1, '2018_commission_structure'!$A$1:$I$1,0))</f>
        <v>39714.5</v>
      </c>
      <c r="O472" s="11">
        <f>IF(G472&gt;H472, MIN(G472-H472, I472-H472)*
INDEX('2018_commission_structure'!$A$1:$I$4,
MATCH($D472, '2018_commission_structure'!$A$1:$A$4, 0),
MATCH(O$1, '2018_commission_structure'!$A$1:$I$1, 0)), 0)</f>
        <v>0</v>
      </c>
      <c r="P472" s="11">
        <f>IF(G472&gt;H472, MIN(G472-H472, J472-H472)*
INDEX('2018_commission_structure'!$A$1:$I$4,
MATCH($D472, '2018_commission_structure'!$A$1:$A$4, 0),
MATCH(O$1, '2018_commission_structure'!$A$1:$I$1, 0)), 0)</f>
        <v>0</v>
      </c>
      <c r="Q472" s="11">
        <f>IF(G472&gt;H472, MIN(G472-H472, I472-H472)*
INDEX('2018_commission_structure'!$A$1:$I$4,
MATCH($D472, '2018_commission_structure'!$A$1:$A$4, 0),
MATCH(P$1, '2018_commission_structure'!$A$1:$I$1, 0)), 0)</f>
        <v>0</v>
      </c>
      <c r="R472" s="11">
        <f>IF(G472&gt;K472, (G472-K472) *
INDEX('2018_commission_structure'!$A$1:$I$4,
MATCH($D472, '2018_commission_structure'!$A$1:$A$4,0),
MATCH(R$1, '2018_commission_structure'!$A$1:$I$1,0)), 0)</f>
        <v>0</v>
      </c>
      <c r="S472" s="11">
        <f t="shared" si="47"/>
        <v>0</v>
      </c>
      <c r="T472" s="11" cm="1">
        <f t="array" ref="T472">SUM(E472+O472:Q472)</f>
        <v>160794</v>
      </c>
    </row>
    <row r="473" spans="1:20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 xml:space="preserve"> COUNTIF(deals_closed!D:D,A473)</f>
        <v>9</v>
      </c>
      <c r="G473" s="5">
        <f>SUMIF(deals_closed!D:D, calculations!A473, deals_closed!C:C)</f>
        <v>219869</v>
      </c>
      <c r="H473" s="5">
        <f>VLOOKUP(D473,'2018_commission_structure'!$A$2:$I$4,9,FALSE)</f>
        <v>500000</v>
      </c>
      <c r="I473" s="9">
        <f t="shared" si="42"/>
        <v>625000</v>
      </c>
      <c r="J473" s="8">
        <f t="shared" si="43"/>
        <v>750000</v>
      </c>
      <c r="K473" s="9">
        <f t="shared" si="44"/>
        <v>1000000</v>
      </c>
      <c r="L473" s="10">
        <f t="shared" si="45"/>
        <v>0.43973800000000002</v>
      </c>
      <c r="M473" t="str">
        <f t="shared" si="46"/>
        <v>0-100%</v>
      </c>
      <c r="N473" s="9">
        <f>MIN(H473, G473)*INDEX('2018_commission_structure'!$A$1:$I$4,
MATCH($D473, '2018_commission_structure'!$A$1:$A$4,0),
MATCH(N$1, '2018_commission_structure'!$A$1:$I$1,0))</f>
        <v>21986.9</v>
      </c>
      <c r="O473" s="11">
        <f>IF(G473&gt;H473, MIN(G473-H473, I473-H473)*
INDEX('2018_commission_structure'!$A$1:$I$4,
MATCH($D473, '2018_commission_structure'!$A$1:$A$4, 0),
MATCH(O$1, '2018_commission_structure'!$A$1:$I$1, 0)), 0)</f>
        <v>0</v>
      </c>
      <c r="P473" s="11">
        <f>IF(G473&gt;H473, MIN(G473-H473, J473-H473)*
INDEX('2018_commission_structure'!$A$1:$I$4,
MATCH($D473, '2018_commission_structure'!$A$1:$A$4, 0),
MATCH(O$1, '2018_commission_structure'!$A$1:$I$1, 0)), 0)</f>
        <v>0</v>
      </c>
      <c r="Q473" s="11">
        <f>IF(G473&gt;H473, MIN(G473-H473, I473-H473)*
INDEX('2018_commission_structure'!$A$1:$I$4,
MATCH($D473, '2018_commission_structure'!$A$1:$A$4, 0),
MATCH(P$1, '2018_commission_structure'!$A$1:$I$1, 0)), 0)</f>
        <v>0</v>
      </c>
      <c r="R473" s="11">
        <f>IF(G473&gt;K473, (G473-K473) *
INDEX('2018_commission_structure'!$A$1:$I$4,
MATCH($D473, '2018_commission_structure'!$A$1:$A$4,0),
MATCH(R$1, '2018_commission_structure'!$A$1:$I$1,0)), 0)</f>
        <v>0</v>
      </c>
      <c r="S473" s="11">
        <f t="shared" si="47"/>
        <v>0</v>
      </c>
      <c r="T473" s="11" cm="1">
        <f t="array" ref="T473">SUM(E473+O473:Q473)</f>
        <v>189972</v>
      </c>
    </row>
    <row r="474" spans="1:20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 xml:space="preserve"> COUNTIF(deals_closed!D:D,A474)</f>
        <v>19</v>
      </c>
      <c r="G474" s="5">
        <f>SUMIF(deals_closed!D:D, calculations!A474, deals_closed!C:C)</f>
        <v>558872</v>
      </c>
      <c r="H474" s="5">
        <f>VLOOKUP(D474,'2018_commission_structure'!$A$2:$I$4,9,FALSE)</f>
        <v>600000</v>
      </c>
      <c r="I474" s="9">
        <f t="shared" si="42"/>
        <v>750000</v>
      </c>
      <c r="J474" s="8">
        <f t="shared" si="43"/>
        <v>900000</v>
      </c>
      <c r="K474" s="9">
        <f t="shared" si="44"/>
        <v>1200000</v>
      </c>
      <c r="L474" s="10">
        <f t="shared" si="45"/>
        <v>0.93145333333333336</v>
      </c>
      <c r="M474" t="str">
        <f t="shared" si="46"/>
        <v>0-100%</v>
      </c>
      <c r="N474" s="9">
        <f>MIN(H474, G474)*INDEX('2018_commission_structure'!$A$1:$I$4,
MATCH($D474, '2018_commission_structure'!$A$1:$A$4,0),
MATCH(N$1, '2018_commission_structure'!$A$1:$I$1,0))</f>
        <v>72653.36</v>
      </c>
      <c r="O474" s="11">
        <f>IF(G474&gt;H474, MIN(G474-H474, I474-H474)*
INDEX('2018_commission_structure'!$A$1:$I$4,
MATCH($D474, '2018_commission_structure'!$A$1:$A$4, 0),
MATCH(O$1, '2018_commission_structure'!$A$1:$I$1, 0)), 0)</f>
        <v>0</v>
      </c>
      <c r="P474" s="11">
        <f>IF(G474&gt;H474, MIN(G474-H474, J474-H474)*
INDEX('2018_commission_structure'!$A$1:$I$4,
MATCH($D474, '2018_commission_structure'!$A$1:$A$4, 0),
MATCH(O$1, '2018_commission_structure'!$A$1:$I$1, 0)), 0)</f>
        <v>0</v>
      </c>
      <c r="Q474" s="11">
        <f>IF(G474&gt;H474, MIN(G474-H474, I474-H474)*
INDEX('2018_commission_structure'!$A$1:$I$4,
MATCH($D474, '2018_commission_structure'!$A$1:$A$4, 0),
MATCH(P$1, '2018_commission_structure'!$A$1:$I$1, 0)), 0)</f>
        <v>0</v>
      </c>
      <c r="R474" s="11">
        <f>IF(G474&gt;K474, (G474-K474) *
INDEX('2018_commission_structure'!$A$1:$I$4,
MATCH($D474, '2018_commission_structure'!$A$1:$A$4,0),
MATCH(R$1, '2018_commission_structure'!$A$1:$I$1,0)), 0)</f>
        <v>0</v>
      </c>
      <c r="S474" s="11">
        <f t="shared" si="47"/>
        <v>0</v>
      </c>
      <c r="T474" s="11" cm="1">
        <f t="array" ref="T474">SUM(E474+O474:Q474)</f>
        <v>197556</v>
      </c>
    </row>
    <row r="475" spans="1:20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 xml:space="preserve"> COUNTIF(deals_closed!D:D,A475)</f>
        <v>16</v>
      </c>
      <c r="G475" s="5">
        <f>SUMIF(deals_closed!D:D, calculations!A475, deals_closed!C:C)</f>
        <v>693280</v>
      </c>
      <c r="H475" s="5">
        <f>VLOOKUP(D475,'2018_commission_structure'!$A$2:$I$4,9,FALSE)</f>
        <v>500000</v>
      </c>
      <c r="I475" s="9">
        <f t="shared" si="42"/>
        <v>625000</v>
      </c>
      <c r="J475" s="8">
        <f t="shared" si="43"/>
        <v>750000</v>
      </c>
      <c r="K475" s="9">
        <f t="shared" si="44"/>
        <v>1000000</v>
      </c>
      <c r="L475" s="10">
        <f t="shared" si="45"/>
        <v>1.38656</v>
      </c>
      <c r="M475" t="str">
        <f t="shared" si="46"/>
        <v>125-150%</v>
      </c>
      <c r="N475" s="9">
        <f>MIN(H475, G475)*INDEX('2018_commission_structure'!$A$1:$I$4,
MATCH($D475, '2018_commission_structure'!$A$1:$A$4,0),
MATCH(N$1, '2018_commission_structure'!$A$1:$I$1,0))</f>
        <v>50000</v>
      </c>
      <c r="O475" s="11">
        <f>IF(G475&gt;H475, MIN(G475-H475, I475-H475)*
INDEX('2018_commission_structure'!$A$1:$I$4,
MATCH($D475, '2018_commission_structure'!$A$1:$A$4, 0),
MATCH(O$1, '2018_commission_structure'!$A$1:$I$1, 0)), 0)</f>
        <v>18750</v>
      </c>
      <c r="P475" s="11">
        <f>IF(G475&gt;H475, MIN(G475-H475, J475-H475)*
INDEX('2018_commission_structure'!$A$1:$I$4,
MATCH($D475, '2018_commission_structure'!$A$1:$A$4, 0),
MATCH(O$1, '2018_commission_structure'!$A$1:$I$1, 0)), 0)</f>
        <v>28992</v>
      </c>
      <c r="Q475" s="11">
        <f>IF(G475&gt;H475, MIN(G475-H475, I475-H475)*
INDEX('2018_commission_structure'!$A$1:$I$4,
MATCH($D475, '2018_commission_structure'!$A$1:$A$4, 0),
MATCH(P$1, '2018_commission_structure'!$A$1:$I$1, 0)), 0)</f>
        <v>22500</v>
      </c>
      <c r="R475" s="11">
        <f>IF(G475&gt;K475, (G475-K475) *
INDEX('2018_commission_structure'!$A$1:$I$4,
MATCH($D475, '2018_commission_structure'!$A$1:$A$4,0),
MATCH(R$1, '2018_commission_structure'!$A$1:$I$1,0)), 0)</f>
        <v>0</v>
      </c>
      <c r="S475" s="11">
        <f t="shared" si="47"/>
        <v>70242</v>
      </c>
      <c r="T475" s="11" cm="1">
        <f t="array" ref="T475">SUM(E475+O475:Q475)</f>
        <v>192582</v>
      </c>
    </row>
    <row r="476" spans="1:20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 xml:space="preserve"> COUNTIF(deals_closed!D:D,A476)</f>
        <v>27</v>
      </c>
      <c r="G476" s="5">
        <f>SUMIF(deals_closed!D:D, calculations!A476, deals_closed!C:C)</f>
        <v>831136</v>
      </c>
      <c r="H476" s="5">
        <f>VLOOKUP(D476,'2018_commission_structure'!$A$2:$I$4,9,FALSE)</f>
        <v>750000</v>
      </c>
      <c r="I476" s="9">
        <f t="shared" si="42"/>
        <v>937500</v>
      </c>
      <c r="J476" s="8">
        <f t="shared" si="43"/>
        <v>1125000</v>
      </c>
      <c r="K476" s="9">
        <f t="shared" si="44"/>
        <v>1500000</v>
      </c>
      <c r="L476" s="10">
        <f t="shared" si="45"/>
        <v>1.1081813333333332</v>
      </c>
      <c r="M476" t="str">
        <f t="shared" si="46"/>
        <v>100-125%</v>
      </c>
      <c r="N476" s="9">
        <f>MIN(H476, G476)*INDEX('2018_commission_structure'!$A$1:$I$4,
MATCH($D476, '2018_commission_structure'!$A$1:$A$4,0),
MATCH(N$1, '2018_commission_structure'!$A$1:$I$1,0))</f>
        <v>112500</v>
      </c>
      <c r="O476" s="11">
        <f>IF(G476&gt;H476, MIN(G476-H476, I476-H476)*
INDEX('2018_commission_structure'!$A$1:$I$4,
MATCH($D476, '2018_commission_structure'!$A$1:$A$4, 0),
MATCH(O$1, '2018_commission_structure'!$A$1:$I$1, 0)), 0)</f>
        <v>15415.84</v>
      </c>
      <c r="P476" s="11">
        <f>IF(G476&gt;H476, MIN(G476-H476, J476-H476)*
INDEX('2018_commission_structure'!$A$1:$I$4,
MATCH($D476, '2018_commission_structure'!$A$1:$A$4, 0),
MATCH(O$1, '2018_commission_structure'!$A$1:$I$1, 0)), 0)</f>
        <v>15415.84</v>
      </c>
      <c r="Q476" s="11">
        <f>IF(G476&gt;H476, MIN(G476-H476, I476-H476)*
INDEX('2018_commission_structure'!$A$1:$I$4,
MATCH($D476, '2018_commission_structure'!$A$1:$A$4, 0),
MATCH(P$1, '2018_commission_structure'!$A$1:$I$1, 0)), 0)</f>
        <v>18661.280000000002</v>
      </c>
      <c r="R476" s="11">
        <f>IF(G476&gt;K476, (G476-K476) *
INDEX('2018_commission_structure'!$A$1:$I$4,
MATCH($D476, '2018_commission_structure'!$A$1:$A$4,0),
MATCH(R$1, '2018_commission_structure'!$A$1:$I$1,0)), 0)</f>
        <v>0</v>
      </c>
      <c r="S476" s="11">
        <f t="shared" si="47"/>
        <v>49492.960000000006</v>
      </c>
      <c r="T476" s="11" cm="1">
        <f t="array" ref="T476">SUM(E476+O476:Q476)</f>
        <v>318412.95999999996</v>
      </c>
    </row>
    <row r="477" spans="1:20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 xml:space="preserve"> COUNTIF(deals_closed!D:D,A477)</f>
        <v>22</v>
      </c>
      <c r="G477" s="5">
        <f>SUMIF(deals_closed!D:D, calculations!A477, deals_closed!C:C)</f>
        <v>679482</v>
      </c>
      <c r="H477" s="5">
        <f>VLOOKUP(D477,'2018_commission_structure'!$A$2:$I$4,9,FALSE)</f>
        <v>600000</v>
      </c>
      <c r="I477" s="9">
        <f t="shared" si="42"/>
        <v>750000</v>
      </c>
      <c r="J477" s="8">
        <f t="shared" si="43"/>
        <v>900000</v>
      </c>
      <c r="K477" s="9">
        <f t="shared" si="44"/>
        <v>1200000</v>
      </c>
      <c r="L477" s="10">
        <f t="shared" si="45"/>
        <v>1.1324700000000001</v>
      </c>
      <c r="M477" t="str">
        <f t="shared" si="46"/>
        <v>100-125%</v>
      </c>
      <c r="N477" s="9">
        <f>MIN(H477, G477)*INDEX('2018_commission_structure'!$A$1:$I$4,
MATCH($D477, '2018_commission_structure'!$A$1:$A$4,0),
MATCH(N$1, '2018_commission_structure'!$A$1:$I$1,0))</f>
        <v>78000</v>
      </c>
      <c r="O477" s="11">
        <f>IF(G477&gt;H477, MIN(G477-H477, I477-H477)*
INDEX('2018_commission_structure'!$A$1:$I$4,
MATCH($D477, '2018_commission_structure'!$A$1:$A$4, 0),
MATCH(O$1, '2018_commission_structure'!$A$1:$I$1, 0)), 0)</f>
        <v>13511.94</v>
      </c>
      <c r="P477" s="11">
        <f>IF(G477&gt;H477, MIN(G477-H477, J477-H477)*
INDEX('2018_commission_structure'!$A$1:$I$4,
MATCH($D477, '2018_commission_structure'!$A$1:$A$4, 0),
MATCH(O$1, '2018_commission_structure'!$A$1:$I$1, 0)), 0)</f>
        <v>13511.94</v>
      </c>
      <c r="Q477" s="11">
        <f>IF(G477&gt;H477, MIN(G477-H477, I477-H477)*
INDEX('2018_commission_structure'!$A$1:$I$4,
MATCH($D477, '2018_commission_structure'!$A$1:$A$4, 0),
MATCH(P$1, '2018_commission_structure'!$A$1:$I$1, 0)), 0)</f>
        <v>16691.22</v>
      </c>
      <c r="R477" s="11">
        <f>IF(G477&gt;K477, (G477-K477) *
INDEX('2018_commission_structure'!$A$1:$I$4,
MATCH($D477, '2018_commission_structure'!$A$1:$A$4,0),
MATCH(R$1, '2018_commission_structure'!$A$1:$I$1,0)), 0)</f>
        <v>0</v>
      </c>
      <c r="S477" s="11">
        <f t="shared" si="47"/>
        <v>43715.100000000006</v>
      </c>
      <c r="T477" s="11" cm="1">
        <f t="array" ref="T477">SUM(E477+O477:Q477)</f>
        <v>229130.1</v>
      </c>
    </row>
    <row r="478" spans="1:20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 xml:space="preserve"> COUNTIF(deals_closed!D:D,A478)</f>
        <v>20</v>
      </c>
      <c r="G478" s="5">
        <f>SUMIF(deals_closed!D:D, calculations!A478, deals_closed!C:C)</f>
        <v>614002</v>
      </c>
      <c r="H478" s="5">
        <f>VLOOKUP(D478,'2018_commission_structure'!$A$2:$I$4,9,FALSE)</f>
        <v>500000</v>
      </c>
      <c r="I478" s="9">
        <f t="shared" si="42"/>
        <v>625000</v>
      </c>
      <c r="J478" s="8">
        <f t="shared" si="43"/>
        <v>750000</v>
      </c>
      <c r="K478" s="9">
        <f t="shared" si="44"/>
        <v>1000000</v>
      </c>
      <c r="L478" s="10">
        <f t="shared" si="45"/>
        <v>1.2280040000000001</v>
      </c>
      <c r="M478" t="str">
        <f t="shared" si="46"/>
        <v>100-125%</v>
      </c>
      <c r="N478" s="9">
        <f>MIN(H478, G478)*INDEX('2018_commission_structure'!$A$1:$I$4,
MATCH($D478, '2018_commission_structure'!$A$1:$A$4,0),
MATCH(N$1, '2018_commission_structure'!$A$1:$I$1,0))</f>
        <v>50000</v>
      </c>
      <c r="O478" s="11">
        <f>IF(G478&gt;H478, MIN(G478-H478, I478-H478)*
INDEX('2018_commission_structure'!$A$1:$I$4,
MATCH($D478, '2018_commission_structure'!$A$1:$A$4, 0),
MATCH(O$1, '2018_commission_structure'!$A$1:$I$1, 0)), 0)</f>
        <v>17100.3</v>
      </c>
      <c r="P478" s="11">
        <f>IF(G478&gt;H478, MIN(G478-H478, J478-H478)*
INDEX('2018_commission_structure'!$A$1:$I$4,
MATCH($D478, '2018_commission_structure'!$A$1:$A$4, 0),
MATCH(O$1, '2018_commission_structure'!$A$1:$I$1, 0)), 0)</f>
        <v>17100.3</v>
      </c>
      <c r="Q478" s="11">
        <f>IF(G478&gt;H478, MIN(G478-H478, I478-H478)*
INDEX('2018_commission_structure'!$A$1:$I$4,
MATCH($D478, '2018_commission_structure'!$A$1:$A$4, 0),
MATCH(P$1, '2018_commission_structure'!$A$1:$I$1, 0)), 0)</f>
        <v>20520.36</v>
      </c>
      <c r="R478" s="11">
        <f>IF(G478&gt;K478, (G478-K478) *
INDEX('2018_commission_structure'!$A$1:$I$4,
MATCH($D478, '2018_commission_structure'!$A$1:$A$4,0),
MATCH(R$1, '2018_commission_structure'!$A$1:$I$1,0)), 0)</f>
        <v>0</v>
      </c>
      <c r="S478" s="11">
        <f t="shared" si="47"/>
        <v>54720.959999999999</v>
      </c>
      <c r="T478" s="11" cm="1">
        <f t="array" ref="T478">SUM(E478+O478:Q478)</f>
        <v>207150.96000000002</v>
      </c>
    </row>
    <row r="479" spans="1:20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 xml:space="preserve"> COUNTIF(deals_closed!D:D,A479)</f>
        <v>29</v>
      </c>
      <c r="G479" s="5">
        <f>SUMIF(deals_closed!D:D, calculations!A479, deals_closed!C:C)</f>
        <v>985355</v>
      </c>
      <c r="H479" s="5">
        <f>VLOOKUP(D479,'2018_commission_structure'!$A$2:$I$4,9,FALSE)</f>
        <v>600000</v>
      </c>
      <c r="I479" s="9">
        <f t="shared" si="42"/>
        <v>750000</v>
      </c>
      <c r="J479" s="8">
        <f t="shared" si="43"/>
        <v>900000</v>
      </c>
      <c r="K479" s="9">
        <f t="shared" si="44"/>
        <v>1200000</v>
      </c>
      <c r="L479" s="10">
        <f t="shared" si="45"/>
        <v>1.6422583333333334</v>
      </c>
      <c r="M479" t="str">
        <f t="shared" si="46"/>
        <v>150-200%</v>
      </c>
      <c r="N479" s="9">
        <f>MIN(H479, G479)*INDEX('2018_commission_structure'!$A$1:$I$4,
MATCH($D479, '2018_commission_structure'!$A$1:$A$4,0),
MATCH(N$1, '2018_commission_structure'!$A$1:$I$1,0))</f>
        <v>78000</v>
      </c>
      <c r="O479" s="11">
        <f>IF(G479&gt;H479, MIN(G479-H479, I479-H479)*
INDEX('2018_commission_structure'!$A$1:$I$4,
MATCH($D479, '2018_commission_structure'!$A$1:$A$4, 0),
MATCH(O$1, '2018_commission_structure'!$A$1:$I$1, 0)), 0)</f>
        <v>25500.000000000004</v>
      </c>
      <c r="P479" s="11">
        <f>IF(G479&gt;H479, MIN(G479-H479, J479-H479)*
INDEX('2018_commission_structure'!$A$1:$I$4,
MATCH($D479, '2018_commission_structure'!$A$1:$A$4, 0),
MATCH(O$1, '2018_commission_structure'!$A$1:$I$1, 0)), 0)</f>
        <v>51000.000000000007</v>
      </c>
      <c r="Q479" s="11">
        <f>IF(G479&gt;H479, MIN(G479-H479, I479-H479)*
INDEX('2018_commission_structure'!$A$1:$I$4,
MATCH($D479, '2018_commission_structure'!$A$1:$A$4, 0),
MATCH(P$1, '2018_commission_structure'!$A$1:$I$1, 0)), 0)</f>
        <v>31500</v>
      </c>
      <c r="R479" s="11">
        <f>IF(G479&gt;K479, (G479-K479) *
INDEX('2018_commission_structure'!$A$1:$I$4,
MATCH($D479, '2018_commission_structure'!$A$1:$A$4,0),
MATCH(R$1, '2018_commission_structure'!$A$1:$I$1,0)), 0)</f>
        <v>0</v>
      </c>
      <c r="S479" s="11">
        <f t="shared" si="47"/>
        <v>108000.00000000001</v>
      </c>
      <c r="T479" s="11" cm="1">
        <f t="array" ref="T479">SUM(E479+O479:Q479)</f>
        <v>321492</v>
      </c>
    </row>
    <row r="480" spans="1:20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 xml:space="preserve"> COUNTIF(deals_closed!D:D,A480)</f>
        <v>12</v>
      </c>
      <c r="G480" s="5">
        <f>SUMIF(deals_closed!D:D, calculations!A480, deals_closed!C:C)</f>
        <v>439307</v>
      </c>
      <c r="H480" s="5">
        <f>VLOOKUP(D480,'2018_commission_structure'!$A$2:$I$4,9,FALSE)</f>
        <v>750000</v>
      </c>
      <c r="I480" s="9">
        <f t="shared" si="42"/>
        <v>937500</v>
      </c>
      <c r="J480" s="8">
        <f t="shared" si="43"/>
        <v>1125000</v>
      </c>
      <c r="K480" s="9">
        <f t="shared" si="44"/>
        <v>1500000</v>
      </c>
      <c r="L480" s="10">
        <f t="shared" si="45"/>
        <v>0.58574266666666663</v>
      </c>
      <c r="M480" t="str">
        <f t="shared" si="46"/>
        <v>0-100%</v>
      </c>
      <c r="N480" s="9">
        <f>MIN(H480, G480)*INDEX('2018_commission_structure'!$A$1:$I$4,
MATCH($D480, '2018_commission_structure'!$A$1:$A$4,0),
MATCH(N$1, '2018_commission_structure'!$A$1:$I$1,0))</f>
        <v>65896.05</v>
      </c>
      <c r="O480" s="11">
        <f>IF(G480&gt;H480, MIN(G480-H480, I480-H480)*
INDEX('2018_commission_structure'!$A$1:$I$4,
MATCH($D480, '2018_commission_structure'!$A$1:$A$4, 0),
MATCH(O$1, '2018_commission_structure'!$A$1:$I$1, 0)), 0)</f>
        <v>0</v>
      </c>
      <c r="P480" s="11">
        <f>IF(G480&gt;H480, MIN(G480-H480, J480-H480)*
INDEX('2018_commission_structure'!$A$1:$I$4,
MATCH($D480, '2018_commission_structure'!$A$1:$A$4, 0),
MATCH(O$1, '2018_commission_structure'!$A$1:$I$1, 0)), 0)</f>
        <v>0</v>
      </c>
      <c r="Q480" s="11">
        <f>IF(G480&gt;H480, MIN(G480-H480, I480-H480)*
INDEX('2018_commission_structure'!$A$1:$I$4,
MATCH($D480, '2018_commission_structure'!$A$1:$A$4, 0),
MATCH(P$1, '2018_commission_structure'!$A$1:$I$1, 0)), 0)</f>
        <v>0</v>
      </c>
      <c r="R480" s="11">
        <f>IF(G480&gt;K480, (G480-K480) *
INDEX('2018_commission_structure'!$A$1:$I$4,
MATCH($D480, '2018_commission_structure'!$A$1:$A$4,0),
MATCH(R$1, '2018_commission_structure'!$A$1:$I$1,0)), 0)</f>
        <v>0</v>
      </c>
      <c r="S480" s="11">
        <f t="shared" si="47"/>
        <v>0</v>
      </c>
      <c r="T480" s="11" cm="1">
        <f t="array" ref="T480">SUM(E480+O480:Q480)</f>
        <v>332847</v>
      </c>
    </row>
    <row r="481" spans="1:20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 xml:space="preserve"> COUNTIF(deals_closed!D:D,A481)</f>
        <v>26</v>
      </c>
      <c r="G481" s="5">
        <f>SUMIF(deals_closed!D:D, calculations!A481, deals_closed!C:C)</f>
        <v>954130</v>
      </c>
      <c r="H481" s="5">
        <f>VLOOKUP(D481,'2018_commission_structure'!$A$2:$I$4,9,FALSE)</f>
        <v>750000</v>
      </c>
      <c r="I481" s="9">
        <f t="shared" si="42"/>
        <v>937500</v>
      </c>
      <c r="J481" s="8">
        <f t="shared" si="43"/>
        <v>1125000</v>
      </c>
      <c r="K481" s="9">
        <f t="shared" si="44"/>
        <v>1500000</v>
      </c>
      <c r="L481" s="10">
        <f t="shared" si="45"/>
        <v>1.2721733333333334</v>
      </c>
      <c r="M481" t="str">
        <f t="shared" si="46"/>
        <v>125-150%</v>
      </c>
      <c r="N481" s="9">
        <f>MIN(H481, G481)*INDEX('2018_commission_structure'!$A$1:$I$4,
MATCH($D481, '2018_commission_structure'!$A$1:$A$4,0),
MATCH(N$1, '2018_commission_structure'!$A$1:$I$1,0))</f>
        <v>112500</v>
      </c>
      <c r="O481" s="11">
        <f>IF(G481&gt;H481, MIN(G481-H481, I481-H481)*
INDEX('2018_commission_structure'!$A$1:$I$4,
MATCH($D481, '2018_commission_structure'!$A$1:$A$4, 0),
MATCH(O$1, '2018_commission_structure'!$A$1:$I$1, 0)), 0)</f>
        <v>35625</v>
      </c>
      <c r="P481" s="11">
        <f>IF(G481&gt;H481, MIN(G481-H481, J481-H481)*
INDEX('2018_commission_structure'!$A$1:$I$4,
MATCH($D481, '2018_commission_structure'!$A$1:$A$4, 0),
MATCH(O$1, '2018_commission_structure'!$A$1:$I$1, 0)), 0)</f>
        <v>38784.699999999997</v>
      </c>
      <c r="Q481" s="11">
        <f>IF(G481&gt;H481, MIN(G481-H481, I481-H481)*
INDEX('2018_commission_structure'!$A$1:$I$4,
MATCH($D481, '2018_commission_structure'!$A$1:$A$4, 0),
MATCH(P$1, '2018_commission_structure'!$A$1:$I$1, 0)), 0)</f>
        <v>43125</v>
      </c>
      <c r="R481" s="11">
        <f>IF(G481&gt;K481, (G481-K481) *
INDEX('2018_commission_structure'!$A$1:$I$4,
MATCH($D481, '2018_commission_structure'!$A$1:$A$4,0),
MATCH(R$1, '2018_commission_structure'!$A$1:$I$1,0)), 0)</f>
        <v>0</v>
      </c>
      <c r="S481" s="11">
        <f t="shared" si="47"/>
        <v>117534.7</v>
      </c>
      <c r="T481" s="11" cm="1">
        <f t="array" ref="T481">SUM(E481+O481:Q481)</f>
        <v>461547.7</v>
      </c>
    </row>
    <row r="482" spans="1:20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 xml:space="preserve"> COUNTIF(deals_closed!D:D,A482)</f>
        <v>16</v>
      </c>
      <c r="G482" s="5">
        <f>SUMIF(deals_closed!D:D, calculations!A482, deals_closed!C:C)</f>
        <v>526014</v>
      </c>
      <c r="H482" s="5">
        <f>VLOOKUP(D482,'2018_commission_structure'!$A$2:$I$4,9,FALSE)</f>
        <v>500000</v>
      </c>
      <c r="I482" s="9">
        <f t="shared" si="42"/>
        <v>625000</v>
      </c>
      <c r="J482" s="8">
        <f t="shared" si="43"/>
        <v>750000</v>
      </c>
      <c r="K482" s="9">
        <f t="shared" si="44"/>
        <v>1000000</v>
      </c>
      <c r="L482" s="10">
        <f t="shared" si="45"/>
        <v>1.052028</v>
      </c>
      <c r="M482" t="str">
        <f t="shared" si="46"/>
        <v>100-125%</v>
      </c>
      <c r="N482" s="9">
        <f>MIN(H482, G482)*INDEX('2018_commission_structure'!$A$1:$I$4,
MATCH($D482, '2018_commission_structure'!$A$1:$A$4,0),
MATCH(N$1, '2018_commission_structure'!$A$1:$I$1,0))</f>
        <v>50000</v>
      </c>
      <c r="O482" s="11">
        <f>IF(G482&gt;H482, MIN(G482-H482, I482-H482)*
INDEX('2018_commission_structure'!$A$1:$I$4,
MATCH($D482, '2018_commission_structure'!$A$1:$A$4, 0),
MATCH(O$1, '2018_commission_structure'!$A$1:$I$1, 0)), 0)</f>
        <v>3902.1</v>
      </c>
      <c r="P482" s="11">
        <f>IF(G482&gt;H482, MIN(G482-H482, J482-H482)*
INDEX('2018_commission_structure'!$A$1:$I$4,
MATCH($D482, '2018_commission_structure'!$A$1:$A$4, 0),
MATCH(O$1, '2018_commission_structure'!$A$1:$I$1, 0)), 0)</f>
        <v>3902.1</v>
      </c>
      <c r="Q482" s="11">
        <f>IF(G482&gt;H482, MIN(G482-H482, I482-H482)*
INDEX('2018_commission_structure'!$A$1:$I$4,
MATCH($D482, '2018_commission_structure'!$A$1:$A$4, 0),
MATCH(P$1, '2018_commission_structure'!$A$1:$I$1, 0)), 0)</f>
        <v>4682.5199999999995</v>
      </c>
      <c r="R482" s="11">
        <f>IF(G482&gt;K482, (G482-K482) *
INDEX('2018_commission_structure'!$A$1:$I$4,
MATCH($D482, '2018_commission_structure'!$A$1:$A$4,0),
MATCH(R$1, '2018_commission_structure'!$A$1:$I$1,0)), 0)</f>
        <v>0</v>
      </c>
      <c r="S482" s="11">
        <f t="shared" si="47"/>
        <v>12486.72</v>
      </c>
      <c r="T482" s="11" cm="1">
        <f t="array" ref="T482">SUM(E482+O482:Q482)</f>
        <v>163857.72</v>
      </c>
    </row>
    <row r="483" spans="1:20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 xml:space="preserve"> COUNTIF(deals_closed!D:D,A483)</f>
        <v>14</v>
      </c>
      <c r="G483" s="5">
        <f>SUMIF(deals_closed!D:D, calculations!A483, deals_closed!C:C)</f>
        <v>430049</v>
      </c>
      <c r="H483" s="5">
        <f>VLOOKUP(D483,'2018_commission_structure'!$A$2:$I$4,9,FALSE)</f>
        <v>500000</v>
      </c>
      <c r="I483" s="9">
        <f t="shared" si="42"/>
        <v>625000</v>
      </c>
      <c r="J483" s="8">
        <f t="shared" si="43"/>
        <v>750000</v>
      </c>
      <c r="K483" s="9">
        <f t="shared" si="44"/>
        <v>1000000</v>
      </c>
      <c r="L483" s="10">
        <f t="shared" si="45"/>
        <v>0.86009800000000003</v>
      </c>
      <c r="M483" t="str">
        <f t="shared" si="46"/>
        <v>0-100%</v>
      </c>
      <c r="N483" s="9">
        <f>MIN(H483, G483)*INDEX('2018_commission_structure'!$A$1:$I$4,
MATCH($D483, '2018_commission_structure'!$A$1:$A$4,0),
MATCH(N$1, '2018_commission_structure'!$A$1:$I$1,0))</f>
        <v>43004.9</v>
      </c>
      <c r="O483" s="11">
        <f>IF(G483&gt;H483, MIN(G483-H483, I483-H483)*
INDEX('2018_commission_structure'!$A$1:$I$4,
MATCH($D483, '2018_commission_structure'!$A$1:$A$4, 0),
MATCH(O$1, '2018_commission_structure'!$A$1:$I$1, 0)), 0)</f>
        <v>0</v>
      </c>
      <c r="P483" s="11">
        <f>IF(G483&gt;H483, MIN(G483-H483, J483-H483)*
INDEX('2018_commission_structure'!$A$1:$I$4,
MATCH($D483, '2018_commission_structure'!$A$1:$A$4, 0),
MATCH(O$1, '2018_commission_structure'!$A$1:$I$1, 0)), 0)</f>
        <v>0</v>
      </c>
      <c r="Q483" s="11">
        <f>IF(G483&gt;H483, MIN(G483-H483, I483-H483)*
INDEX('2018_commission_structure'!$A$1:$I$4,
MATCH($D483, '2018_commission_structure'!$A$1:$A$4, 0),
MATCH(P$1, '2018_commission_structure'!$A$1:$I$1, 0)), 0)</f>
        <v>0</v>
      </c>
      <c r="R483" s="11">
        <f>IF(G483&gt;K483, (G483-K483) *
INDEX('2018_commission_structure'!$A$1:$I$4,
MATCH($D483, '2018_commission_structure'!$A$1:$A$4,0),
MATCH(R$1, '2018_commission_structure'!$A$1:$I$1,0)), 0)</f>
        <v>0</v>
      </c>
      <c r="S483" s="11">
        <f t="shared" si="47"/>
        <v>0</v>
      </c>
      <c r="T483" s="11" cm="1">
        <f t="array" ref="T483">SUM(E483+O483:Q483)</f>
        <v>106077</v>
      </c>
    </row>
    <row r="484" spans="1:20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 xml:space="preserve"> COUNTIF(deals_closed!D:D,A484)</f>
        <v>19</v>
      </c>
      <c r="G484" s="5">
        <f>SUMIF(deals_closed!D:D, calculations!A484, deals_closed!C:C)</f>
        <v>674298</v>
      </c>
      <c r="H484" s="5">
        <f>VLOOKUP(D484,'2018_commission_structure'!$A$2:$I$4,9,FALSE)</f>
        <v>600000</v>
      </c>
      <c r="I484" s="9">
        <f t="shared" si="42"/>
        <v>750000</v>
      </c>
      <c r="J484" s="8">
        <f t="shared" si="43"/>
        <v>900000</v>
      </c>
      <c r="K484" s="9">
        <f t="shared" si="44"/>
        <v>1200000</v>
      </c>
      <c r="L484" s="10">
        <f t="shared" si="45"/>
        <v>1.1238300000000001</v>
      </c>
      <c r="M484" t="str">
        <f t="shared" si="46"/>
        <v>100-125%</v>
      </c>
      <c r="N484" s="9">
        <f>MIN(H484, G484)*INDEX('2018_commission_structure'!$A$1:$I$4,
MATCH($D484, '2018_commission_structure'!$A$1:$A$4,0),
MATCH(N$1, '2018_commission_structure'!$A$1:$I$1,0))</f>
        <v>78000</v>
      </c>
      <c r="O484" s="11">
        <f>IF(G484&gt;H484, MIN(G484-H484, I484-H484)*
INDEX('2018_commission_structure'!$A$1:$I$4,
MATCH($D484, '2018_commission_structure'!$A$1:$A$4, 0),
MATCH(O$1, '2018_commission_structure'!$A$1:$I$1, 0)), 0)</f>
        <v>12630.660000000002</v>
      </c>
      <c r="P484" s="11">
        <f>IF(G484&gt;H484, MIN(G484-H484, J484-H484)*
INDEX('2018_commission_structure'!$A$1:$I$4,
MATCH($D484, '2018_commission_structure'!$A$1:$A$4, 0),
MATCH(O$1, '2018_commission_structure'!$A$1:$I$1, 0)), 0)</f>
        <v>12630.660000000002</v>
      </c>
      <c r="Q484" s="11">
        <f>IF(G484&gt;H484, MIN(G484-H484, I484-H484)*
INDEX('2018_commission_structure'!$A$1:$I$4,
MATCH($D484, '2018_commission_structure'!$A$1:$A$4, 0),
MATCH(P$1, '2018_commission_structure'!$A$1:$I$1, 0)), 0)</f>
        <v>15602.58</v>
      </c>
      <c r="R484" s="11">
        <f>IF(G484&gt;K484, (G484-K484) *
INDEX('2018_commission_structure'!$A$1:$I$4,
MATCH($D484, '2018_commission_structure'!$A$1:$A$4,0),
MATCH(R$1, '2018_commission_structure'!$A$1:$I$1,0)), 0)</f>
        <v>0</v>
      </c>
      <c r="S484" s="11">
        <f t="shared" si="47"/>
        <v>40863.9</v>
      </c>
      <c r="T484" s="11" cm="1">
        <f t="array" ref="T484">SUM(E484+O484:Q484)</f>
        <v>227643.90000000002</v>
      </c>
    </row>
    <row r="485" spans="1:20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 xml:space="preserve"> COUNTIF(deals_closed!D:D,A485)</f>
        <v>24</v>
      </c>
      <c r="G485" s="5">
        <f>SUMIF(deals_closed!D:D, calculations!A485, deals_closed!C:C)</f>
        <v>769447</v>
      </c>
      <c r="H485" s="5">
        <f>VLOOKUP(D485,'2018_commission_structure'!$A$2:$I$4,9,FALSE)</f>
        <v>500000</v>
      </c>
      <c r="I485" s="9">
        <f t="shared" si="42"/>
        <v>625000</v>
      </c>
      <c r="J485" s="8">
        <f t="shared" si="43"/>
        <v>750000</v>
      </c>
      <c r="K485" s="9">
        <f t="shared" si="44"/>
        <v>1000000</v>
      </c>
      <c r="L485" s="10">
        <f t="shared" si="45"/>
        <v>1.538894</v>
      </c>
      <c r="M485" t="str">
        <f t="shared" si="46"/>
        <v>150-200%</v>
      </c>
      <c r="N485" s="9">
        <f>MIN(H485, G485)*INDEX('2018_commission_structure'!$A$1:$I$4,
MATCH($D485, '2018_commission_structure'!$A$1:$A$4,0),
MATCH(N$1, '2018_commission_structure'!$A$1:$I$1,0))</f>
        <v>50000</v>
      </c>
      <c r="O485" s="11">
        <f>IF(G485&gt;H485, MIN(G485-H485, I485-H485)*
INDEX('2018_commission_structure'!$A$1:$I$4,
MATCH($D485, '2018_commission_structure'!$A$1:$A$4, 0),
MATCH(O$1, '2018_commission_structure'!$A$1:$I$1, 0)), 0)</f>
        <v>18750</v>
      </c>
      <c r="P485" s="11">
        <f>IF(G485&gt;H485, MIN(G485-H485, J485-H485)*
INDEX('2018_commission_structure'!$A$1:$I$4,
MATCH($D485, '2018_commission_structure'!$A$1:$A$4, 0),
MATCH(O$1, '2018_commission_structure'!$A$1:$I$1, 0)), 0)</f>
        <v>37500</v>
      </c>
      <c r="Q485" s="11">
        <f>IF(G485&gt;H485, MIN(G485-H485, I485-H485)*
INDEX('2018_commission_structure'!$A$1:$I$4,
MATCH($D485, '2018_commission_structure'!$A$1:$A$4, 0),
MATCH(P$1, '2018_commission_structure'!$A$1:$I$1, 0)), 0)</f>
        <v>22500</v>
      </c>
      <c r="R485" s="11">
        <f>IF(G485&gt;K485, (G485-K485) *
INDEX('2018_commission_structure'!$A$1:$I$4,
MATCH($D485, '2018_commission_structure'!$A$1:$A$4,0),
MATCH(R$1, '2018_commission_structure'!$A$1:$I$1,0)), 0)</f>
        <v>0</v>
      </c>
      <c r="S485" s="11">
        <f t="shared" si="47"/>
        <v>78750</v>
      </c>
      <c r="T485" s="11" cm="1">
        <f t="array" ref="T485">SUM(E485+O485:Q485)</f>
        <v>200898</v>
      </c>
    </row>
    <row r="486" spans="1:20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 xml:space="preserve"> COUNTIF(deals_closed!D:D,A486)</f>
        <v>14</v>
      </c>
      <c r="G486" s="5">
        <f>SUMIF(deals_closed!D:D, calculations!A486, deals_closed!C:C)</f>
        <v>542057</v>
      </c>
      <c r="H486" s="5">
        <f>VLOOKUP(D486,'2018_commission_structure'!$A$2:$I$4,9,FALSE)</f>
        <v>600000</v>
      </c>
      <c r="I486" s="9">
        <f t="shared" si="42"/>
        <v>750000</v>
      </c>
      <c r="J486" s="8">
        <f t="shared" si="43"/>
        <v>900000</v>
      </c>
      <c r="K486" s="9">
        <f t="shared" si="44"/>
        <v>1200000</v>
      </c>
      <c r="L486" s="10">
        <f t="shared" si="45"/>
        <v>0.90342833333333339</v>
      </c>
      <c r="M486" t="str">
        <f t="shared" si="46"/>
        <v>0-100%</v>
      </c>
      <c r="N486" s="9">
        <f>MIN(H486, G486)*INDEX('2018_commission_structure'!$A$1:$I$4,
MATCH($D486, '2018_commission_structure'!$A$1:$A$4,0),
MATCH(N$1, '2018_commission_structure'!$A$1:$I$1,0))</f>
        <v>70467.41</v>
      </c>
      <c r="O486" s="11">
        <f>IF(G486&gt;H486, MIN(G486-H486, I486-H486)*
INDEX('2018_commission_structure'!$A$1:$I$4,
MATCH($D486, '2018_commission_structure'!$A$1:$A$4, 0),
MATCH(O$1, '2018_commission_structure'!$A$1:$I$1, 0)), 0)</f>
        <v>0</v>
      </c>
      <c r="P486" s="11">
        <f>IF(G486&gt;H486, MIN(G486-H486, J486-H486)*
INDEX('2018_commission_structure'!$A$1:$I$4,
MATCH($D486, '2018_commission_structure'!$A$1:$A$4, 0),
MATCH(O$1, '2018_commission_structure'!$A$1:$I$1, 0)), 0)</f>
        <v>0</v>
      </c>
      <c r="Q486" s="11">
        <f>IF(G486&gt;H486, MIN(G486-H486, I486-H486)*
INDEX('2018_commission_structure'!$A$1:$I$4,
MATCH($D486, '2018_commission_structure'!$A$1:$A$4, 0),
MATCH(P$1, '2018_commission_structure'!$A$1:$I$1, 0)), 0)</f>
        <v>0</v>
      </c>
      <c r="R486" s="11">
        <f>IF(G486&gt;K486, (G486-K486) *
INDEX('2018_commission_structure'!$A$1:$I$4,
MATCH($D486, '2018_commission_structure'!$A$1:$A$4,0),
MATCH(R$1, '2018_commission_structure'!$A$1:$I$1,0)), 0)</f>
        <v>0</v>
      </c>
      <c r="S486" s="11">
        <f t="shared" si="47"/>
        <v>0</v>
      </c>
      <c r="T486" s="11" cm="1">
        <f t="array" ref="T486">SUM(E486+O486:Q486)</f>
        <v>215058</v>
      </c>
    </row>
    <row r="487" spans="1:20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 xml:space="preserve"> COUNTIF(deals_closed!D:D,A487)</f>
        <v>18</v>
      </c>
      <c r="G487" s="5">
        <f>SUMIF(deals_closed!D:D, calculations!A487, deals_closed!C:C)</f>
        <v>664135</v>
      </c>
      <c r="H487" s="5">
        <f>VLOOKUP(D487,'2018_commission_structure'!$A$2:$I$4,9,FALSE)</f>
        <v>500000</v>
      </c>
      <c r="I487" s="9">
        <f t="shared" si="42"/>
        <v>625000</v>
      </c>
      <c r="J487" s="8">
        <f t="shared" si="43"/>
        <v>750000</v>
      </c>
      <c r="K487" s="9">
        <f t="shared" si="44"/>
        <v>1000000</v>
      </c>
      <c r="L487" s="10">
        <f t="shared" si="45"/>
        <v>1.3282700000000001</v>
      </c>
      <c r="M487" t="str">
        <f t="shared" si="46"/>
        <v>125-150%</v>
      </c>
      <c r="N487" s="9">
        <f>MIN(H487, G487)*INDEX('2018_commission_structure'!$A$1:$I$4,
MATCH($D487, '2018_commission_structure'!$A$1:$A$4,0),
MATCH(N$1, '2018_commission_structure'!$A$1:$I$1,0))</f>
        <v>50000</v>
      </c>
      <c r="O487" s="11">
        <f>IF(G487&gt;H487, MIN(G487-H487, I487-H487)*
INDEX('2018_commission_structure'!$A$1:$I$4,
MATCH($D487, '2018_commission_structure'!$A$1:$A$4, 0),
MATCH(O$1, '2018_commission_structure'!$A$1:$I$1, 0)), 0)</f>
        <v>18750</v>
      </c>
      <c r="P487" s="11">
        <f>IF(G487&gt;H487, MIN(G487-H487, J487-H487)*
INDEX('2018_commission_structure'!$A$1:$I$4,
MATCH($D487, '2018_commission_structure'!$A$1:$A$4, 0),
MATCH(O$1, '2018_commission_structure'!$A$1:$I$1, 0)), 0)</f>
        <v>24620.25</v>
      </c>
      <c r="Q487" s="11">
        <f>IF(G487&gt;H487, MIN(G487-H487, I487-H487)*
INDEX('2018_commission_structure'!$A$1:$I$4,
MATCH($D487, '2018_commission_structure'!$A$1:$A$4, 0),
MATCH(P$1, '2018_commission_structure'!$A$1:$I$1, 0)), 0)</f>
        <v>22500</v>
      </c>
      <c r="R487" s="11">
        <f>IF(G487&gt;K487, (G487-K487) *
INDEX('2018_commission_structure'!$A$1:$I$4,
MATCH($D487, '2018_commission_structure'!$A$1:$A$4,0),
MATCH(R$1, '2018_commission_structure'!$A$1:$I$1,0)), 0)</f>
        <v>0</v>
      </c>
      <c r="S487" s="11">
        <f t="shared" si="47"/>
        <v>65870.25</v>
      </c>
      <c r="T487" s="11" cm="1">
        <f t="array" ref="T487">SUM(E487+O487:Q487)</f>
        <v>156209.25</v>
      </c>
    </row>
    <row r="488" spans="1:20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 xml:space="preserve"> COUNTIF(deals_closed!D:D,A488)</f>
        <v>23</v>
      </c>
      <c r="G488" s="5">
        <f>SUMIF(deals_closed!D:D, calculations!A488, deals_closed!C:C)</f>
        <v>633741</v>
      </c>
      <c r="H488" s="5">
        <f>VLOOKUP(D488,'2018_commission_structure'!$A$2:$I$4,9,FALSE)</f>
        <v>750000</v>
      </c>
      <c r="I488" s="9">
        <f t="shared" si="42"/>
        <v>937500</v>
      </c>
      <c r="J488" s="8">
        <f t="shared" si="43"/>
        <v>1125000</v>
      </c>
      <c r="K488" s="9">
        <f t="shared" si="44"/>
        <v>1500000</v>
      </c>
      <c r="L488" s="10">
        <f t="shared" si="45"/>
        <v>0.84498799999999996</v>
      </c>
      <c r="M488" t="str">
        <f t="shared" si="46"/>
        <v>0-100%</v>
      </c>
      <c r="N488" s="9">
        <f>MIN(H488, G488)*INDEX('2018_commission_structure'!$A$1:$I$4,
MATCH($D488, '2018_commission_structure'!$A$1:$A$4,0),
MATCH(N$1, '2018_commission_structure'!$A$1:$I$1,0))</f>
        <v>95061.15</v>
      </c>
      <c r="O488" s="11">
        <f>IF(G488&gt;H488, MIN(G488-H488, I488-H488)*
INDEX('2018_commission_structure'!$A$1:$I$4,
MATCH($D488, '2018_commission_structure'!$A$1:$A$4, 0),
MATCH(O$1, '2018_commission_structure'!$A$1:$I$1, 0)), 0)</f>
        <v>0</v>
      </c>
      <c r="P488" s="11">
        <f>IF(G488&gt;H488, MIN(G488-H488, J488-H488)*
INDEX('2018_commission_structure'!$A$1:$I$4,
MATCH($D488, '2018_commission_structure'!$A$1:$A$4, 0),
MATCH(O$1, '2018_commission_structure'!$A$1:$I$1, 0)), 0)</f>
        <v>0</v>
      </c>
      <c r="Q488" s="11">
        <f>IF(G488&gt;H488, MIN(G488-H488, I488-H488)*
INDEX('2018_commission_structure'!$A$1:$I$4,
MATCH($D488, '2018_commission_structure'!$A$1:$A$4, 0),
MATCH(P$1, '2018_commission_structure'!$A$1:$I$1, 0)), 0)</f>
        <v>0</v>
      </c>
      <c r="R488" s="11">
        <f>IF(G488&gt;K488, (G488-K488) *
INDEX('2018_commission_structure'!$A$1:$I$4,
MATCH($D488, '2018_commission_structure'!$A$1:$A$4,0),
MATCH(R$1, '2018_commission_structure'!$A$1:$I$1,0)), 0)</f>
        <v>0</v>
      </c>
      <c r="S488" s="11">
        <f t="shared" si="47"/>
        <v>0</v>
      </c>
      <c r="T488" s="11" cm="1">
        <f t="array" ref="T488">SUM(E488+O488:Q488)</f>
        <v>332193</v>
      </c>
    </row>
    <row r="489" spans="1:20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 xml:space="preserve"> COUNTIF(deals_closed!D:D,A489)</f>
        <v>21</v>
      </c>
      <c r="G489" s="5">
        <f>SUMIF(deals_closed!D:D, calculations!A489, deals_closed!C:C)</f>
        <v>743306</v>
      </c>
      <c r="H489" s="5">
        <f>VLOOKUP(D489,'2018_commission_structure'!$A$2:$I$4,9,FALSE)</f>
        <v>750000</v>
      </c>
      <c r="I489" s="9">
        <f t="shared" si="42"/>
        <v>937500</v>
      </c>
      <c r="J489" s="8">
        <f t="shared" si="43"/>
        <v>1125000</v>
      </c>
      <c r="K489" s="9">
        <f t="shared" si="44"/>
        <v>1500000</v>
      </c>
      <c r="L489" s="10">
        <f t="shared" si="45"/>
        <v>0.99107466666666666</v>
      </c>
      <c r="M489" t="str">
        <f t="shared" si="46"/>
        <v>0-100%</v>
      </c>
      <c r="N489" s="9">
        <f>MIN(H489, G489)*INDEX('2018_commission_structure'!$A$1:$I$4,
MATCH($D489, '2018_commission_structure'!$A$1:$A$4,0),
MATCH(N$1, '2018_commission_structure'!$A$1:$I$1,0))</f>
        <v>111495.9</v>
      </c>
      <c r="O489" s="11">
        <f>IF(G489&gt;H489, MIN(G489-H489, I489-H489)*
INDEX('2018_commission_structure'!$A$1:$I$4,
MATCH($D489, '2018_commission_structure'!$A$1:$A$4, 0),
MATCH(O$1, '2018_commission_structure'!$A$1:$I$1, 0)), 0)</f>
        <v>0</v>
      </c>
      <c r="P489" s="11">
        <f>IF(G489&gt;H489, MIN(G489-H489, J489-H489)*
INDEX('2018_commission_structure'!$A$1:$I$4,
MATCH($D489, '2018_commission_structure'!$A$1:$A$4, 0),
MATCH(O$1, '2018_commission_structure'!$A$1:$I$1, 0)), 0)</f>
        <v>0</v>
      </c>
      <c r="Q489" s="11">
        <f>IF(G489&gt;H489, MIN(G489-H489, I489-H489)*
INDEX('2018_commission_structure'!$A$1:$I$4,
MATCH($D489, '2018_commission_structure'!$A$1:$A$4, 0),
MATCH(P$1, '2018_commission_structure'!$A$1:$I$1, 0)), 0)</f>
        <v>0</v>
      </c>
      <c r="R489" s="11">
        <f>IF(G489&gt;K489, (G489-K489) *
INDEX('2018_commission_structure'!$A$1:$I$4,
MATCH($D489, '2018_commission_structure'!$A$1:$A$4,0),
MATCH(R$1, '2018_commission_structure'!$A$1:$I$1,0)), 0)</f>
        <v>0</v>
      </c>
      <c r="S489" s="11">
        <f t="shared" si="47"/>
        <v>0</v>
      </c>
      <c r="T489" s="11" cm="1">
        <f t="array" ref="T489">SUM(E489+O489:Q489)</f>
        <v>331152</v>
      </c>
    </row>
    <row r="490" spans="1:20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 xml:space="preserve"> COUNTIF(deals_closed!D:D,A490)</f>
        <v>17</v>
      </c>
      <c r="G490" s="5">
        <f>SUMIF(deals_closed!D:D, calculations!A490, deals_closed!C:C)</f>
        <v>617946</v>
      </c>
      <c r="H490" s="5">
        <f>VLOOKUP(D490,'2018_commission_structure'!$A$2:$I$4,9,FALSE)</f>
        <v>750000</v>
      </c>
      <c r="I490" s="9">
        <f t="shared" si="42"/>
        <v>937500</v>
      </c>
      <c r="J490" s="8">
        <f t="shared" si="43"/>
        <v>1125000</v>
      </c>
      <c r="K490" s="9">
        <f t="shared" si="44"/>
        <v>1500000</v>
      </c>
      <c r="L490" s="10">
        <f t="shared" si="45"/>
        <v>0.82392799999999999</v>
      </c>
      <c r="M490" t="str">
        <f t="shared" si="46"/>
        <v>0-100%</v>
      </c>
      <c r="N490" s="9">
        <f>MIN(H490, G490)*INDEX('2018_commission_structure'!$A$1:$I$4,
MATCH($D490, '2018_commission_structure'!$A$1:$A$4,0),
MATCH(N$1, '2018_commission_structure'!$A$1:$I$1,0))</f>
        <v>92691.9</v>
      </c>
      <c r="O490" s="11">
        <f>IF(G490&gt;H490, MIN(G490-H490, I490-H490)*
INDEX('2018_commission_structure'!$A$1:$I$4,
MATCH($D490, '2018_commission_structure'!$A$1:$A$4, 0),
MATCH(O$1, '2018_commission_structure'!$A$1:$I$1, 0)), 0)</f>
        <v>0</v>
      </c>
      <c r="P490" s="11">
        <f>IF(G490&gt;H490, MIN(G490-H490, J490-H490)*
INDEX('2018_commission_structure'!$A$1:$I$4,
MATCH($D490, '2018_commission_structure'!$A$1:$A$4, 0),
MATCH(O$1, '2018_commission_structure'!$A$1:$I$1, 0)), 0)</f>
        <v>0</v>
      </c>
      <c r="Q490" s="11">
        <f>IF(G490&gt;H490, MIN(G490-H490, I490-H490)*
INDEX('2018_commission_structure'!$A$1:$I$4,
MATCH($D490, '2018_commission_structure'!$A$1:$A$4, 0),
MATCH(P$1, '2018_commission_structure'!$A$1:$I$1, 0)), 0)</f>
        <v>0</v>
      </c>
      <c r="R490" s="11">
        <f>IF(G490&gt;K490, (G490-K490) *
INDEX('2018_commission_structure'!$A$1:$I$4,
MATCH($D490, '2018_commission_structure'!$A$1:$A$4,0),
MATCH(R$1, '2018_commission_structure'!$A$1:$I$1,0)), 0)</f>
        <v>0</v>
      </c>
      <c r="S490" s="11">
        <f t="shared" si="47"/>
        <v>0</v>
      </c>
      <c r="T490" s="11" cm="1">
        <f t="array" ref="T490">SUM(E490+O490:Q490)</f>
        <v>338619</v>
      </c>
    </row>
    <row r="491" spans="1:20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 xml:space="preserve"> COUNTIF(deals_closed!D:D,A491)</f>
        <v>23</v>
      </c>
      <c r="G491" s="5">
        <f>SUMIF(deals_closed!D:D, calculations!A491, deals_closed!C:C)</f>
        <v>814416</v>
      </c>
      <c r="H491" s="5">
        <f>VLOOKUP(D491,'2018_commission_structure'!$A$2:$I$4,9,FALSE)</f>
        <v>750000</v>
      </c>
      <c r="I491" s="9">
        <f t="shared" si="42"/>
        <v>937500</v>
      </c>
      <c r="J491" s="8">
        <f t="shared" si="43"/>
        <v>1125000</v>
      </c>
      <c r="K491" s="9">
        <f t="shared" si="44"/>
        <v>1500000</v>
      </c>
      <c r="L491" s="10">
        <f t="shared" si="45"/>
        <v>1.085888</v>
      </c>
      <c r="M491" t="str">
        <f t="shared" si="46"/>
        <v>100-125%</v>
      </c>
      <c r="N491" s="9">
        <f>MIN(H491, G491)*INDEX('2018_commission_structure'!$A$1:$I$4,
MATCH($D491, '2018_commission_structure'!$A$1:$A$4,0),
MATCH(N$1, '2018_commission_structure'!$A$1:$I$1,0))</f>
        <v>112500</v>
      </c>
      <c r="O491" s="11">
        <f>IF(G491&gt;H491, MIN(G491-H491, I491-H491)*
INDEX('2018_commission_structure'!$A$1:$I$4,
MATCH($D491, '2018_commission_structure'!$A$1:$A$4, 0),
MATCH(O$1, '2018_commission_structure'!$A$1:$I$1, 0)), 0)</f>
        <v>12239.04</v>
      </c>
      <c r="P491" s="11">
        <f>IF(G491&gt;H491, MIN(G491-H491, J491-H491)*
INDEX('2018_commission_structure'!$A$1:$I$4,
MATCH($D491, '2018_commission_structure'!$A$1:$A$4, 0),
MATCH(O$1, '2018_commission_structure'!$A$1:$I$1, 0)), 0)</f>
        <v>12239.04</v>
      </c>
      <c r="Q491" s="11">
        <f>IF(G491&gt;H491, MIN(G491-H491, I491-H491)*
INDEX('2018_commission_structure'!$A$1:$I$4,
MATCH($D491, '2018_commission_structure'!$A$1:$A$4, 0),
MATCH(P$1, '2018_commission_structure'!$A$1:$I$1, 0)), 0)</f>
        <v>14815.68</v>
      </c>
      <c r="R491" s="11">
        <f>IF(G491&gt;K491, (G491-K491) *
INDEX('2018_commission_structure'!$A$1:$I$4,
MATCH($D491, '2018_commission_structure'!$A$1:$A$4,0),
MATCH(R$1, '2018_commission_structure'!$A$1:$I$1,0)), 0)</f>
        <v>0</v>
      </c>
      <c r="S491" s="11">
        <f t="shared" si="47"/>
        <v>39293.760000000002</v>
      </c>
      <c r="T491" s="11" cm="1">
        <f t="array" ref="T491">SUM(E491+O491:Q491)</f>
        <v>301550.76</v>
      </c>
    </row>
    <row r="492" spans="1:20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 xml:space="preserve"> COUNTIF(deals_closed!D:D,A492)</f>
        <v>29</v>
      </c>
      <c r="G492" s="5">
        <f>SUMIF(deals_closed!D:D, calculations!A492, deals_closed!C:C)</f>
        <v>1086845</v>
      </c>
      <c r="H492" s="5">
        <f>VLOOKUP(D492,'2018_commission_structure'!$A$2:$I$4,9,FALSE)</f>
        <v>750000</v>
      </c>
      <c r="I492" s="9">
        <f t="shared" si="42"/>
        <v>937500</v>
      </c>
      <c r="J492" s="8">
        <f t="shared" si="43"/>
        <v>1125000</v>
      </c>
      <c r="K492" s="9">
        <f t="shared" si="44"/>
        <v>1500000</v>
      </c>
      <c r="L492" s="10">
        <f t="shared" si="45"/>
        <v>1.4491266666666667</v>
      </c>
      <c r="M492" t="str">
        <f t="shared" si="46"/>
        <v>125-150%</v>
      </c>
      <c r="N492" s="9">
        <f>MIN(H492, G492)*INDEX('2018_commission_structure'!$A$1:$I$4,
MATCH($D492, '2018_commission_structure'!$A$1:$A$4,0),
MATCH(N$1, '2018_commission_structure'!$A$1:$I$1,0))</f>
        <v>112500</v>
      </c>
      <c r="O492" s="11">
        <f>IF(G492&gt;H492, MIN(G492-H492, I492-H492)*
INDEX('2018_commission_structure'!$A$1:$I$4,
MATCH($D492, '2018_commission_structure'!$A$1:$A$4, 0),
MATCH(O$1, '2018_commission_structure'!$A$1:$I$1, 0)), 0)</f>
        <v>35625</v>
      </c>
      <c r="P492" s="11">
        <f>IF(G492&gt;H492, MIN(G492-H492, J492-H492)*
INDEX('2018_commission_structure'!$A$1:$I$4,
MATCH($D492, '2018_commission_structure'!$A$1:$A$4, 0),
MATCH(O$1, '2018_commission_structure'!$A$1:$I$1, 0)), 0)</f>
        <v>64000.55</v>
      </c>
      <c r="Q492" s="11">
        <f>IF(G492&gt;H492, MIN(G492-H492, I492-H492)*
INDEX('2018_commission_structure'!$A$1:$I$4,
MATCH($D492, '2018_commission_structure'!$A$1:$A$4, 0),
MATCH(P$1, '2018_commission_structure'!$A$1:$I$1, 0)), 0)</f>
        <v>43125</v>
      </c>
      <c r="R492" s="11">
        <f>IF(G492&gt;K492, (G492-K492) *
INDEX('2018_commission_structure'!$A$1:$I$4,
MATCH($D492, '2018_commission_structure'!$A$1:$A$4,0),
MATCH(R$1, '2018_commission_structure'!$A$1:$I$1,0)), 0)</f>
        <v>0</v>
      </c>
      <c r="S492" s="11">
        <f t="shared" si="47"/>
        <v>142750.54999999999</v>
      </c>
      <c r="T492" s="11" cm="1">
        <f t="array" ref="T492">SUM(E492+O492:Q492)</f>
        <v>467890.55</v>
      </c>
    </row>
    <row r="493" spans="1:20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 xml:space="preserve"> COUNTIF(deals_closed!D:D,A493)</f>
        <v>19</v>
      </c>
      <c r="G493" s="5">
        <f>SUMIF(deals_closed!D:D, calculations!A493, deals_closed!C:C)</f>
        <v>707519</v>
      </c>
      <c r="H493" s="5">
        <f>VLOOKUP(D493,'2018_commission_structure'!$A$2:$I$4,9,FALSE)</f>
        <v>500000</v>
      </c>
      <c r="I493" s="9">
        <f t="shared" si="42"/>
        <v>625000</v>
      </c>
      <c r="J493" s="8">
        <f t="shared" si="43"/>
        <v>750000</v>
      </c>
      <c r="K493" s="9">
        <f t="shared" si="44"/>
        <v>1000000</v>
      </c>
      <c r="L493" s="10">
        <f t="shared" si="45"/>
        <v>1.415038</v>
      </c>
      <c r="M493" t="str">
        <f t="shared" si="46"/>
        <v>125-150%</v>
      </c>
      <c r="N493" s="9">
        <f>MIN(H493, G493)*INDEX('2018_commission_structure'!$A$1:$I$4,
MATCH($D493, '2018_commission_structure'!$A$1:$A$4,0),
MATCH(N$1, '2018_commission_structure'!$A$1:$I$1,0))</f>
        <v>50000</v>
      </c>
      <c r="O493" s="11">
        <f>IF(G493&gt;H493, MIN(G493-H493, I493-H493)*
INDEX('2018_commission_structure'!$A$1:$I$4,
MATCH($D493, '2018_commission_structure'!$A$1:$A$4, 0),
MATCH(O$1, '2018_commission_structure'!$A$1:$I$1, 0)), 0)</f>
        <v>18750</v>
      </c>
      <c r="P493" s="11">
        <f>IF(G493&gt;H493, MIN(G493-H493, J493-H493)*
INDEX('2018_commission_structure'!$A$1:$I$4,
MATCH($D493, '2018_commission_structure'!$A$1:$A$4, 0),
MATCH(O$1, '2018_commission_structure'!$A$1:$I$1, 0)), 0)</f>
        <v>31127.85</v>
      </c>
      <c r="Q493" s="11">
        <f>IF(G493&gt;H493, MIN(G493-H493, I493-H493)*
INDEX('2018_commission_structure'!$A$1:$I$4,
MATCH($D493, '2018_commission_structure'!$A$1:$A$4, 0),
MATCH(P$1, '2018_commission_structure'!$A$1:$I$1, 0)), 0)</f>
        <v>22500</v>
      </c>
      <c r="R493" s="11">
        <f>IF(G493&gt;K493, (G493-K493) *
INDEX('2018_commission_structure'!$A$1:$I$4,
MATCH($D493, '2018_commission_structure'!$A$1:$A$4,0),
MATCH(R$1, '2018_commission_structure'!$A$1:$I$1,0)), 0)</f>
        <v>0</v>
      </c>
      <c r="S493" s="11">
        <f t="shared" si="47"/>
        <v>72377.850000000006</v>
      </c>
      <c r="T493" s="11" cm="1">
        <f t="array" ref="T493">SUM(E493+O493:Q493)</f>
        <v>166298.85</v>
      </c>
    </row>
    <row r="494" spans="1:20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 xml:space="preserve"> COUNTIF(deals_closed!D:D,A494)</f>
        <v>17</v>
      </c>
      <c r="G494" s="5">
        <f>SUMIF(deals_closed!D:D, calculations!A494, deals_closed!C:C)</f>
        <v>586374</v>
      </c>
      <c r="H494" s="5">
        <f>VLOOKUP(D494,'2018_commission_structure'!$A$2:$I$4,9,FALSE)</f>
        <v>750000</v>
      </c>
      <c r="I494" s="9">
        <f t="shared" si="42"/>
        <v>937500</v>
      </c>
      <c r="J494" s="8">
        <f t="shared" si="43"/>
        <v>1125000</v>
      </c>
      <c r="K494" s="9">
        <f t="shared" si="44"/>
        <v>1500000</v>
      </c>
      <c r="L494" s="10">
        <f t="shared" si="45"/>
        <v>0.78183199999999997</v>
      </c>
      <c r="M494" t="str">
        <f t="shared" si="46"/>
        <v>0-100%</v>
      </c>
      <c r="N494" s="9">
        <f>MIN(H494, G494)*INDEX('2018_commission_structure'!$A$1:$I$4,
MATCH($D494, '2018_commission_structure'!$A$1:$A$4,0),
MATCH(N$1, '2018_commission_structure'!$A$1:$I$1,0))</f>
        <v>87956.099999999991</v>
      </c>
      <c r="O494" s="11">
        <f>IF(G494&gt;H494, MIN(G494-H494, I494-H494)*
INDEX('2018_commission_structure'!$A$1:$I$4,
MATCH($D494, '2018_commission_structure'!$A$1:$A$4, 0),
MATCH(O$1, '2018_commission_structure'!$A$1:$I$1, 0)), 0)</f>
        <v>0</v>
      </c>
      <c r="P494" s="11">
        <f>IF(G494&gt;H494, MIN(G494-H494, J494-H494)*
INDEX('2018_commission_structure'!$A$1:$I$4,
MATCH($D494, '2018_commission_structure'!$A$1:$A$4, 0),
MATCH(O$1, '2018_commission_structure'!$A$1:$I$1, 0)), 0)</f>
        <v>0</v>
      </c>
      <c r="Q494" s="11">
        <f>IF(G494&gt;H494, MIN(G494-H494, I494-H494)*
INDEX('2018_commission_structure'!$A$1:$I$4,
MATCH($D494, '2018_commission_structure'!$A$1:$A$4, 0),
MATCH(P$1, '2018_commission_structure'!$A$1:$I$1, 0)), 0)</f>
        <v>0</v>
      </c>
      <c r="R494" s="11">
        <f>IF(G494&gt;K494, (G494-K494) *
INDEX('2018_commission_structure'!$A$1:$I$4,
MATCH($D494, '2018_commission_structure'!$A$1:$A$4,0),
MATCH(R$1, '2018_commission_structure'!$A$1:$I$1,0)), 0)</f>
        <v>0</v>
      </c>
      <c r="S494" s="11">
        <f t="shared" si="47"/>
        <v>0</v>
      </c>
      <c r="T494" s="11" cm="1">
        <f t="array" ref="T494">SUM(E494+O494:Q494)</f>
        <v>323250</v>
      </c>
    </row>
    <row r="495" spans="1:20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 xml:space="preserve"> COUNTIF(deals_closed!D:D,A495)</f>
        <v>25</v>
      </c>
      <c r="G495" s="5">
        <f>SUMIF(deals_closed!D:D, calculations!A495, deals_closed!C:C)</f>
        <v>959690</v>
      </c>
      <c r="H495" s="5">
        <f>VLOOKUP(D495,'2018_commission_structure'!$A$2:$I$4,9,FALSE)</f>
        <v>500000</v>
      </c>
      <c r="I495" s="9">
        <f t="shared" si="42"/>
        <v>625000</v>
      </c>
      <c r="J495" s="8">
        <f t="shared" si="43"/>
        <v>750000</v>
      </c>
      <c r="K495" s="9">
        <f t="shared" si="44"/>
        <v>1000000</v>
      </c>
      <c r="L495" s="10">
        <f t="shared" si="45"/>
        <v>1.9193800000000001</v>
      </c>
      <c r="M495" t="str">
        <f t="shared" si="46"/>
        <v>150-200%</v>
      </c>
      <c r="N495" s="9">
        <f>MIN(H495, G495)*INDEX('2018_commission_structure'!$A$1:$I$4,
MATCH($D495, '2018_commission_structure'!$A$1:$A$4,0),
MATCH(N$1, '2018_commission_structure'!$A$1:$I$1,0))</f>
        <v>50000</v>
      </c>
      <c r="O495" s="11">
        <f>IF(G495&gt;H495, MIN(G495-H495, I495-H495)*
INDEX('2018_commission_structure'!$A$1:$I$4,
MATCH($D495, '2018_commission_structure'!$A$1:$A$4, 0),
MATCH(O$1, '2018_commission_structure'!$A$1:$I$1, 0)), 0)</f>
        <v>18750</v>
      </c>
      <c r="P495" s="11">
        <f>IF(G495&gt;H495, MIN(G495-H495, J495-H495)*
INDEX('2018_commission_structure'!$A$1:$I$4,
MATCH($D495, '2018_commission_structure'!$A$1:$A$4, 0),
MATCH(O$1, '2018_commission_structure'!$A$1:$I$1, 0)), 0)</f>
        <v>37500</v>
      </c>
      <c r="Q495" s="11">
        <f>IF(G495&gt;H495, MIN(G495-H495, I495-H495)*
INDEX('2018_commission_structure'!$A$1:$I$4,
MATCH($D495, '2018_commission_structure'!$A$1:$A$4, 0),
MATCH(P$1, '2018_commission_structure'!$A$1:$I$1, 0)), 0)</f>
        <v>22500</v>
      </c>
      <c r="R495" s="11">
        <f>IF(G495&gt;K495, (G495-K495) *
INDEX('2018_commission_structure'!$A$1:$I$4,
MATCH($D495, '2018_commission_structure'!$A$1:$A$4,0),
MATCH(R$1, '2018_commission_structure'!$A$1:$I$1,0)), 0)</f>
        <v>0</v>
      </c>
      <c r="S495" s="11">
        <f t="shared" si="47"/>
        <v>78750</v>
      </c>
      <c r="T495" s="11" cm="1">
        <f t="array" ref="T495">SUM(E495+O495:Q495)</f>
        <v>225903</v>
      </c>
    </row>
    <row r="496" spans="1:20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 xml:space="preserve"> COUNTIF(deals_closed!D:D,A496)</f>
        <v>28</v>
      </c>
      <c r="G496" s="5">
        <f>SUMIF(deals_closed!D:D, calculations!A496, deals_closed!C:C)</f>
        <v>948183</v>
      </c>
      <c r="H496" s="5">
        <f>VLOOKUP(D496,'2018_commission_structure'!$A$2:$I$4,9,FALSE)</f>
        <v>750000</v>
      </c>
      <c r="I496" s="9">
        <f t="shared" si="42"/>
        <v>937500</v>
      </c>
      <c r="J496" s="8">
        <f t="shared" si="43"/>
        <v>1125000</v>
      </c>
      <c r="K496" s="9">
        <f t="shared" si="44"/>
        <v>1500000</v>
      </c>
      <c r="L496" s="10">
        <f t="shared" si="45"/>
        <v>1.2642439999999999</v>
      </c>
      <c r="M496" t="str">
        <f t="shared" si="46"/>
        <v>125-150%</v>
      </c>
      <c r="N496" s="9">
        <f>MIN(H496, G496)*INDEX('2018_commission_structure'!$A$1:$I$4,
MATCH($D496, '2018_commission_structure'!$A$1:$A$4,0),
MATCH(N$1, '2018_commission_structure'!$A$1:$I$1,0))</f>
        <v>112500</v>
      </c>
      <c r="O496" s="11">
        <f>IF(G496&gt;H496, MIN(G496-H496, I496-H496)*
INDEX('2018_commission_structure'!$A$1:$I$4,
MATCH($D496, '2018_commission_structure'!$A$1:$A$4, 0),
MATCH(O$1, '2018_commission_structure'!$A$1:$I$1, 0)), 0)</f>
        <v>35625</v>
      </c>
      <c r="P496" s="11">
        <f>IF(G496&gt;H496, MIN(G496-H496, J496-H496)*
INDEX('2018_commission_structure'!$A$1:$I$4,
MATCH($D496, '2018_commission_structure'!$A$1:$A$4, 0),
MATCH(O$1, '2018_commission_structure'!$A$1:$I$1, 0)), 0)</f>
        <v>37654.770000000004</v>
      </c>
      <c r="Q496" s="11">
        <f>IF(G496&gt;H496, MIN(G496-H496, I496-H496)*
INDEX('2018_commission_structure'!$A$1:$I$4,
MATCH($D496, '2018_commission_structure'!$A$1:$A$4, 0),
MATCH(P$1, '2018_commission_structure'!$A$1:$I$1, 0)), 0)</f>
        <v>43125</v>
      </c>
      <c r="R496" s="11">
        <f>IF(G496&gt;K496, (G496-K496) *
INDEX('2018_commission_structure'!$A$1:$I$4,
MATCH($D496, '2018_commission_structure'!$A$1:$A$4,0),
MATCH(R$1, '2018_commission_structure'!$A$1:$I$1,0)), 0)</f>
        <v>0</v>
      </c>
      <c r="S496" s="11">
        <f t="shared" si="47"/>
        <v>116404.77</v>
      </c>
      <c r="T496" s="11" cm="1">
        <f t="array" ref="T496">SUM(E496+O496:Q496)</f>
        <v>378613.77</v>
      </c>
    </row>
    <row r="497" spans="1:20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 xml:space="preserve"> COUNTIF(deals_closed!D:D,A497)</f>
        <v>28</v>
      </c>
      <c r="G497" s="5">
        <f>SUMIF(deals_closed!D:D, calculations!A497, deals_closed!C:C)</f>
        <v>988078</v>
      </c>
      <c r="H497" s="5">
        <f>VLOOKUP(D497,'2018_commission_structure'!$A$2:$I$4,9,FALSE)</f>
        <v>500000</v>
      </c>
      <c r="I497" s="9">
        <f t="shared" si="42"/>
        <v>625000</v>
      </c>
      <c r="J497" s="8">
        <f t="shared" si="43"/>
        <v>750000</v>
      </c>
      <c r="K497" s="9">
        <f t="shared" si="44"/>
        <v>1000000</v>
      </c>
      <c r="L497" s="10">
        <f t="shared" si="45"/>
        <v>1.976156</v>
      </c>
      <c r="M497" t="str">
        <f t="shared" si="46"/>
        <v>150-200%</v>
      </c>
      <c r="N497" s="9">
        <f>MIN(H497, G497)*INDEX('2018_commission_structure'!$A$1:$I$4,
MATCH($D497, '2018_commission_structure'!$A$1:$A$4,0),
MATCH(N$1, '2018_commission_structure'!$A$1:$I$1,0))</f>
        <v>50000</v>
      </c>
      <c r="O497" s="11">
        <f>IF(G497&gt;H497, MIN(G497-H497, I497-H497)*
INDEX('2018_commission_structure'!$A$1:$I$4,
MATCH($D497, '2018_commission_structure'!$A$1:$A$4, 0),
MATCH(O$1, '2018_commission_structure'!$A$1:$I$1, 0)), 0)</f>
        <v>18750</v>
      </c>
      <c r="P497" s="11">
        <f>IF(G497&gt;H497, MIN(G497-H497, J497-H497)*
INDEX('2018_commission_structure'!$A$1:$I$4,
MATCH($D497, '2018_commission_structure'!$A$1:$A$4, 0),
MATCH(O$1, '2018_commission_structure'!$A$1:$I$1, 0)), 0)</f>
        <v>37500</v>
      </c>
      <c r="Q497" s="11">
        <f>IF(G497&gt;H497, MIN(G497-H497, I497-H497)*
INDEX('2018_commission_structure'!$A$1:$I$4,
MATCH($D497, '2018_commission_structure'!$A$1:$A$4, 0),
MATCH(P$1, '2018_commission_structure'!$A$1:$I$1, 0)), 0)</f>
        <v>22500</v>
      </c>
      <c r="R497" s="11">
        <f>IF(G497&gt;K497, (G497-K497) *
INDEX('2018_commission_structure'!$A$1:$I$4,
MATCH($D497, '2018_commission_structure'!$A$1:$A$4,0),
MATCH(R$1, '2018_commission_structure'!$A$1:$I$1,0)), 0)</f>
        <v>0</v>
      </c>
      <c r="S497" s="11">
        <f t="shared" si="47"/>
        <v>78750</v>
      </c>
      <c r="T497" s="11" cm="1">
        <f t="array" ref="T497">SUM(E497+O497:Q497)</f>
        <v>174318</v>
      </c>
    </row>
    <row r="498" spans="1:20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 xml:space="preserve"> COUNTIF(deals_closed!D:D,A498)</f>
        <v>14</v>
      </c>
      <c r="G498" s="5">
        <f>SUMIF(deals_closed!D:D, calculations!A498, deals_closed!C:C)</f>
        <v>400289</v>
      </c>
      <c r="H498" s="5">
        <f>VLOOKUP(D498,'2018_commission_structure'!$A$2:$I$4,9,FALSE)</f>
        <v>750000</v>
      </c>
      <c r="I498" s="9">
        <f t="shared" si="42"/>
        <v>937500</v>
      </c>
      <c r="J498" s="8">
        <f t="shared" si="43"/>
        <v>1125000</v>
      </c>
      <c r="K498" s="9">
        <f t="shared" si="44"/>
        <v>1500000</v>
      </c>
      <c r="L498" s="10">
        <f t="shared" si="45"/>
        <v>0.53371866666666667</v>
      </c>
      <c r="M498" t="str">
        <f t="shared" si="46"/>
        <v>0-100%</v>
      </c>
      <c r="N498" s="9">
        <f>MIN(H498, G498)*INDEX('2018_commission_structure'!$A$1:$I$4,
MATCH($D498, '2018_commission_structure'!$A$1:$A$4,0),
MATCH(N$1, '2018_commission_structure'!$A$1:$I$1,0))</f>
        <v>60043.35</v>
      </c>
      <c r="O498" s="11">
        <f>IF(G498&gt;H498, MIN(G498-H498, I498-H498)*
INDEX('2018_commission_structure'!$A$1:$I$4,
MATCH($D498, '2018_commission_structure'!$A$1:$A$4, 0),
MATCH(O$1, '2018_commission_structure'!$A$1:$I$1, 0)), 0)</f>
        <v>0</v>
      </c>
      <c r="P498" s="11">
        <f>IF(G498&gt;H498, MIN(G498-H498, J498-H498)*
INDEX('2018_commission_structure'!$A$1:$I$4,
MATCH($D498, '2018_commission_structure'!$A$1:$A$4, 0),
MATCH(O$1, '2018_commission_structure'!$A$1:$I$1, 0)), 0)</f>
        <v>0</v>
      </c>
      <c r="Q498" s="11">
        <f>IF(G498&gt;H498, MIN(G498-H498, I498-H498)*
INDEX('2018_commission_structure'!$A$1:$I$4,
MATCH($D498, '2018_commission_structure'!$A$1:$A$4, 0),
MATCH(P$1, '2018_commission_structure'!$A$1:$I$1, 0)), 0)</f>
        <v>0</v>
      </c>
      <c r="R498" s="11">
        <f>IF(G498&gt;K498, (G498-K498) *
INDEX('2018_commission_structure'!$A$1:$I$4,
MATCH($D498, '2018_commission_structure'!$A$1:$A$4,0),
MATCH(R$1, '2018_commission_structure'!$A$1:$I$1,0)), 0)</f>
        <v>0</v>
      </c>
      <c r="S498" s="11">
        <f t="shared" si="47"/>
        <v>0</v>
      </c>
      <c r="T498" s="11" cm="1">
        <f t="array" ref="T498">SUM(E498+O498:Q498)</f>
        <v>293481</v>
      </c>
    </row>
    <row r="499" spans="1:20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 xml:space="preserve"> COUNTIF(deals_closed!D:D,A499)</f>
        <v>23</v>
      </c>
      <c r="G499" s="5">
        <f>SUMIF(deals_closed!D:D, calculations!A499, deals_closed!C:C)</f>
        <v>773302</v>
      </c>
      <c r="H499" s="5">
        <f>VLOOKUP(D499,'2018_commission_structure'!$A$2:$I$4,9,FALSE)</f>
        <v>600000</v>
      </c>
      <c r="I499" s="9">
        <f t="shared" si="42"/>
        <v>750000</v>
      </c>
      <c r="J499" s="8">
        <f t="shared" si="43"/>
        <v>900000</v>
      </c>
      <c r="K499" s="9">
        <f t="shared" si="44"/>
        <v>1200000</v>
      </c>
      <c r="L499" s="10">
        <f t="shared" si="45"/>
        <v>1.2888366666666666</v>
      </c>
      <c r="M499" t="str">
        <f t="shared" si="46"/>
        <v>125-150%</v>
      </c>
      <c r="N499" s="9">
        <f>MIN(H499, G499)*INDEX('2018_commission_structure'!$A$1:$I$4,
MATCH($D499, '2018_commission_structure'!$A$1:$A$4,0),
MATCH(N$1, '2018_commission_structure'!$A$1:$I$1,0))</f>
        <v>78000</v>
      </c>
      <c r="O499" s="11">
        <f>IF(G499&gt;H499, MIN(G499-H499, I499-H499)*
INDEX('2018_commission_structure'!$A$1:$I$4,
MATCH($D499, '2018_commission_structure'!$A$1:$A$4, 0),
MATCH(O$1, '2018_commission_structure'!$A$1:$I$1, 0)), 0)</f>
        <v>25500.000000000004</v>
      </c>
      <c r="P499" s="11">
        <f>IF(G499&gt;H499, MIN(G499-H499, J499-H499)*
INDEX('2018_commission_structure'!$A$1:$I$4,
MATCH($D499, '2018_commission_structure'!$A$1:$A$4, 0),
MATCH(O$1, '2018_commission_structure'!$A$1:$I$1, 0)), 0)</f>
        <v>29461.340000000004</v>
      </c>
      <c r="Q499" s="11">
        <f>IF(G499&gt;H499, MIN(G499-H499, I499-H499)*
INDEX('2018_commission_structure'!$A$1:$I$4,
MATCH($D499, '2018_commission_structure'!$A$1:$A$4, 0),
MATCH(P$1, '2018_commission_structure'!$A$1:$I$1, 0)), 0)</f>
        <v>31500</v>
      </c>
      <c r="R499" s="11">
        <f>IF(G499&gt;K499, (G499-K499) *
INDEX('2018_commission_structure'!$A$1:$I$4,
MATCH($D499, '2018_commission_structure'!$A$1:$A$4,0),
MATCH(R$1, '2018_commission_structure'!$A$1:$I$1,0)), 0)</f>
        <v>0</v>
      </c>
      <c r="S499" s="11">
        <f t="shared" si="47"/>
        <v>86461.340000000011</v>
      </c>
      <c r="T499" s="11" cm="1">
        <f t="array" ref="T499">SUM(E499+O499:Q499)</f>
        <v>241156.34</v>
      </c>
    </row>
    <row r="500" spans="1:20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 xml:space="preserve"> COUNTIF(deals_closed!D:D,A500)</f>
        <v>21</v>
      </c>
      <c r="G500" s="5">
        <f>SUMIF(deals_closed!D:D, calculations!A500, deals_closed!C:C)</f>
        <v>838801</v>
      </c>
      <c r="H500" s="5">
        <f>VLOOKUP(D500,'2018_commission_structure'!$A$2:$I$4,9,FALSE)</f>
        <v>750000</v>
      </c>
      <c r="I500" s="9">
        <f t="shared" si="42"/>
        <v>937500</v>
      </c>
      <c r="J500" s="8">
        <f t="shared" si="43"/>
        <v>1125000</v>
      </c>
      <c r="K500" s="9">
        <f t="shared" si="44"/>
        <v>1500000</v>
      </c>
      <c r="L500" s="10">
        <f t="shared" si="45"/>
        <v>1.1184013333333334</v>
      </c>
      <c r="M500" t="str">
        <f t="shared" si="46"/>
        <v>100-125%</v>
      </c>
      <c r="N500" s="9">
        <f>MIN(H500, G500)*INDEX('2018_commission_structure'!$A$1:$I$4,
MATCH($D500, '2018_commission_structure'!$A$1:$A$4,0),
MATCH(N$1, '2018_commission_structure'!$A$1:$I$1,0))</f>
        <v>112500</v>
      </c>
      <c r="O500" s="11">
        <f>IF(G500&gt;H500, MIN(G500-H500, I500-H500)*
INDEX('2018_commission_structure'!$A$1:$I$4,
MATCH($D500, '2018_commission_structure'!$A$1:$A$4, 0),
MATCH(O$1, '2018_commission_structure'!$A$1:$I$1, 0)), 0)</f>
        <v>16872.189999999999</v>
      </c>
      <c r="P500" s="11">
        <f>IF(G500&gt;H500, MIN(G500-H500, J500-H500)*
INDEX('2018_commission_structure'!$A$1:$I$4,
MATCH($D500, '2018_commission_structure'!$A$1:$A$4, 0),
MATCH(O$1, '2018_commission_structure'!$A$1:$I$1, 0)), 0)</f>
        <v>16872.189999999999</v>
      </c>
      <c r="Q500" s="11">
        <f>IF(G500&gt;H500, MIN(G500-H500, I500-H500)*
INDEX('2018_commission_structure'!$A$1:$I$4,
MATCH($D500, '2018_commission_structure'!$A$1:$A$4, 0),
MATCH(P$1, '2018_commission_structure'!$A$1:$I$1, 0)), 0)</f>
        <v>20424.23</v>
      </c>
      <c r="R500" s="11">
        <f>IF(G500&gt;K500, (G500-K500) *
INDEX('2018_commission_structure'!$A$1:$I$4,
MATCH($D500, '2018_commission_structure'!$A$1:$A$4,0),
MATCH(R$1, '2018_commission_structure'!$A$1:$I$1,0)), 0)</f>
        <v>0</v>
      </c>
      <c r="S500" s="11">
        <f t="shared" si="47"/>
        <v>54168.61</v>
      </c>
      <c r="T500" s="11" cm="1">
        <f t="array" ref="T500">SUM(E500+O500:Q500)</f>
        <v>371103.61</v>
      </c>
    </row>
    <row r="501" spans="1:20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 xml:space="preserve"> COUNTIF(deals_closed!D:D,A501)</f>
        <v>12</v>
      </c>
      <c r="G501" s="5">
        <f>SUMIF(deals_closed!D:D, calculations!A501, deals_closed!C:C)</f>
        <v>358744</v>
      </c>
      <c r="H501" s="5">
        <f>VLOOKUP(D501,'2018_commission_structure'!$A$2:$I$4,9,FALSE)</f>
        <v>500000</v>
      </c>
      <c r="I501" s="9">
        <f t="shared" si="42"/>
        <v>625000</v>
      </c>
      <c r="J501" s="8">
        <f t="shared" si="43"/>
        <v>750000</v>
      </c>
      <c r="K501" s="9">
        <f t="shared" si="44"/>
        <v>1000000</v>
      </c>
      <c r="L501" s="10">
        <f t="shared" si="45"/>
        <v>0.71748800000000001</v>
      </c>
      <c r="M501" t="str">
        <f t="shared" si="46"/>
        <v>0-100%</v>
      </c>
      <c r="N501" s="9">
        <f>MIN(H501, G501)*INDEX('2018_commission_structure'!$A$1:$I$4,
MATCH($D501, '2018_commission_structure'!$A$1:$A$4,0),
MATCH(N$1, '2018_commission_structure'!$A$1:$I$1,0))</f>
        <v>35874.400000000001</v>
      </c>
      <c r="O501" s="11">
        <f>IF(G501&gt;H501, MIN(G501-H501, I501-H501)*
INDEX('2018_commission_structure'!$A$1:$I$4,
MATCH($D501, '2018_commission_structure'!$A$1:$A$4, 0),
MATCH(O$1, '2018_commission_structure'!$A$1:$I$1, 0)), 0)</f>
        <v>0</v>
      </c>
      <c r="P501" s="11">
        <f>IF(G501&gt;H501, MIN(G501-H501, J501-H501)*
INDEX('2018_commission_structure'!$A$1:$I$4,
MATCH($D501, '2018_commission_structure'!$A$1:$A$4, 0),
MATCH(O$1, '2018_commission_structure'!$A$1:$I$1, 0)), 0)</f>
        <v>0</v>
      </c>
      <c r="Q501" s="11">
        <f>IF(G501&gt;H501, MIN(G501-H501, I501-H501)*
INDEX('2018_commission_structure'!$A$1:$I$4,
MATCH($D501, '2018_commission_structure'!$A$1:$A$4, 0),
MATCH(P$1, '2018_commission_structure'!$A$1:$I$1, 0)), 0)</f>
        <v>0</v>
      </c>
      <c r="R501" s="11">
        <f>IF(G501&gt;K501, (G501-K501) *
INDEX('2018_commission_structure'!$A$1:$I$4,
MATCH($D501, '2018_commission_structure'!$A$1:$A$4,0),
MATCH(R$1, '2018_commission_structure'!$A$1:$I$1,0)), 0)</f>
        <v>0</v>
      </c>
      <c r="S501" s="11">
        <f t="shared" si="47"/>
        <v>0</v>
      </c>
      <c r="T501" s="11" cm="1">
        <f t="array" ref="T501">SUM(E501+O501:Q501)</f>
        <v>154311</v>
      </c>
    </row>
    <row r="502" spans="1:20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 xml:space="preserve"> COUNTIF(deals_closed!D:D,A502)</f>
        <v>21</v>
      </c>
      <c r="G502" s="5">
        <f>SUMIF(deals_closed!D:D, calculations!A502, deals_closed!C:C)</f>
        <v>662952</v>
      </c>
      <c r="H502" s="5">
        <f>VLOOKUP(D502,'2018_commission_structure'!$A$2:$I$4,9,FALSE)</f>
        <v>500000</v>
      </c>
      <c r="I502" s="9">
        <f t="shared" si="42"/>
        <v>625000</v>
      </c>
      <c r="J502" s="8">
        <f t="shared" si="43"/>
        <v>750000</v>
      </c>
      <c r="K502" s="9">
        <f t="shared" si="44"/>
        <v>1000000</v>
      </c>
      <c r="L502" s="10">
        <f t="shared" si="45"/>
        <v>1.325904</v>
      </c>
      <c r="M502" t="str">
        <f t="shared" si="46"/>
        <v>125-150%</v>
      </c>
      <c r="N502" s="9">
        <f>MIN(H502, G502)*INDEX('2018_commission_structure'!$A$1:$I$4,
MATCH($D502, '2018_commission_structure'!$A$1:$A$4,0),
MATCH(N$1, '2018_commission_structure'!$A$1:$I$1,0))</f>
        <v>50000</v>
      </c>
      <c r="O502" s="11">
        <f>IF(G502&gt;H502, MIN(G502-H502, I502-H502)*
INDEX('2018_commission_structure'!$A$1:$I$4,
MATCH($D502, '2018_commission_structure'!$A$1:$A$4, 0),
MATCH(O$1, '2018_commission_structure'!$A$1:$I$1, 0)), 0)</f>
        <v>18750</v>
      </c>
      <c r="P502" s="11">
        <f>IF(G502&gt;H502, MIN(G502-H502, J502-H502)*
INDEX('2018_commission_structure'!$A$1:$I$4,
MATCH($D502, '2018_commission_structure'!$A$1:$A$4, 0),
MATCH(O$1, '2018_commission_structure'!$A$1:$I$1, 0)), 0)</f>
        <v>24442.799999999999</v>
      </c>
      <c r="Q502" s="11">
        <f>IF(G502&gt;H502, MIN(G502-H502, I502-H502)*
INDEX('2018_commission_structure'!$A$1:$I$4,
MATCH($D502, '2018_commission_structure'!$A$1:$A$4, 0),
MATCH(P$1, '2018_commission_structure'!$A$1:$I$1, 0)), 0)</f>
        <v>22500</v>
      </c>
      <c r="R502" s="11">
        <f>IF(G502&gt;K502, (G502-K502) *
INDEX('2018_commission_structure'!$A$1:$I$4,
MATCH($D502, '2018_commission_structure'!$A$1:$A$4,0),
MATCH(R$1, '2018_commission_structure'!$A$1:$I$1,0)), 0)</f>
        <v>0</v>
      </c>
      <c r="S502" s="11">
        <f t="shared" si="47"/>
        <v>65692.800000000003</v>
      </c>
      <c r="T502" s="11" cm="1">
        <f t="array" ref="T502">SUM(E502+O502:Q502)</f>
        <v>184225.8</v>
      </c>
    </row>
    <row r="503" spans="1:20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 xml:space="preserve"> COUNTIF(deals_closed!D:D,A503)</f>
        <v>25</v>
      </c>
      <c r="G503" s="5">
        <f>SUMIF(deals_closed!D:D, calculations!A503, deals_closed!C:C)</f>
        <v>793388</v>
      </c>
      <c r="H503" s="5">
        <f>VLOOKUP(D503,'2018_commission_structure'!$A$2:$I$4,9,FALSE)</f>
        <v>600000</v>
      </c>
      <c r="I503" s="9">
        <f t="shared" si="42"/>
        <v>750000</v>
      </c>
      <c r="J503" s="8">
        <f t="shared" si="43"/>
        <v>900000</v>
      </c>
      <c r="K503" s="9">
        <f t="shared" si="44"/>
        <v>1200000</v>
      </c>
      <c r="L503" s="10">
        <f t="shared" si="45"/>
        <v>1.3223133333333332</v>
      </c>
      <c r="M503" t="str">
        <f t="shared" si="46"/>
        <v>125-150%</v>
      </c>
      <c r="N503" s="9">
        <f>MIN(H503, G503)*INDEX('2018_commission_structure'!$A$1:$I$4,
MATCH($D503, '2018_commission_structure'!$A$1:$A$4,0),
MATCH(N$1, '2018_commission_structure'!$A$1:$I$1,0))</f>
        <v>78000</v>
      </c>
      <c r="O503" s="11">
        <f>IF(G503&gt;H503, MIN(G503-H503, I503-H503)*
INDEX('2018_commission_structure'!$A$1:$I$4,
MATCH($D503, '2018_commission_structure'!$A$1:$A$4, 0),
MATCH(O$1, '2018_commission_structure'!$A$1:$I$1, 0)), 0)</f>
        <v>25500.000000000004</v>
      </c>
      <c r="P503" s="11">
        <f>IF(G503&gt;H503, MIN(G503-H503, J503-H503)*
INDEX('2018_commission_structure'!$A$1:$I$4,
MATCH($D503, '2018_commission_structure'!$A$1:$A$4, 0),
MATCH(O$1, '2018_commission_structure'!$A$1:$I$1, 0)), 0)</f>
        <v>32875.96</v>
      </c>
      <c r="Q503" s="11">
        <f>IF(G503&gt;H503, MIN(G503-H503, I503-H503)*
INDEX('2018_commission_structure'!$A$1:$I$4,
MATCH($D503, '2018_commission_structure'!$A$1:$A$4, 0),
MATCH(P$1, '2018_commission_structure'!$A$1:$I$1, 0)), 0)</f>
        <v>31500</v>
      </c>
      <c r="R503" s="11">
        <f>IF(G503&gt;K503, (G503-K503) *
INDEX('2018_commission_structure'!$A$1:$I$4,
MATCH($D503, '2018_commission_structure'!$A$1:$A$4,0),
MATCH(R$1, '2018_commission_structure'!$A$1:$I$1,0)), 0)</f>
        <v>0</v>
      </c>
      <c r="S503" s="11">
        <f t="shared" si="47"/>
        <v>89875.96</v>
      </c>
      <c r="T503" s="11" cm="1">
        <f t="array" ref="T503">SUM(E503+O503:Q503)</f>
        <v>311698.95999999996</v>
      </c>
    </row>
    <row r="504" spans="1:20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 xml:space="preserve"> COUNTIF(deals_closed!D:D,A504)</f>
        <v>15</v>
      </c>
      <c r="G504" s="5">
        <f>SUMIF(deals_closed!D:D, calculations!A504, deals_closed!C:C)</f>
        <v>593430</v>
      </c>
      <c r="H504" s="5">
        <f>VLOOKUP(D504,'2018_commission_structure'!$A$2:$I$4,9,FALSE)</f>
        <v>600000</v>
      </c>
      <c r="I504" s="9">
        <f t="shared" si="42"/>
        <v>750000</v>
      </c>
      <c r="J504" s="8">
        <f t="shared" si="43"/>
        <v>900000</v>
      </c>
      <c r="K504" s="9">
        <f t="shared" si="44"/>
        <v>1200000</v>
      </c>
      <c r="L504" s="10">
        <f t="shared" si="45"/>
        <v>0.98904999999999998</v>
      </c>
      <c r="M504" t="str">
        <f t="shared" si="46"/>
        <v>0-100%</v>
      </c>
      <c r="N504" s="9">
        <f>MIN(H504, G504)*INDEX('2018_commission_structure'!$A$1:$I$4,
MATCH($D504, '2018_commission_structure'!$A$1:$A$4,0),
MATCH(N$1, '2018_commission_structure'!$A$1:$I$1,0))</f>
        <v>77145.900000000009</v>
      </c>
      <c r="O504" s="11">
        <f>IF(G504&gt;H504, MIN(G504-H504, I504-H504)*
INDEX('2018_commission_structure'!$A$1:$I$4,
MATCH($D504, '2018_commission_structure'!$A$1:$A$4, 0),
MATCH(O$1, '2018_commission_structure'!$A$1:$I$1, 0)), 0)</f>
        <v>0</v>
      </c>
      <c r="P504" s="11">
        <f>IF(G504&gt;H504, MIN(G504-H504, J504-H504)*
INDEX('2018_commission_structure'!$A$1:$I$4,
MATCH($D504, '2018_commission_structure'!$A$1:$A$4, 0),
MATCH(O$1, '2018_commission_structure'!$A$1:$I$1, 0)), 0)</f>
        <v>0</v>
      </c>
      <c r="Q504" s="11">
        <f>IF(G504&gt;H504, MIN(G504-H504, I504-H504)*
INDEX('2018_commission_structure'!$A$1:$I$4,
MATCH($D504, '2018_commission_structure'!$A$1:$A$4, 0),
MATCH(P$1, '2018_commission_structure'!$A$1:$I$1, 0)), 0)</f>
        <v>0</v>
      </c>
      <c r="R504" s="11">
        <f>IF(G504&gt;K504, (G504-K504) *
INDEX('2018_commission_structure'!$A$1:$I$4,
MATCH($D504, '2018_commission_structure'!$A$1:$A$4,0),
MATCH(R$1, '2018_commission_structure'!$A$1:$I$1,0)), 0)</f>
        <v>0</v>
      </c>
      <c r="S504" s="11">
        <f t="shared" si="47"/>
        <v>0</v>
      </c>
      <c r="T504" s="11" cm="1">
        <f t="array" ref="T504">SUM(E504+O504:Q504)</f>
        <v>191079</v>
      </c>
    </row>
    <row r="505" spans="1:20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 xml:space="preserve"> COUNTIF(deals_closed!D:D,A505)</f>
        <v>19</v>
      </c>
      <c r="G505" s="5">
        <f>SUMIF(deals_closed!D:D, calculations!A505, deals_closed!C:C)</f>
        <v>620798</v>
      </c>
      <c r="H505" s="5">
        <f>VLOOKUP(D505,'2018_commission_structure'!$A$2:$I$4,9,FALSE)</f>
        <v>750000</v>
      </c>
      <c r="I505" s="9">
        <f t="shared" si="42"/>
        <v>937500</v>
      </c>
      <c r="J505" s="8">
        <f t="shared" si="43"/>
        <v>1125000</v>
      </c>
      <c r="K505" s="9">
        <f t="shared" si="44"/>
        <v>1500000</v>
      </c>
      <c r="L505" s="10">
        <f t="shared" si="45"/>
        <v>0.82773066666666661</v>
      </c>
      <c r="M505" t="str">
        <f t="shared" si="46"/>
        <v>0-100%</v>
      </c>
      <c r="N505" s="9">
        <f>MIN(H505, G505)*INDEX('2018_commission_structure'!$A$1:$I$4,
MATCH($D505, '2018_commission_structure'!$A$1:$A$4,0),
MATCH(N$1, '2018_commission_structure'!$A$1:$I$1,0))</f>
        <v>93119.7</v>
      </c>
      <c r="O505" s="11">
        <f>IF(G505&gt;H505, MIN(G505-H505, I505-H505)*
INDEX('2018_commission_structure'!$A$1:$I$4,
MATCH($D505, '2018_commission_structure'!$A$1:$A$4, 0),
MATCH(O$1, '2018_commission_structure'!$A$1:$I$1, 0)), 0)</f>
        <v>0</v>
      </c>
      <c r="P505" s="11">
        <f>IF(G505&gt;H505, MIN(G505-H505, J505-H505)*
INDEX('2018_commission_structure'!$A$1:$I$4,
MATCH($D505, '2018_commission_structure'!$A$1:$A$4, 0),
MATCH(O$1, '2018_commission_structure'!$A$1:$I$1, 0)), 0)</f>
        <v>0</v>
      </c>
      <c r="Q505" s="11">
        <f>IF(G505&gt;H505, MIN(G505-H505, I505-H505)*
INDEX('2018_commission_structure'!$A$1:$I$4,
MATCH($D505, '2018_commission_structure'!$A$1:$A$4, 0),
MATCH(P$1, '2018_commission_structure'!$A$1:$I$1, 0)), 0)</f>
        <v>0</v>
      </c>
      <c r="R505" s="11">
        <f>IF(G505&gt;K505, (G505-K505) *
INDEX('2018_commission_structure'!$A$1:$I$4,
MATCH($D505, '2018_commission_structure'!$A$1:$A$4,0),
MATCH(R$1, '2018_commission_structure'!$A$1:$I$1,0)), 0)</f>
        <v>0</v>
      </c>
      <c r="S505" s="11">
        <f t="shared" si="47"/>
        <v>0</v>
      </c>
      <c r="T505" s="11" cm="1">
        <f t="array" ref="T505">SUM(E505+O505:Q505)</f>
        <v>259101</v>
      </c>
    </row>
    <row r="506" spans="1:20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 xml:space="preserve"> COUNTIF(deals_closed!D:D,A506)</f>
        <v>26</v>
      </c>
      <c r="G506" s="5">
        <f>SUMIF(deals_closed!D:D, calculations!A506, deals_closed!C:C)</f>
        <v>805390</v>
      </c>
      <c r="H506" s="5">
        <f>VLOOKUP(D506,'2018_commission_structure'!$A$2:$I$4,9,FALSE)</f>
        <v>750000</v>
      </c>
      <c r="I506" s="9">
        <f t="shared" si="42"/>
        <v>937500</v>
      </c>
      <c r="J506" s="8">
        <f t="shared" si="43"/>
        <v>1125000</v>
      </c>
      <c r="K506" s="9">
        <f t="shared" si="44"/>
        <v>1500000</v>
      </c>
      <c r="L506" s="10">
        <f t="shared" si="45"/>
        <v>1.0738533333333333</v>
      </c>
      <c r="M506" t="str">
        <f t="shared" si="46"/>
        <v>100-125%</v>
      </c>
      <c r="N506" s="9">
        <f>MIN(H506, G506)*INDEX('2018_commission_structure'!$A$1:$I$4,
MATCH($D506, '2018_commission_structure'!$A$1:$A$4,0),
MATCH(N$1, '2018_commission_structure'!$A$1:$I$1,0))</f>
        <v>112500</v>
      </c>
      <c r="O506" s="11">
        <f>IF(G506&gt;H506, MIN(G506-H506, I506-H506)*
INDEX('2018_commission_structure'!$A$1:$I$4,
MATCH($D506, '2018_commission_structure'!$A$1:$A$4, 0),
MATCH(O$1, '2018_commission_structure'!$A$1:$I$1, 0)), 0)</f>
        <v>10524.1</v>
      </c>
      <c r="P506" s="11">
        <f>IF(G506&gt;H506, MIN(G506-H506, J506-H506)*
INDEX('2018_commission_structure'!$A$1:$I$4,
MATCH($D506, '2018_commission_structure'!$A$1:$A$4, 0),
MATCH(O$1, '2018_commission_structure'!$A$1:$I$1, 0)), 0)</f>
        <v>10524.1</v>
      </c>
      <c r="Q506" s="11">
        <f>IF(G506&gt;H506, MIN(G506-H506, I506-H506)*
INDEX('2018_commission_structure'!$A$1:$I$4,
MATCH($D506, '2018_commission_structure'!$A$1:$A$4, 0),
MATCH(P$1, '2018_commission_structure'!$A$1:$I$1, 0)), 0)</f>
        <v>12739.7</v>
      </c>
      <c r="R506" s="11">
        <f>IF(G506&gt;K506, (G506-K506) *
INDEX('2018_commission_structure'!$A$1:$I$4,
MATCH($D506, '2018_commission_structure'!$A$1:$A$4,0),
MATCH(R$1, '2018_commission_structure'!$A$1:$I$1,0)), 0)</f>
        <v>0</v>
      </c>
      <c r="S506" s="11">
        <f t="shared" si="47"/>
        <v>33787.9</v>
      </c>
      <c r="T506" s="11" cm="1">
        <f t="array" ref="T506">SUM(E506+O506:Q506)</f>
        <v>391987.9</v>
      </c>
    </row>
    <row r="507" spans="1:20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 xml:space="preserve"> COUNTIF(deals_closed!D:D,A507)</f>
        <v>17</v>
      </c>
      <c r="G507" s="5">
        <f>SUMIF(deals_closed!D:D, calculations!A507, deals_closed!C:C)</f>
        <v>545501</v>
      </c>
      <c r="H507" s="5">
        <f>VLOOKUP(D507,'2018_commission_structure'!$A$2:$I$4,9,FALSE)</f>
        <v>500000</v>
      </c>
      <c r="I507" s="9">
        <f t="shared" si="42"/>
        <v>625000</v>
      </c>
      <c r="J507" s="8">
        <f t="shared" si="43"/>
        <v>750000</v>
      </c>
      <c r="K507" s="9">
        <f t="shared" si="44"/>
        <v>1000000</v>
      </c>
      <c r="L507" s="10">
        <f t="shared" si="45"/>
        <v>1.091002</v>
      </c>
      <c r="M507" t="str">
        <f t="shared" si="46"/>
        <v>100-125%</v>
      </c>
      <c r="N507" s="9">
        <f>MIN(H507, G507)*INDEX('2018_commission_structure'!$A$1:$I$4,
MATCH($D507, '2018_commission_structure'!$A$1:$A$4,0),
MATCH(N$1, '2018_commission_structure'!$A$1:$I$1,0))</f>
        <v>50000</v>
      </c>
      <c r="O507" s="11">
        <f>IF(G507&gt;H507, MIN(G507-H507, I507-H507)*
INDEX('2018_commission_structure'!$A$1:$I$4,
MATCH($D507, '2018_commission_structure'!$A$1:$A$4, 0),
MATCH(O$1, '2018_commission_structure'!$A$1:$I$1, 0)), 0)</f>
        <v>6825.15</v>
      </c>
      <c r="P507" s="11">
        <f>IF(G507&gt;H507, MIN(G507-H507, J507-H507)*
INDEX('2018_commission_structure'!$A$1:$I$4,
MATCH($D507, '2018_commission_structure'!$A$1:$A$4, 0),
MATCH(O$1, '2018_commission_structure'!$A$1:$I$1, 0)), 0)</f>
        <v>6825.15</v>
      </c>
      <c r="Q507" s="11">
        <f>IF(G507&gt;H507, MIN(G507-H507, I507-H507)*
INDEX('2018_commission_structure'!$A$1:$I$4,
MATCH($D507, '2018_commission_structure'!$A$1:$A$4, 0),
MATCH(P$1, '2018_commission_structure'!$A$1:$I$1, 0)), 0)</f>
        <v>8190.1799999999994</v>
      </c>
      <c r="R507" s="11">
        <f>IF(G507&gt;K507, (G507-K507) *
INDEX('2018_commission_structure'!$A$1:$I$4,
MATCH($D507, '2018_commission_structure'!$A$1:$A$4,0),
MATCH(R$1, '2018_commission_structure'!$A$1:$I$1,0)), 0)</f>
        <v>0</v>
      </c>
      <c r="S507" s="11">
        <f t="shared" si="47"/>
        <v>21840.48</v>
      </c>
      <c r="T507" s="11" cm="1">
        <f t="array" ref="T507">SUM(E507+O507:Q507)</f>
        <v>197184.47999999998</v>
      </c>
    </row>
    <row r="508" spans="1:20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 xml:space="preserve"> COUNTIF(deals_closed!D:D,A508)</f>
        <v>17</v>
      </c>
      <c r="G508" s="5">
        <f>SUMIF(deals_closed!D:D, calculations!A508, deals_closed!C:C)</f>
        <v>619591</v>
      </c>
      <c r="H508" s="5">
        <f>VLOOKUP(D508,'2018_commission_structure'!$A$2:$I$4,9,FALSE)</f>
        <v>750000</v>
      </c>
      <c r="I508" s="9">
        <f t="shared" si="42"/>
        <v>937500</v>
      </c>
      <c r="J508" s="8">
        <f t="shared" si="43"/>
        <v>1125000</v>
      </c>
      <c r="K508" s="9">
        <f t="shared" si="44"/>
        <v>1500000</v>
      </c>
      <c r="L508" s="10">
        <f t="shared" si="45"/>
        <v>0.82612133333333337</v>
      </c>
      <c r="M508" t="str">
        <f t="shared" si="46"/>
        <v>0-100%</v>
      </c>
      <c r="N508" s="9">
        <f>MIN(H508, G508)*INDEX('2018_commission_structure'!$A$1:$I$4,
MATCH($D508, '2018_commission_structure'!$A$1:$A$4,0),
MATCH(N$1, '2018_commission_structure'!$A$1:$I$1,0))</f>
        <v>92938.65</v>
      </c>
      <c r="O508" s="11">
        <f>IF(G508&gt;H508, MIN(G508-H508, I508-H508)*
INDEX('2018_commission_structure'!$A$1:$I$4,
MATCH($D508, '2018_commission_structure'!$A$1:$A$4, 0),
MATCH(O$1, '2018_commission_structure'!$A$1:$I$1, 0)), 0)</f>
        <v>0</v>
      </c>
      <c r="P508" s="11">
        <f>IF(G508&gt;H508, MIN(G508-H508, J508-H508)*
INDEX('2018_commission_structure'!$A$1:$I$4,
MATCH($D508, '2018_commission_structure'!$A$1:$A$4, 0),
MATCH(O$1, '2018_commission_structure'!$A$1:$I$1, 0)), 0)</f>
        <v>0</v>
      </c>
      <c r="Q508" s="11">
        <f>IF(G508&gt;H508, MIN(G508-H508, I508-H508)*
INDEX('2018_commission_structure'!$A$1:$I$4,
MATCH($D508, '2018_commission_structure'!$A$1:$A$4, 0),
MATCH(P$1, '2018_commission_structure'!$A$1:$I$1, 0)), 0)</f>
        <v>0</v>
      </c>
      <c r="R508" s="11">
        <f>IF(G508&gt;K508, (G508-K508) *
INDEX('2018_commission_structure'!$A$1:$I$4,
MATCH($D508, '2018_commission_structure'!$A$1:$A$4,0),
MATCH(R$1, '2018_commission_structure'!$A$1:$I$1,0)), 0)</f>
        <v>0</v>
      </c>
      <c r="S508" s="11">
        <f t="shared" si="47"/>
        <v>0</v>
      </c>
      <c r="T508" s="11" cm="1">
        <f t="array" ref="T508">SUM(E508+O508:Q508)</f>
        <v>329688</v>
      </c>
    </row>
    <row r="509" spans="1:20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 xml:space="preserve"> COUNTIF(deals_closed!D:D,A509)</f>
        <v>18</v>
      </c>
      <c r="G509" s="5">
        <f>SUMIF(deals_closed!D:D, calculations!A509, deals_closed!C:C)</f>
        <v>621016</v>
      </c>
      <c r="H509" s="5">
        <f>VLOOKUP(D509,'2018_commission_structure'!$A$2:$I$4,9,FALSE)</f>
        <v>600000</v>
      </c>
      <c r="I509" s="9">
        <f t="shared" si="42"/>
        <v>750000</v>
      </c>
      <c r="J509" s="8">
        <f t="shared" si="43"/>
        <v>900000</v>
      </c>
      <c r="K509" s="9">
        <f t="shared" si="44"/>
        <v>1200000</v>
      </c>
      <c r="L509" s="10">
        <f t="shared" si="45"/>
        <v>1.0350266666666668</v>
      </c>
      <c r="M509" t="str">
        <f t="shared" si="46"/>
        <v>100-125%</v>
      </c>
      <c r="N509" s="9">
        <f>MIN(H509, G509)*INDEX('2018_commission_structure'!$A$1:$I$4,
MATCH($D509, '2018_commission_structure'!$A$1:$A$4,0),
MATCH(N$1, '2018_commission_structure'!$A$1:$I$1,0))</f>
        <v>78000</v>
      </c>
      <c r="O509" s="11">
        <f>IF(G509&gt;H509, MIN(G509-H509, I509-H509)*
INDEX('2018_commission_structure'!$A$1:$I$4,
MATCH($D509, '2018_commission_structure'!$A$1:$A$4, 0),
MATCH(O$1, '2018_commission_structure'!$A$1:$I$1, 0)), 0)</f>
        <v>3572.7200000000003</v>
      </c>
      <c r="P509" s="11">
        <f>IF(G509&gt;H509, MIN(G509-H509, J509-H509)*
INDEX('2018_commission_structure'!$A$1:$I$4,
MATCH($D509, '2018_commission_structure'!$A$1:$A$4, 0),
MATCH(O$1, '2018_commission_structure'!$A$1:$I$1, 0)), 0)</f>
        <v>3572.7200000000003</v>
      </c>
      <c r="Q509" s="11">
        <f>IF(G509&gt;H509, MIN(G509-H509, I509-H509)*
INDEX('2018_commission_structure'!$A$1:$I$4,
MATCH($D509, '2018_commission_structure'!$A$1:$A$4, 0),
MATCH(P$1, '2018_commission_structure'!$A$1:$I$1, 0)), 0)</f>
        <v>4413.3599999999997</v>
      </c>
      <c r="R509" s="11">
        <f>IF(G509&gt;K509, (G509-K509) *
INDEX('2018_commission_structure'!$A$1:$I$4,
MATCH($D509, '2018_commission_structure'!$A$1:$A$4,0),
MATCH(R$1, '2018_commission_structure'!$A$1:$I$1,0)), 0)</f>
        <v>0</v>
      </c>
      <c r="S509" s="11">
        <f t="shared" si="47"/>
        <v>11558.8</v>
      </c>
      <c r="T509" s="11" cm="1">
        <f t="array" ref="T509">SUM(E509+O509:Q509)</f>
        <v>199952.8</v>
      </c>
    </row>
    <row r="510" spans="1:20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 xml:space="preserve"> COUNTIF(deals_closed!D:D,A510)</f>
        <v>28</v>
      </c>
      <c r="G510" s="5">
        <f>SUMIF(deals_closed!D:D, calculations!A510, deals_closed!C:C)</f>
        <v>900340</v>
      </c>
      <c r="H510" s="5">
        <f>VLOOKUP(D510,'2018_commission_structure'!$A$2:$I$4,9,FALSE)</f>
        <v>750000</v>
      </c>
      <c r="I510" s="9">
        <f t="shared" si="42"/>
        <v>937500</v>
      </c>
      <c r="J510" s="8">
        <f t="shared" si="43"/>
        <v>1125000</v>
      </c>
      <c r="K510" s="9">
        <f t="shared" si="44"/>
        <v>1500000</v>
      </c>
      <c r="L510" s="10">
        <f t="shared" si="45"/>
        <v>1.2004533333333334</v>
      </c>
      <c r="M510" t="str">
        <f t="shared" si="46"/>
        <v>100-125%</v>
      </c>
      <c r="N510" s="9">
        <f>MIN(H510, G510)*INDEX('2018_commission_structure'!$A$1:$I$4,
MATCH($D510, '2018_commission_structure'!$A$1:$A$4,0),
MATCH(N$1, '2018_commission_structure'!$A$1:$I$1,0))</f>
        <v>112500</v>
      </c>
      <c r="O510" s="11">
        <f>IF(G510&gt;H510, MIN(G510-H510, I510-H510)*
INDEX('2018_commission_structure'!$A$1:$I$4,
MATCH($D510, '2018_commission_structure'!$A$1:$A$4, 0),
MATCH(O$1, '2018_commission_structure'!$A$1:$I$1, 0)), 0)</f>
        <v>28564.6</v>
      </c>
      <c r="P510" s="11">
        <f>IF(G510&gt;H510, MIN(G510-H510, J510-H510)*
INDEX('2018_commission_structure'!$A$1:$I$4,
MATCH($D510, '2018_commission_structure'!$A$1:$A$4, 0),
MATCH(O$1, '2018_commission_structure'!$A$1:$I$1, 0)), 0)</f>
        <v>28564.6</v>
      </c>
      <c r="Q510" s="11">
        <f>IF(G510&gt;H510, MIN(G510-H510, I510-H510)*
INDEX('2018_commission_structure'!$A$1:$I$4,
MATCH($D510, '2018_commission_structure'!$A$1:$A$4, 0),
MATCH(P$1, '2018_commission_structure'!$A$1:$I$1, 0)), 0)</f>
        <v>34578.200000000004</v>
      </c>
      <c r="R510" s="11">
        <f>IF(G510&gt;K510, (G510-K510) *
INDEX('2018_commission_structure'!$A$1:$I$4,
MATCH($D510, '2018_commission_structure'!$A$1:$A$4,0),
MATCH(R$1, '2018_commission_structure'!$A$1:$I$1,0)), 0)</f>
        <v>0</v>
      </c>
      <c r="S510" s="11">
        <f t="shared" si="47"/>
        <v>91707.4</v>
      </c>
      <c r="T510" s="11" cm="1">
        <f t="array" ref="T510">SUM(E510+O510:Q510)</f>
        <v>351816.4</v>
      </c>
    </row>
    <row r="511" spans="1:20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 xml:space="preserve"> COUNTIF(deals_closed!D:D,A511)</f>
        <v>19</v>
      </c>
      <c r="G511" s="5">
        <f>SUMIF(deals_closed!D:D, calculations!A511, deals_closed!C:C)</f>
        <v>718836</v>
      </c>
      <c r="H511" s="5">
        <f>VLOOKUP(D511,'2018_commission_structure'!$A$2:$I$4,9,FALSE)</f>
        <v>600000</v>
      </c>
      <c r="I511" s="9">
        <f t="shared" si="42"/>
        <v>750000</v>
      </c>
      <c r="J511" s="8">
        <f t="shared" si="43"/>
        <v>900000</v>
      </c>
      <c r="K511" s="9">
        <f t="shared" si="44"/>
        <v>1200000</v>
      </c>
      <c r="L511" s="10">
        <f t="shared" si="45"/>
        <v>1.1980599999999999</v>
      </c>
      <c r="M511" t="str">
        <f t="shared" si="46"/>
        <v>100-125%</v>
      </c>
      <c r="N511" s="9">
        <f>MIN(H511, G511)*INDEX('2018_commission_structure'!$A$1:$I$4,
MATCH($D511, '2018_commission_structure'!$A$1:$A$4,0),
MATCH(N$1, '2018_commission_structure'!$A$1:$I$1,0))</f>
        <v>78000</v>
      </c>
      <c r="O511" s="11">
        <f>IF(G511&gt;H511, MIN(G511-H511, I511-H511)*
INDEX('2018_commission_structure'!$A$1:$I$4,
MATCH($D511, '2018_commission_structure'!$A$1:$A$4, 0),
MATCH(O$1, '2018_commission_structure'!$A$1:$I$1, 0)), 0)</f>
        <v>20202.120000000003</v>
      </c>
      <c r="P511" s="11">
        <f>IF(G511&gt;H511, MIN(G511-H511, J511-H511)*
INDEX('2018_commission_structure'!$A$1:$I$4,
MATCH($D511, '2018_commission_structure'!$A$1:$A$4, 0),
MATCH(O$1, '2018_commission_structure'!$A$1:$I$1, 0)), 0)</f>
        <v>20202.120000000003</v>
      </c>
      <c r="Q511" s="11">
        <f>IF(G511&gt;H511, MIN(G511-H511, I511-H511)*
INDEX('2018_commission_structure'!$A$1:$I$4,
MATCH($D511, '2018_commission_structure'!$A$1:$A$4, 0),
MATCH(P$1, '2018_commission_structure'!$A$1:$I$1, 0)), 0)</f>
        <v>24955.559999999998</v>
      </c>
      <c r="R511" s="11">
        <f>IF(G511&gt;K511, (G511-K511) *
INDEX('2018_commission_structure'!$A$1:$I$4,
MATCH($D511, '2018_commission_structure'!$A$1:$A$4,0),
MATCH(R$1, '2018_commission_structure'!$A$1:$I$1,0)), 0)</f>
        <v>0</v>
      </c>
      <c r="S511" s="11">
        <f t="shared" si="47"/>
        <v>65359.8</v>
      </c>
      <c r="T511" s="11" cm="1">
        <f t="array" ref="T511">SUM(E511+O511:Q511)</f>
        <v>216490.8</v>
      </c>
    </row>
    <row r="512" spans="1:20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 xml:space="preserve"> COUNTIF(deals_closed!D:D,A512)</f>
        <v>23</v>
      </c>
      <c r="G512" s="5">
        <f>SUMIF(deals_closed!D:D, calculations!A512, deals_closed!C:C)</f>
        <v>842895</v>
      </c>
      <c r="H512" s="5">
        <f>VLOOKUP(D512,'2018_commission_structure'!$A$2:$I$4,9,FALSE)</f>
        <v>750000</v>
      </c>
      <c r="I512" s="9">
        <f t="shared" si="42"/>
        <v>937500</v>
      </c>
      <c r="J512" s="8">
        <f t="shared" si="43"/>
        <v>1125000</v>
      </c>
      <c r="K512" s="9">
        <f t="shared" si="44"/>
        <v>1500000</v>
      </c>
      <c r="L512" s="10">
        <f t="shared" si="45"/>
        <v>1.1238600000000001</v>
      </c>
      <c r="M512" t="str">
        <f t="shared" si="46"/>
        <v>100-125%</v>
      </c>
      <c r="N512" s="9">
        <f>MIN(H512, G512)*INDEX('2018_commission_structure'!$A$1:$I$4,
MATCH($D512, '2018_commission_structure'!$A$1:$A$4,0),
MATCH(N$1, '2018_commission_structure'!$A$1:$I$1,0))</f>
        <v>112500</v>
      </c>
      <c r="O512" s="11">
        <f>IF(G512&gt;H512, MIN(G512-H512, I512-H512)*
INDEX('2018_commission_structure'!$A$1:$I$4,
MATCH($D512, '2018_commission_structure'!$A$1:$A$4, 0),
MATCH(O$1, '2018_commission_structure'!$A$1:$I$1, 0)), 0)</f>
        <v>17650.05</v>
      </c>
      <c r="P512" s="11">
        <f>IF(G512&gt;H512, MIN(G512-H512, J512-H512)*
INDEX('2018_commission_structure'!$A$1:$I$4,
MATCH($D512, '2018_commission_structure'!$A$1:$A$4, 0),
MATCH(O$1, '2018_commission_structure'!$A$1:$I$1, 0)), 0)</f>
        <v>17650.05</v>
      </c>
      <c r="Q512" s="11">
        <f>IF(G512&gt;H512, MIN(G512-H512, I512-H512)*
INDEX('2018_commission_structure'!$A$1:$I$4,
MATCH($D512, '2018_commission_structure'!$A$1:$A$4, 0),
MATCH(P$1, '2018_commission_structure'!$A$1:$I$1, 0)), 0)</f>
        <v>21365.850000000002</v>
      </c>
      <c r="R512" s="11">
        <f>IF(G512&gt;K512, (G512-K512) *
INDEX('2018_commission_structure'!$A$1:$I$4,
MATCH($D512, '2018_commission_structure'!$A$1:$A$4,0),
MATCH(R$1, '2018_commission_structure'!$A$1:$I$1,0)), 0)</f>
        <v>0</v>
      </c>
      <c r="S512" s="11">
        <f t="shared" si="47"/>
        <v>56665.95</v>
      </c>
      <c r="T512" s="11" cm="1">
        <f t="array" ref="T512">SUM(E512+O512:Q512)</f>
        <v>413596.94999999995</v>
      </c>
    </row>
    <row r="513" spans="1:20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 xml:space="preserve"> COUNTIF(deals_closed!D:D,A513)</f>
        <v>18</v>
      </c>
      <c r="G513" s="5">
        <f>SUMIF(deals_closed!D:D, calculations!A513, deals_closed!C:C)</f>
        <v>720527</v>
      </c>
      <c r="H513" s="5">
        <f>VLOOKUP(D513,'2018_commission_structure'!$A$2:$I$4,9,FALSE)</f>
        <v>750000</v>
      </c>
      <c r="I513" s="9">
        <f t="shared" si="42"/>
        <v>937500</v>
      </c>
      <c r="J513" s="8">
        <f t="shared" si="43"/>
        <v>1125000</v>
      </c>
      <c r="K513" s="9">
        <f t="shared" si="44"/>
        <v>1500000</v>
      </c>
      <c r="L513" s="10">
        <f t="shared" si="45"/>
        <v>0.9607026666666667</v>
      </c>
      <c r="M513" t="str">
        <f t="shared" si="46"/>
        <v>0-100%</v>
      </c>
      <c r="N513" s="9">
        <f>MIN(H513, G513)*INDEX('2018_commission_structure'!$A$1:$I$4,
MATCH($D513, '2018_commission_structure'!$A$1:$A$4,0),
MATCH(N$1, '2018_commission_structure'!$A$1:$I$1,0))</f>
        <v>108079.05</v>
      </c>
      <c r="O513" s="11">
        <f>IF(G513&gt;H513, MIN(G513-H513, I513-H513)*
INDEX('2018_commission_structure'!$A$1:$I$4,
MATCH($D513, '2018_commission_structure'!$A$1:$A$4, 0),
MATCH(O$1, '2018_commission_structure'!$A$1:$I$1, 0)), 0)</f>
        <v>0</v>
      </c>
      <c r="P513" s="11">
        <f>IF(G513&gt;H513, MIN(G513-H513, J513-H513)*
INDEX('2018_commission_structure'!$A$1:$I$4,
MATCH($D513, '2018_commission_structure'!$A$1:$A$4, 0),
MATCH(O$1, '2018_commission_structure'!$A$1:$I$1, 0)), 0)</f>
        <v>0</v>
      </c>
      <c r="Q513" s="11">
        <f>IF(G513&gt;H513, MIN(G513-H513, I513-H513)*
INDEX('2018_commission_structure'!$A$1:$I$4,
MATCH($D513, '2018_commission_structure'!$A$1:$A$4, 0),
MATCH(P$1, '2018_commission_structure'!$A$1:$I$1, 0)), 0)</f>
        <v>0</v>
      </c>
      <c r="R513" s="11">
        <f>IF(G513&gt;K513, (G513-K513) *
INDEX('2018_commission_structure'!$A$1:$I$4,
MATCH($D513, '2018_commission_structure'!$A$1:$A$4,0),
MATCH(R$1, '2018_commission_structure'!$A$1:$I$1,0)), 0)</f>
        <v>0</v>
      </c>
      <c r="S513" s="11">
        <f t="shared" si="47"/>
        <v>0</v>
      </c>
      <c r="T513" s="11" cm="1">
        <f t="array" ref="T513">SUM(E513+O513:Q513)</f>
        <v>285081</v>
      </c>
    </row>
    <row r="514" spans="1:20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 xml:space="preserve"> COUNTIF(deals_closed!D:D,A514)</f>
        <v>35</v>
      </c>
      <c r="G514" s="5">
        <f>SUMIF(deals_closed!D:D, calculations!A514, deals_closed!C:C)</f>
        <v>1196909</v>
      </c>
      <c r="H514" s="5">
        <f>VLOOKUP(D514,'2018_commission_structure'!$A$2:$I$4,9,FALSE)</f>
        <v>500000</v>
      </c>
      <c r="I514" s="9">
        <f t="shared" si="42"/>
        <v>625000</v>
      </c>
      <c r="J514" s="8">
        <f t="shared" si="43"/>
        <v>750000</v>
      </c>
      <c r="K514" s="9">
        <f t="shared" si="44"/>
        <v>1000000</v>
      </c>
      <c r="L514" s="10">
        <f t="shared" si="45"/>
        <v>2.393818</v>
      </c>
      <c r="M514" t="str">
        <f t="shared" si="46"/>
        <v>&gt;200%</v>
      </c>
      <c r="N514" s="9">
        <f>MIN(H514, G514)*INDEX('2018_commission_structure'!$A$1:$I$4,
MATCH($D514, '2018_commission_structure'!$A$1:$A$4,0),
MATCH(N$1, '2018_commission_structure'!$A$1:$I$1,0))</f>
        <v>50000</v>
      </c>
      <c r="O514" s="11">
        <f>IF(G514&gt;H514, MIN(G514-H514, I514-H514)*
INDEX('2018_commission_structure'!$A$1:$I$4,
MATCH($D514, '2018_commission_structure'!$A$1:$A$4, 0),
MATCH(O$1, '2018_commission_structure'!$A$1:$I$1, 0)), 0)</f>
        <v>18750</v>
      </c>
      <c r="P514" s="11">
        <f>IF(G514&gt;H514, MIN(G514-H514, J514-H514)*
INDEX('2018_commission_structure'!$A$1:$I$4,
MATCH($D514, '2018_commission_structure'!$A$1:$A$4, 0),
MATCH(O$1, '2018_commission_structure'!$A$1:$I$1, 0)), 0)</f>
        <v>37500</v>
      </c>
      <c r="Q514" s="11">
        <f>IF(G514&gt;H514, MIN(G514-H514, I514-H514)*
INDEX('2018_commission_structure'!$A$1:$I$4,
MATCH($D514, '2018_commission_structure'!$A$1:$A$4, 0),
MATCH(P$1, '2018_commission_structure'!$A$1:$I$1, 0)), 0)</f>
        <v>22500</v>
      </c>
      <c r="R514" s="11">
        <f>IF(G514&gt;K514, (G514-K514) *
INDEX('2018_commission_structure'!$A$1:$I$4,
MATCH($D514, '2018_commission_structure'!$A$1:$A$4,0),
MATCH(R$1, '2018_commission_structure'!$A$1:$I$1,0)), 0)</f>
        <v>19690.900000000001</v>
      </c>
      <c r="S514" s="11">
        <f t="shared" si="47"/>
        <v>78750</v>
      </c>
      <c r="T514" s="11" cm="1">
        <f t="array" ref="T514">SUM(E514+O514:Q514)</f>
        <v>257064</v>
      </c>
    </row>
    <row r="515" spans="1:20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 xml:space="preserve"> COUNTIF(deals_closed!D:D,A515)</f>
        <v>10</v>
      </c>
      <c r="G515" s="5">
        <f>SUMIF(deals_closed!D:D, calculations!A515, deals_closed!C:C)</f>
        <v>303175</v>
      </c>
      <c r="H515" s="5">
        <f>VLOOKUP(D515,'2018_commission_structure'!$A$2:$I$4,9,FALSE)</f>
        <v>750000</v>
      </c>
      <c r="I515" s="9">
        <f t="shared" ref="I515:I578" si="48">H515*1.25</f>
        <v>937500</v>
      </c>
      <c r="J515" s="8">
        <f t="shared" ref="J515:J578" si="49">H515*1.5</f>
        <v>1125000</v>
      </c>
      <c r="K515" s="9">
        <f t="shared" ref="K515:K578" si="50">H515*2</f>
        <v>1500000</v>
      </c>
      <c r="L515" s="10">
        <f t="shared" ref="L515:L578" si="51">G515/H515</f>
        <v>0.40423333333333333</v>
      </c>
      <c r="M515" t="str">
        <f t="shared" ref="M515:M578" si="52">IF(L515&lt;=1, "0-100%",
IF(L515&lt;=1.25, "100-125%",
IF(L515&lt;=1.5, "125-150%",
IF(L515&lt;2, "150-200%", "&gt;200%"))))</f>
        <v>0-100%</v>
      </c>
      <c r="N515" s="9">
        <f>MIN(H515, G515)*INDEX('2018_commission_structure'!$A$1:$I$4,
MATCH($D515, '2018_commission_structure'!$A$1:$A$4,0),
MATCH(N$1, '2018_commission_structure'!$A$1:$I$1,0))</f>
        <v>45476.25</v>
      </c>
      <c r="O515" s="11">
        <f>IF(G515&gt;H515, MIN(G515-H515, I515-H515)*
INDEX('2018_commission_structure'!$A$1:$I$4,
MATCH($D515, '2018_commission_structure'!$A$1:$A$4, 0),
MATCH(O$1, '2018_commission_structure'!$A$1:$I$1, 0)), 0)</f>
        <v>0</v>
      </c>
      <c r="P515" s="11">
        <f>IF(G515&gt;H515, MIN(G515-H515, J515-H515)*
INDEX('2018_commission_structure'!$A$1:$I$4,
MATCH($D515, '2018_commission_structure'!$A$1:$A$4, 0),
MATCH(O$1, '2018_commission_structure'!$A$1:$I$1, 0)), 0)</f>
        <v>0</v>
      </c>
      <c r="Q515" s="11">
        <f>IF(G515&gt;H515, MIN(G515-H515, I515-H515)*
INDEX('2018_commission_structure'!$A$1:$I$4,
MATCH($D515, '2018_commission_structure'!$A$1:$A$4, 0),
MATCH(P$1, '2018_commission_structure'!$A$1:$I$1, 0)), 0)</f>
        <v>0</v>
      </c>
      <c r="R515" s="11">
        <f>IF(G515&gt;K515, (G515-K515) *
INDEX('2018_commission_structure'!$A$1:$I$4,
MATCH($D515, '2018_commission_structure'!$A$1:$A$4,0),
MATCH(R$1, '2018_commission_structure'!$A$1:$I$1,0)), 0)</f>
        <v>0</v>
      </c>
      <c r="S515" s="11">
        <f t="shared" ref="S515:S578" si="53">SUM(O515:Q515)</f>
        <v>0</v>
      </c>
      <c r="T515" s="11" cm="1">
        <f t="array" ref="T515">SUM(E515+O515:Q515)</f>
        <v>334590</v>
      </c>
    </row>
    <row r="516" spans="1:20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 xml:space="preserve"> COUNTIF(deals_closed!D:D,A516)</f>
        <v>21</v>
      </c>
      <c r="G516" s="5">
        <f>SUMIF(deals_closed!D:D, calculations!A516, deals_closed!C:C)</f>
        <v>662174</v>
      </c>
      <c r="H516" s="5">
        <f>VLOOKUP(D516,'2018_commission_structure'!$A$2:$I$4,9,FALSE)</f>
        <v>600000</v>
      </c>
      <c r="I516" s="9">
        <f t="shared" si="48"/>
        <v>750000</v>
      </c>
      <c r="J516" s="8">
        <f t="shared" si="49"/>
        <v>900000</v>
      </c>
      <c r="K516" s="9">
        <f t="shared" si="50"/>
        <v>1200000</v>
      </c>
      <c r="L516" s="10">
        <f t="shared" si="51"/>
        <v>1.1036233333333334</v>
      </c>
      <c r="M516" t="str">
        <f t="shared" si="52"/>
        <v>100-125%</v>
      </c>
      <c r="N516" s="9">
        <f>MIN(H516, G516)*INDEX('2018_commission_structure'!$A$1:$I$4,
MATCH($D516, '2018_commission_structure'!$A$1:$A$4,0),
MATCH(N$1, '2018_commission_structure'!$A$1:$I$1,0))</f>
        <v>78000</v>
      </c>
      <c r="O516" s="11">
        <f>IF(G516&gt;H516, MIN(G516-H516, I516-H516)*
INDEX('2018_commission_structure'!$A$1:$I$4,
MATCH($D516, '2018_commission_structure'!$A$1:$A$4, 0),
MATCH(O$1, '2018_commission_structure'!$A$1:$I$1, 0)), 0)</f>
        <v>10569.58</v>
      </c>
      <c r="P516" s="11">
        <f>IF(G516&gt;H516, MIN(G516-H516, J516-H516)*
INDEX('2018_commission_structure'!$A$1:$I$4,
MATCH($D516, '2018_commission_structure'!$A$1:$A$4, 0),
MATCH(O$1, '2018_commission_structure'!$A$1:$I$1, 0)), 0)</f>
        <v>10569.58</v>
      </c>
      <c r="Q516" s="11">
        <f>IF(G516&gt;H516, MIN(G516-H516, I516-H516)*
INDEX('2018_commission_structure'!$A$1:$I$4,
MATCH($D516, '2018_commission_structure'!$A$1:$A$4, 0),
MATCH(P$1, '2018_commission_structure'!$A$1:$I$1, 0)), 0)</f>
        <v>13056.539999999999</v>
      </c>
      <c r="R516" s="11">
        <f>IF(G516&gt;K516, (G516-K516) *
INDEX('2018_commission_structure'!$A$1:$I$4,
MATCH($D516, '2018_commission_structure'!$A$1:$A$4,0),
MATCH(R$1, '2018_commission_structure'!$A$1:$I$1,0)), 0)</f>
        <v>0</v>
      </c>
      <c r="S516" s="11">
        <f t="shared" si="53"/>
        <v>34195.699999999997</v>
      </c>
      <c r="T516" s="11" cm="1">
        <f t="array" ref="T516">SUM(E516+O516:Q516)</f>
        <v>187864.7</v>
      </c>
    </row>
    <row r="517" spans="1:20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 xml:space="preserve"> COUNTIF(deals_closed!D:D,A517)</f>
        <v>22</v>
      </c>
      <c r="G517" s="5">
        <f>SUMIF(deals_closed!D:D, calculations!A517, deals_closed!C:C)</f>
        <v>711633</v>
      </c>
      <c r="H517" s="5">
        <f>VLOOKUP(D517,'2018_commission_structure'!$A$2:$I$4,9,FALSE)</f>
        <v>600000</v>
      </c>
      <c r="I517" s="9">
        <f t="shared" si="48"/>
        <v>750000</v>
      </c>
      <c r="J517" s="8">
        <f t="shared" si="49"/>
        <v>900000</v>
      </c>
      <c r="K517" s="9">
        <f t="shared" si="50"/>
        <v>1200000</v>
      </c>
      <c r="L517" s="10">
        <f t="shared" si="51"/>
        <v>1.1860550000000001</v>
      </c>
      <c r="M517" t="str">
        <f t="shared" si="52"/>
        <v>100-125%</v>
      </c>
      <c r="N517" s="9">
        <f>MIN(H517, G517)*INDEX('2018_commission_structure'!$A$1:$I$4,
MATCH($D517, '2018_commission_structure'!$A$1:$A$4,0),
MATCH(N$1, '2018_commission_structure'!$A$1:$I$1,0))</f>
        <v>78000</v>
      </c>
      <c r="O517" s="11">
        <f>IF(G517&gt;H517, MIN(G517-H517, I517-H517)*
INDEX('2018_commission_structure'!$A$1:$I$4,
MATCH($D517, '2018_commission_structure'!$A$1:$A$4, 0),
MATCH(O$1, '2018_commission_structure'!$A$1:$I$1, 0)), 0)</f>
        <v>18977.61</v>
      </c>
      <c r="P517" s="11">
        <f>IF(G517&gt;H517, MIN(G517-H517, J517-H517)*
INDEX('2018_commission_structure'!$A$1:$I$4,
MATCH($D517, '2018_commission_structure'!$A$1:$A$4, 0),
MATCH(O$1, '2018_commission_structure'!$A$1:$I$1, 0)), 0)</f>
        <v>18977.61</v>
      </c>
      <c r="Q517" s="11">
        <f>IF(G517&gt;H517, MIN(G517-H517, I517-H517)*
INDEX('2018_commission_structure'!$A$1:$I$4,
MATCH($D517, '2018_commission_structure'!$A$1:$A$4, 0),
MATCH(P$1, '2018_commission_structure'!$A$1:$I$1, 0)), 0)</f>
        <v>23442.93</v>
      </c>
      <c r="R517" s="11">
        <f>IF(G517&gt;K517, (G517-K517) *
INDEX('2018_commission_structure'!$A$1:$I$4,
MATCH($D517, '2018_commission_structure'!$A$1:$A$4,0),
MATCH(R$1, '2018_commission_structure'!$A$1:$I$1,0)), 0)</f>
        <v>0</v>
      </c>
      <c r="S517" s="11">
        <f t="shared" si="53"/>
        <v>61398.15</v>
      </c>
      <c r="T517" s="11" cm="1">
        <f t="array" ref="T517">SUM(E517+O517:Q517)</f>
        <v>258744.15</v>
      </c>
    </row>
    <row r="518" spans="1:20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 xml:space="preserve"> COUNTIF(deals_closed!D:D,A518)</f>
        <v>26</v>
      </c>
      <c r="G518" s="5">
        <f>SUMIF(deals_closed!D:D, calculations!A518, deals_closed!C:C)</f>
        <v>788945</v>
      </c>
      <c r="H518" s="5">
        <f>VLOOKUP(D518,'2018_commission_structure'!$A$2:$I$4,9,FALSE)</f>
        <v>500000</v>
      </c>
      <c r="I518" s="9">
        <f t="shared" si="48"/>
        <v>625000</v>
      </c>
      <c r="J518" s="8">
        <f t="shared" si="49"/>
        <v>750000</v>
      </c>
      <c r="K518" s="9">
        <f t="shared" si="50"/>
        <v>1000000</v>
      </c>
      <c r="L518" s="10">
        <f t="shared" si="51"/>
        <v>1.57789</v>
      </c>
      <c r="M518" t="str">
        <f t="shared" si="52"/>
        <v>150-200%</v>
      </c>
      <c r="N518" s="9">
        <f>MIN(H518, G518)*INDEX('2018_commission_structure'!$A$1:$I$4,
MATCH($D518, '2018_commission_structure'!$A$1:$A$4,0),
MATCH(N$1, '2018_commission_structure'!$A$1:$I$1,0))</f>
        <v>50000</v>
      </c>
      <c r="O518" s="11">
        <f>IF(G518&gt;H518, MIN(G518-H518, I518-H518)*
INDEX('2018_commission_structure'!$A$1:$I$4,
MATCH($D518, '2018_commission_structure'!$A$1:$A$4, 0),
MATCH(O$1, '2018_commission_structure'!$A$1:$I$1, 0)), 0)</f>
        <v>18750</v>
      </c>
      <c r="P518" s="11">
        <f>IF(G518&gt;H518, MIN(G518-H518, J518-H518)*
INDEX('2018_commission_structure'!$A$1:$I$4,
MATCH($D518, '2018_commission_structure'!$A$1:$A$4, 0),
MATCH(O$1, '2018_commission_structure'!$A$1:$I$1, 0)), 0)</f>
        <v>37500</v>
      </c>
      <c r="Q518" s="11">
        <f>IF(G518&gt;H518, MIN(G518-H518, I518-H518)*
INDEX('2018_commission_structure'!$A$1:$I$4,
MATCH($D518, '2018_commission_structure'!$A$1:$A$4, 0),
MATCH(P$1, '2018_commission_structure'!$A$1:$I$1, 0)), 0)</f>
        <v>22500</v>
      </c>
      <c r="R518" s="11">
        <f>IF(G518&gt;K518, (G518-K518) *
INDEX('2018_commission_structure'!$A$1:$I$4,
MATCH($D518, '2018_commission_structure'!$A$1:$A$4,0),
MATCH(R$1, '2018_commission_structure'!$A$1:$I$1,0)), 0)</f>
        <v>0</v>
      </c>
      <c r="S518" s="11">
        <f t="shared" si="53"/>
        <v>78750</v>
      </c>
      <c r="T518" s="11" cm="1">
        <f t="array" ref="T518">SUM(E518+O518:Q518)</f>
        <v>192357</v>
      </c>
    </row>
    <row r="519" spans="1:20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 xml:space="preserve"> COUNTIF(deals_closed!D:D,A519)</f>
        <v>18</v>
      </c>
      <c r="G519" s="5">
        <f>SUMIF(deals_closed!D:D, calculations!A519, deals_closed!C:C)</f>
        <v>597842</v>
      </c>
      <c r="H519" s="5">
        <f>VLOOKUP(D519,'2018_commission_structure'!$A$2:$I$4,9,FALSE)</f>
        <v>750000</v>
      </c>
      <c r="I519" s="9">
        <f t="shared" si="48"/>
        <v>937500</v>
      </c>
      <c r="J519" s="8">
        <f t="shared" si="49"/>
        <v>1125000</v>
      </c>
      <c r="K519" s="9">
        <f t="shared" si="50"/>
        <v>1500000</v>
      </c>
      <c r="L519" s="10">
        <f t="shared" si="51"/>
        <v>0.79712266666666665</v>
      </c>
      <c r="M519" t="str">
        <f t="shared" si="52"/>
        <v>0-100%</v>
      </c>
      <c r="N519" s="9">
        <f>MIN(H519, G519)*INDEX('2018_commission_structure'!$A$1:$I$4,
MATCH($D519, '2018_commission_structure'!$A$1:$A$4,0),
MATCH(N$1, '2018_commission_structure'!$A$1:$I$1,0))</f>
        <v>89676.3</v>
      </c>
      <c r="O519" s="11">
        <f>IF(G519&gt;H519, MIN(G519-H519, I519-H519)*
INDEX('2018_commission_structure'!$A$1:$I$4,
MATCH($D519, '2018_commission_structure'!$A$1:$A$4, 0),
MATCH(O$1, '2018_commission_structure'!$A$1:$I$1, 0)), 0)</f>
        <v>0</v>
      </c>
      <c r="P519" s="11">
        <f>IF(G519&gt;H519, MIN(G519-H519, J519-H519)*
INDEX('2018_commission_structure'!$A$1:$I$4,
MATCH($D519, '2018_commission_structure'!$A$1:$A$4, 0),
MATCH(O$1, '2018_commission_structure'!$A$1:$I$1, 0)), 0)</f>
        <v>0</v>
      </c>
      <c r="Q519" s="11">
        <f>IF(G519&gt;H519, MIN(G519-H519, I519-H519)*
INDEX('2018_commission_structure'!$A$1:$I$4,
MATCH($D519, '2018_commission_structure'!$A$1:$A$4, 0),
MATCH(P$1, '2018_commission_structure'!$A$1:$I$1, 0)), 0)</f>
        <v>0</v>
      </c>
      <c r="R519" s="11">
        <f>IF(G519&gt;K519, (G519-K519) *
INDEX('2018_commission_structure'!$A$1:$I$4,
MATCH($D519, '2018_commission_structure'!$A$1:$A$4,0),
MATCH(R$1, '2018_commission_structure'!$A$1:$I$1,0)), 0)</f>
        <v>0</v>
      </c>
      <c r="S519" s="11">
        <f t="shared" si="53"/>
        <v>0</v>
      </c>
      <c r="T519" s="11" cm="1">
        <f t="array" ref="T519">SUM(E519+O519:Q519)</f>
        <v>237039</v>
      </c>
    </row>
    <row r="520" spans="1:20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 xml:space="preserve"> COUNTIF(deals_closed!D:D,A520)</f>
        <v>16</v>
      </c>
      <c r="G520" s="5">
        <f>SUMIF(deals_closed!D:D, calculations!A520, deals_closed!C:C)</f>
        <v>531435</v>
      </c>
      <c r="H520" s="5">
        <f>VLOOKUP(D520,'2018_commission_structure'!$A$2:$I$4,9,FALSE)</f>
        <v>600000</v>
      </c>
      <c r="I520" s="9">
        <f t="shared" si="48"/>
        <v>750000</v>
      </c>
      <c r="J520" s="8">
        <f t="shared" si="49"/>
        <v>900000</v>
      </c>
      <c r="K520" s="9">
        <f t="shared" si="50"/>
        <v>1200000</v>
      </c>
      <c r="L520" s="10">
        <f t="shared" si="51"/>
        <v>0.88572499999999998</v>
      </c>
      <c r="M520" t="str">
        <f t="shared" si="52"/>
        <v>0-100%</v>
      </c>
      <c r="N520" s="9">
        <f>MIN(H520, G520)*INDEX('2018_commission_structure'!$A$1:$I$4,
MATCH($D520, '2018_commission_structure'!$A$1:$A$4,0),
MATCH(N$1, '2018_commission_structure'!$A$1:$I$1,0))</f>
        <v>69086.55</v>
      </c>
      <c r="O520" s="11">
        <f>IF(G520&gt;H520, MIN(G520-H520, I520-H520)*
INDEX('2018_commission_structure'!$A$1:$I$4,
MATCH($D520, '2018_commission_structure'!$A$1:$A$4, 0),
MATCH(O$1, '2018_commission_structure'!$A$1:$I$1, 0)), 0)</f>
        <v>0</v>
      </c>
      <c r="P520" s="11">
        <f>IF(G520&gt;H520, MIN(G520-H520, J520-H520)*
INDEX('2018_commission_structure'!$A$1:$I$4,
MATCH($D520, '2018_commission_structure'!$A$1:$A$4, 0),
MATCH(O$1, '2018_commission_structure'!$A$1:$I$1, 0)), 0)</f>
        <v>0</v>
      </c>
      <c r="Q520" s="11">
        <f>IF(G520&gt;H520, MIN(G520-H520, I520-H520)*
INDEX('2018_commission_structure'!$A$1:$I$4,
MATCH($D520, '2018_commission_structure'!$A$1:$A$4, 0),
MATCH(P$1, '2018_commission_structure'!$A$1:$I$1, 0)), 0)</f>
        <v>0</v>
      </c>
      <c r="R520" s="11">
        <f>IF(G520&gt;K520, (G520-K520) *
INDEX('2018_commission_structure'!$A$1:$I$4,
MATCH($D520, '2018_commission_structure'!$A$1:$A$4,0),
MATCH(R$1, '2018_commission_structure'!$A$1:$I$1,0)), 0)</f>
        <v>0</v>
      </c>
      <c r="S520" s="11">
        <f t="shared" si="53"/>
        <v>0</v>
      </c>
      <c r="T520" s="11" cm="1">
        <f t="array" ref="T520">SUM(E520+O520:Q520)</f>
        <v>190479</v>
      </c>
    </row>
    <row r="521" spans="1:20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 xml:space="preserve"> COUNTIF(deals_closed!D:D,A521)</f>
        <v>20</v>
      </c>
      <c r="G521" s="5">
        <f>SUMIF(deals_closed!D:D, calculations!A521, deals_closed!C:C)</f>
        <v>665204</v>
      </c>
      <c r="H521" s="5">
        <f>VLOOKUP(D521,'2018_commission_structure'!$A$2:$I$4,9,FALSE)</f>
        <v>500000</v>
      </c>
      <c r="I521" s="9">
        <f t="shared" si="48"/>
        <v>625000</v>
      </c>
      <c r="J521" s="8">
        <f t="shared" si="49"/>
        <v>750000</v>
      </c>
      <c r="K521" s="9">
        <f t="shared" si="50"/>
        <v>1000000</v>
      </c>
      <c r="L521" s="10">
        <f t="shared" si="51"/>
        <v>1.330408</v>
      </c>
      <c r="M521" t="str">
        <f t="shared" si="52"/>
        <v>125-150%</v>
      </c>
      <c r="N521" s="9">
        <f>MIN(H521, G521)*INDEX('2018_commission_structure'!$A$1:$I$4,
MATCH($D521, '2018_commission_structure'!$A$1:$A$4,0),
MATCH(N$1, '2018_commission_structure'!$A$1:$I$1,0))</f>
        <v>50000</v>
      </c>
      <c r="O521" s="11">
        <f>IF(G521&gt;H521, MIN(G521-H521, I521-H521)*
INDEX('2018_commission_structure'!$A$1:$I$4,
MATCH($D521, '2018_commission_structure'!$A$1:$A$4, 0),
MATCH(O$1, '2018_commission_structure'!$A$1:$I$1, 0)), 0)</f>
        <v>18750</v>
      </c>
      <c r="P521" s="11">
        <f>IF(G521&gt;H521, MIN(G521-H521, J521-H521)*
INDEX('2018_commission_structure'!$A$1:$I$4,
MATCH($D521, '2018_commission_structure'!$A$1:$A$4, 0),
MATCH(O$1, '2018_commission_structure'!$A$1:$I$1, 0)), 0)</f>
        <v>24780.6</v>
      </c>
      <c r="Q521" s="11">
        <f>IF(G521&gt;H521, MIN(G521-H521, I521-H521)*
INDEX('2018_commission_structure'!$A$1:$I$4,
MATCH($D521, '2018_commission_structure'!$A$1:$A$4, 0),
MATCH(P$1, '2018_commission_structure'!$A$1:$I$1, 0)), 0)</f>
        <v>22500</v>
      </c>
      <c r="R521" s="11">
        <f>IF(G521&gt;K521, (G521-K521) *
INDEX('2018_commission_structure'!$A$1:$I$4,
MATCH($D521, '2018_commission_structure'!$A$1:$A$4,0),
MATCH(R$1, '2018_commission_structure'!$A$1:$I$1,0)), 0)</f>
        <v>0</v>
      </c>
      <c r="S521" s="11">
        <f t="shared" si="53"/>
        <v>66030.600000000006</v>
      </c>
      <c r="T521" s="11" cm="1">
        <f t="array" ref="T521">SUM(E521+O521:Q521)</f>
        <v>234054.6</v>
      </c>
    </row>
    <row r="522" spans="1:20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 xml:space="preserve"> COUNTIF(deals_closed!D:D,A522)</f>
        <v>20</v>
      </c>
      <c r="G522" s="5">
        <f>SUMIF(deals_closed!D:D, calculations!A522, deals_closed!C:C)</f>
        <v>711184</v>
      </c>
      <c r="H522" s="5">
        <f>VLOOKUP(D522,'2018_commission_structure'!$A$2:$I$4,9,FALSE)</f>
        <v>500000</v>
      </c>
      <c r="I522" s="9">
        <f t="shared" si="48"/>
        <v>625000</v>
      </c>
      <c r="J522" s="8">
        <f t="shared" si="49"/>
        <v>750000</v>
      </c>
      <c r="K522" s="9">
        <f t="shared" si="50"/>
        <v>1000000</v>
      </c>
      <c r="L522" s="10">
        <f t="shared" si="51"/>
        <v>1.4223680000000001</v>
      </c>
      <c r="M522" t="str">
        <f t="shared" si="52"/>
        <v>125-150%</v>
      </c>
      <c r="N522" s="9">
        <f>MIN(H522, G522)*INDEX('2018_commission_structure'!$A$1:$I$4,
MATCH($D522, '2018_commission_structure'!$A$1:$A$4,0),
MATCH(N$1, '2018_commission_structure'!$A$1:$I$1,0))</f>
        <v>50000</v>
      </c>
      <c r="O522" s="11">
        <f>IF(G522&gt;H522, MIN(G522-H522, I522-H522)*
INDEX('2018_commission_structure'!$A$1:$I$4,
MATCH($D522, '2018_commission_structure'!$A$1:$A$4, 0),
MATCH(O$1, '2018_commission_structure'!$A$1:$I$1, 0)), 0)</f>
        <v>18750</v>
      </c>
      <c r="P522" s="11">
        <f>IF(G522&gt;H522, MIN(G522-H522, J522-H522)*
INDEX('2018_commission_structure'!$A$1:$I$4,
MATCH($D522, '2018_commission_structure'!$A$1:$A$4, 0),
MATCH(O$1, '2018_commission_structure'!$A$1:$I$1, 0)), 0)</f>
        <v>31677.599999999999</v>
      </c>
      <c r="Q522" s="11">
        <f>IF(G522&gt;H522, MIN(G522-H522, I522-H522)*
INDEX('2018_commission_structure'!$A$1:$I$4,
MATCH($D522, '2018_commission_structure'!$A$1:$A$4, 0),
MATCH(P$1, '2018_commission_structure'!$A$1:$I$1, 0)), 0)</f>
        <v>22500</v>
      </c>
      <c r="R522" s="11">
        <f>IF(G522&gt;K522, (G522-K522) *
INDEX('2018_commission_structure'!$A$1:$I$4,
MATCH($D522, '2018_commission_structure'!$A$1:$A$4,0),
MATCH(R$1, '2018_commission_structure'!$A$1:$I$1,0)), 0)</f>
        <v>0</v>
      </c>
      <c r="S522" s="11">
        <f t="shared" si="53"/>
        <v>72927.600000000006</v>
      </c>
      <c r="T522" s="11" cm="1">
        <f t="array" ref="T522">SUM(E522+O522:Q522)</f>
        <v>221295.6</v>
      </c>
    </row>
    <row r="523" spans="1:20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 xml:space="preserve"> COUNTIF(deals_closed!D:D,A523)</f>
        <v>13</v>
      </c>
      <c r="G523" s="5">
        <f>SUMIF(deals_closed!D:D, calculations!A523, deals_closed!C:C)</f>
        <v>479942</v>
      </c>
      <c r="H523" s="5">
        <f>VLOOKUP(D523,'2018_commission_structure'!$A$2:$I$4,9,FALSE)</f>
        <v>500000</v>
      </c>
      <c r="I523" s="9">
        <f t="shared" si="48"/>
        <v>625000</v>
      </c>
      <c r="J523" s="8">
        <f t="shared" si="49"/>
        <v>750000</v>
      </c>
      <c r="K523" s="9">
        <f t="shared" si="50"/>
        <v>1000000</v>
      </c>
      <c r="L523" s="10">
        <f t="shared" si="51"/>
        <v>0.95988399999999996</v>
      </c>
      <c r="M523" t="str">
        <f t="shared" si="52"/>
        <v>0-100%</v>
      </c>
      <c r="N523" s="9">
        <f>MIN(H523, G523)*INDEX('2018_commission_structure'!$A$1:$I$4,
MATCH($D523, '2018_commission_structure'!$A$1:$A$4,0),
MATCH(N$1, '2018_commission_structure'!$A$1:$I$1,0))</f>
        <v>47994.200000000004</v>
      </c>
      <c r="O523" s="11">
        <f>IF(G523&gt;H523, MIN(G523-H523, I523-H523)*
INDEX('2018_commission_structure'!$A$1:$I$4,
MATCH($D523, '2018_commission_structure'!$A$1:$A$4, 0),
MATCH(O$1, '2018_commission_structure'!$A$1:$I$1, 0)), 0)</f>
        <v>0</v>
      </c>
      <c r="P523" s="11">
        <f>IF(G523&gt;H523, MIN(G523-H523, J523-H523)*
INDEX('2018_commission_structure'!$A$1:$I$4,
MATCH($D523, '2018_commission_structure'!$A$1:$A$4, 0),
MATCH(O$1, '2018_commission_structure'!$A$1:$I$1, 0)), 0)</f>
        <v>0</v>
      </c>
      <c r="Q523" s="11">
        <f>IF(G523&gt;H523, MIN(G523-H523, I523-H523)*
INDEX('2018_commission_structure'!$A$1:$I$4,
MATCH($D523, '2018_commission_structure'!$A$1:$A$4, 0),
MATCH(P$1, '2018_commission_structure'!$A$1:$I$1, 0)), 0)</f>
        <v>0</v>
      </c>
      <c r="R523" s="11">
        <f>IF(G523&gt;K523, (G523-K523) *
INDEX('2018_commission_structure'!$A$1:$I$4,
MATCH($D523, '2018_commission_structure'!$A$1:$A$4,0),
MATCH(R$1, '2018_commission_structure'!$A$1:$I$1,0)), 0)</f>
        <v>0</v>
      </c>
      <c r="S523" s="11">
        <f t="shared" si="53"/>
        <v>0</v>
      </c>
      <c r="T523" s="11" cm="1">
        <f t="array" ref="T523">SUM(E523+O523:Q523)</f>
        <v>122571</v>
      </c>
    </row>
    <row r="524" spans="1:20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 xml:space="preserve"> COUNTIF(deals_closed!D:D,A524)</f>
        <v>17</v>
      </c>
      <c r="G524" s="5">
        <f>SUMIF(deals_closed!D:D, calculations!A524, deals_closed!C:C)</f>
        <v>522770</v>
      </c>
      <c r="H524" s="5">
        <f>VLOOKUP(D524,'2018_commission_structure'!$A$2:$I$4,9,FALSE)</f>
        <v>600000</v>
      </c>
      <c r="I524" s="9">
        <f t="shared" si="48"/>
        <v>750000</v>
      </c>
      <c r="J524" s="8">
        <f t="shared" si="49"/>
        <v>900000</v>
      </c>
      <c r="K524" s="9">
        <f t="shared" si="50"/>
        <v>1200000</v>
      </c>
      <c r="L524" s="10">
        <f t="shared" si="51"/>
        <v>0.8712833333333333</v>
      </c>
      <c r="M524" t="str">
        <f t="shared" si="52"/>
        <v>0-100%</v>
      </c>
      <c r="N524" s="9">
        <f>MIN(H524, G524)*INDEX('2018_commission_structure'!$A$1:$I$4,
MATCH($D524, '2018_commission_structure'!$A$1:$A$4,0),
MATCH(N$1, '2018_commission_structure'!$A$1:$I$1,0))</f>
        <v>67960.100000000006</v>
      </c>
      <c r="O524" s="11">
        <f>IF(G524&gt;H524, MIN(G524-H524, I524-H524)*
INDEX('2018_commission_structure'!$A$1:$I$4,
MATCH($D524, '2018_commission_structure'!$A$1:$A$4, 0),
MATCH(O$1, '2018_commission_structure'!$A$1:$I$1, 0)), 0)</f>
        <v>0</v>
      </c>
      <c r="P524" s="11">
        <f>IF(G524&gt;H524, MIN(G524-H524, J524-H524)*
INDEX('2018_commission_structure'!$A$1:$I$4,
MATCH($D524, '2018_commission_structure'!$A$1:$A$4, 0),
MATCH(O$1, '2018_commission_structure'!$A$1:$I$1, 0)), 0)</f>
        <v>0</v>
      </c>
      <c r="Q524" s="11">
        <f>IF(G524&gt;H524, MIN(G524-H524, I524-H524)*
INDEX('2018_commission_structure'!$A$1:$I$4,
MATCH($D524, '2018_commission_structure'!$A$1:$A$4, 0),
MATCH(P$1, '2018_commission_structure'!$A$1:$I$1, 0)), 0)</f>
        <v>0</v>
      </c>
      <c r="R524" s="11">
        <f>IF(G524&gt;K524, (G524-K524) *
INDEX('2018_commission_structure'!$A$1:$I$4,
MATCH($D524, '2018_commission_structure'!$A$1:$A$4,0),
MATCH(R$1, '2018_commission_structure'!$A$1:$I$1,0)), 0)</f>
        <v>0</v>
      </c>
      <c r="S524" s="11">
        <f t="shared" si="53"/>
        <v>0</v>
      </c>
      <c r="T524" s="11" cm="1">
        <f t="array" ref="T524">SUM(E524+O524:Q524)</f>
        <v>233616</v>
      </c>
    </row>
    <row r="525" spans="1:20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 xml:space="preserve"> COUNTIF(deals_closed!D:D,A525)</f>
        <v>21</v>
      </c>
      <c r="G525" s="5">
        <f>SUMIF(deals_closed!D:D, calculations!A525, deals_closed!C:C)</f>
        <v>681893</v>
      </c>
      <c r="H525" s="5">
        <f>VLOOKUP(D525,'2018_commission_structure'!$A$2:$I$4,9,FALSE)</f>
        <v>750000</v>
      </c>
      <c r="I525" s="9">
        <f t="shared" si="48"/>
        <v>937500</v>
      </c>
      <c r="J525" s="8">
        <f t="shared" si="49"/>
        <v>1125000</v>
      </c>
      <c r="K525" s="9">
        <f t="shared" si="50"/>
        <v>1500000</v>
      </c>
      <c r="L525" s="10">
        <f t="shared" si="51"/>
        <v>0.9091906666666667</v>
      </c>
      <c r="M525" t="str">
        <f t="shared" si="52"/>
        <v>0-100%</v>
      </c>
      <c r="N525" s="9">
        <f>MIN(H525, G525)*INDEX('2018_commission_structure'!$A$1:$I$4,
MATCH($D525, '2018_commission_structure'!$A$1:$A$4,0),
MATCH(N$1, '2018_commission_structure'!$A$1:$I$1,0))</f>
        <v>102283.95</v>
      </c>
      <c r="O525" s="11">
        <f>IF(G525&gt;H525, MIN(G525-H525, I525-H525)*
INDEX('2018_commission_structure'!$A$1:$I$4,
MATCH($D525, '2018_commission_structure'!$A$1:$A$4, 0),
MATCH(O$1, '2018_commission_structure'!$A$1:$I$1, 0)), 0)</f>
        <v>0</v>
      </c>
      <c r="P525" s="11">
        <f>IF(G525&gt;H525, MIN(G525-H525, J525-H525)*
INDEX('2018_commission_structure'!$A$1:$I$4,
MATCH($D525, '2018_commission_structure'!$A$1:$A$4, 0),
MATCH(O$1, '2018_commission_structure'!$A$1:$I$1, 0)), 0)</f>
        <v>0</v>
      </c>
      <c r="Q525" s="11">
        <f>IF(G525&gt;H525, MIN(G525-H525, I525-H525)*
INDEX('2018_commission_structure'!$A$1:$I$4,
MATCH($D525, '2018_commission_structure'!$A$1:$A$4, 0),
MATCH(P$1, '2018_commission_structure'!$A$1:$I$1, 0)), 0)</f>
        <v>0</v>
      </c>
      <c r="R525" s="11">
        <f>IF(G525&gt;K525, (G525-K525) *
INDEX('2018_commission_structure'!$A$1:$I$4,
MATCH($D525, '2018_commission_structure'!$A$1:$A$4,0),
MATCH(R$1, '2018_commission_structure'!$A$1:$I$1,0)), 0)</f>
        <v>0</v>
      </c>
      <c r="S525" s="11">
        <f t="shared" si="53"/>
        <v>0</v>
      </c>
      <c r="T525" s="11" cm="1">
        <f t="array" ref="T525">SUM(E525+O525:Q525)</f>
        <v>306924</v>
      </c>
    </row>
    <row r="526" spans="1:20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 xml:space="preserve"> COUNTIF(deals_closed!D:D,A526)</f>
        <v>20</v>
      </c>
      <c r="G526" s="5">
        <f>SUMIF(deals_closed!D:D, calculations!A526, deals_closed!C:C)</f>
        <v>755828</v>
      </c>
      <c r="H526" s="5">
        <f>VLOOKUP(D526,'2018_commission_structure'!$A$2:$I$4,9,FALSE)</f>
        <v>600000</v>
      </c>
      <c r="I526" s="9">
        <f t="shared" si="48"/>
        <v>750000</v>
      </c>
      <c r="J526" s="8">
        <f t="shared" si="49"/>
        <v>900000</v>
      </c>
      <c r="K526" s="9">
        <f t="shared" si="50"/>
        <v>1200000</v>
      </c>
      <c r="L526" s="10">
        <f t="shared" si="51"/>
        <v>1.2597133333333332</v>
      </c>
      <c r="M526" t="str">
        <f t="shared" si="52"/>
        <v>125-150%</v>
      </c>
      <c r="N526" s="9">
        <f>MIN(H526, G526)*INDEX('2018_commission_structure'!$A$1:$I$4,
MATCH($D526, '2018_commission_structure'!$A$1:$A$4,0),
MATCH(N$1, '2018_commission_structure'!$A$1:$I$1,0))</f>
        <v>78000</v>
      </c>
      <c r="O526" s="11">
        <f>IF(G526&gt;H526, MIN(G526-H526, I526-H526)*
INDEX('2018_commission_structure'!$A$1:$I$4,
MATCH($D526, '2018_commission_structure'!$A$1:$A$4, 0),
MATCH(O$1, '2018_commission_structure'!$A$1:$I$1, 0)), 0)</f>
        <v>25500.000000000004</v>
      </c>
      <c r="P526" s="11">
        <f>IF(G526&gt;H526, MIN(G526-H526, J526-H526)*
INDEX('2018_commission_structure'!$A$1:$I$4,
MATCH($D526, '2018_commission_structure'!$A$1:$A$4, 0),
MATCH(O$1, '2018_commission_structure'!$A$1:$I$1, 0)), 0)</f>
        <v>26490.760000000002</v>
      </c>
      <c r="Q526" s="11">
        <f>IF(G526&gt;H526, MIN(G526-H526, I526-H526)*
INDEX('2018_commission_structure'!$A$1:$I$4,
MATCH($D526, '2018_commission_structure'!$A$1:$A$4, 0),
MATCH(P$1, '2018_commission_structure'!$A$1:$I$1, 0)), 0)</f>
        <v>31500</v>
      </c>
      <c r="R526" s="11">
        <f>IF(G526&gt;K526, (G526-K526) *
INDEX('2018_commission_structure'!$A$1:$I$4,
MATCH($D526, '2018_commission_structure'!$A$1:$A$4,0),
MATCH(R$1, '2018_commission_structure'!$A$1:$I$1,0)), 0)</f>
        <v>0</v>
      </c>
      <c r="S526" s="11">
        <f t="shared" si="53"/>
        <v>83490.760000000009</v>
      </c>
      <c r="T526" s="11" cm="1">
        <f t="array" ref="T526">SUM(E526+O526:Q526)</f>
        <v>320892.76</v>
      </c>
    </row>
    <row r="527" spans="1:20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 xml:space="preserve"> COUNTIF(deals_closed!D:D,A527)</f>
        <v>22</v>
      </c>
      <c r="G527" s="5">
        <f>SUMIF(deals_closed!D:D, calculations!A527, deals_closed!C:C)</f>
        <v>788832</v>
      </c>
      <c r="H527" s="5">
        <f>VLOOKUP(D527,'2018_commission_structure'!$A$2:$I$4,9,FALSE)</f>
        <v>500000</v>
      </c>
      <c r="I527" s="9">
        <f t="shared" si="48"/>
        <v>625000</v>
      </c>
      <c r="J527" s="8">
        <f t="shared" si="49"/>
        <v>750000</v>
      </c>
      <c r="K527" s="9">
        <f t="shared" si="50"/>
        <v>1000000</v>
      </c>
      <c r="L527" s="10">
        <f t="shared" si="51"/>
        <v>1.577664</v>
      </c>
      <c r="M527" t="str">
        <f t="shared" si="52"/>
        <v>150-200%</v>
      </c>
      <c r="N527" s="9">
        <f>MIN(H527, G527)*INDEX('2018_commission_structure'!$A$1:$I$4,
MATCH($D527, '2018_commission_structure'!$A$1:$A$4,0),
MATCH(N$1, '2018_commission_structure'!$A$1:$I$1,0))</f>
        <v>50000</v>
      </c>
      <c r="O527" s="11">
        <f>IF(G527&gt;H527, MIN(G527-H527, I527-H527)*
INDEX('2018_commission_structure'!$A$1:$I$4,
MATCH($D527, '2018_commission_structure'!$A$1:$A$4, 0),
MATCH(O$1, '2018_commission_structure'!$A$1:$I$1, 0)), 0)</f>
        <v>18750</v>
      </c>
      <c r="P527" s="11">
        <f>IF(G527&gt;H527, MIN(G527-H527, J527-H527)*
INDEX('2018_commission_structure'!$A$1:$I$4,
MATCH($D527, '2018_commission_structure'!$A$1:$A$4, 0),
MATCH(O$1, '2018_commission_structure'!$A$1:$I$1, 0)), 0)</f>
        <v>37500</v>
      </c>
      <c r="Q527" s="11">
        <f>IF(G527&gt;H527, MIN(G527-H527, I527-H527)*
INDEX('2018_commission_structure'!$A$1:$I$4,
MATCH($D527, '2018_commission_structure'!$A$1:$A$4, 0),
MATCH(P$1, '2018_commission_structure'!$A$1:$I$1, 0)), 0)</f>
        <v>22500</v>
      </c>
      <c r="R527" s="11">
        <f>IF(G527&gt;K527, (G527-K527) *
INDEX('2018_commission_structure'!$A$1:$I$4,
MATCH($D527, '2018_commission_structure'!$A$1:$A$4,0),
MATCH(R$1, '2018_commission_structure'!$A$1:$I$1,0)), 0)</f>
        <v>0</v>
      </c>
      <c r="S527" s="11">
        <f t="shared" si="53"/>
        <v>78750</v>
      </c>
      <c r="T527" s="11" cm="1">
        <f t="array" ref="T527">SUM(E527+O527:Q527)</f>
        <v>270789</v>
      </c>
    </row>
    <row r="528" spans="1:20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 xml:space="preserve"> COUNTIF(deals_closed!D:D,A528)</f>
        <v>20</v>
      </c>
      <c r="G528" s="5">
        <f>SUMIF(deals_closed!D:D, calculations!A528, deals_closed!C:C)</f>
        <v>794819</v>
      </c>
      <c r="H528" s="5">
        <f>VLOOKUP(D528,'2018_commission_structure'!$A$2:$I$4,9,FALSE)</f>
        <v>600000</v>
      </c>
      <c r="I528" s="9">
        <f t="shared" si="48"/>
        <v>750000</v>
      </c>
      <c r="J528" s="8">
        <f t="shared" si="49"/>
        <v>900000</v>
      </c>
      <c r="K528" s="9">
        <f t="shared" si="50"/>
        <v>1200000</v>
      </c>
      <c r="L528" s="10">
        <f t="shared" si="51"/>
        <v>1.3246983333333333</v>
      </c>
      <c r="M528" t="str">
        <f t="shared" si="52"/>
        <v>125-150%</v>
      </c>
      <c r="N528" s="9">
        <f>MIN(H528, G528)*INDEX('2018_commission_structure'!$A$1:$I$4,
MATCH($D528, '2018_commission_structure'!$A$1:$A$4,0),
MATCH(N$1, '2018_commission_structure'!$A$1:$I$1,0))</f>
        <v>78000</v>
      </c>
      <c r="O528" s="11">
        <f>IF(G528&gt;H528, MIN(G528-H528, I528-H528)*
INDEX('2018_commission_structure'!$A$1:$I$4,
MATCH($D528, '2018_commission_structure'!$A$1:$A$4, 0),
MATCH(O$1, '2018_commission_structure'!$A$1:$I$1, 0)), 0)</f>
        <v>25500.000000000004</v>
      </c>
      <c r="P528" s="11">
        <f>IF(G528&gt;H528, MIN(G528-H528, J528-H528)*
INDEX('2018_commission_structure'!$A$1:$I$4,
MATCH($D528, '2018_commission_structure'!$A$1:$A$4, 0),
MATCH(O$1, '2018_commission_structure'!$A$1:$I$1, 0)), 0)</f>
        <v>33119.230000000003</v>
      </c>
      <c r="Q528" s="11">
        <f>IF(G528&gt;H528, MIN(G528-H528, I528-H528)*
INDEX('2018_commission_structure'!$A$1:$I$4,
MATCH($D528, '2018_commission_structure'!$A$1:$A$4, 0),
MATCH(P$1, '2018_commission_structure'!$A$1:$I$1, 0)), 0)</f>
        <v>31500</v>
      </c>
      <c r="R528" s="11">
        <f>IF(G528&gt;K528, (G528-K528) *
INDEX('2018_commission_structure'!$A$1:$I$4,
MATCH($D528, '2018_commission_structure'!$A$1:$A$4,0),
MATCH(R$1, '2018_commission_structure'!$A$1:$I$1,0)), 0)</f>
        <v>0</v>
      </c>
      <c r="S528" s="11">
        <f t="shared" si="53"/>
        <v>90119.23000000001</v>
      </c>
      <c r="T528" s="11" cm="1">
        <f t="array" ref="T528">SUM(E528+O528:Q528)</f>
        <v>256184.23</v>
      </c>
    </row>
    <row r="529" spans="1:20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 xml:space="preserve"> COUNTIF(deals_closed!D:D,A529)</f>
        <v>20</v>
      </c>
      <c r="G529" s="5">
        <f>SUMIF(deals_closed!D:D, calculations!A529, deals_closed!C:C)</f>
        <v>729594</v>
      </c>
      <c r="H529" s="5">
        <f>VLOOKUP(D529,'2018_commission_structure'!$A$2:$I$4,9,FALSE)</f>
        <v>750000</v>
      </c>
      <c r="I529" s="9">
        <f t="shared" si="48"/>
        <v>937500</v>
      </c>
      <c r="J529" s="8">
        <f t="shared" si="49"/>
        <v>1125000</v>
      </c>
      <c r="K529" s="9">
        <f t="shared" si="50"/>
        <v>1500000</v>
      </c>
      <c r="L529" s="10">
        <f t="shared" si="51"/>
        <v>0.97279199999999999</v>
      </c>
      <c r="M529" t="str">
        <f t="shared" si="52"/>
        <v>0-100%</v>
      </c>
      <c r="N529" s="9">
        <f>MIN(H529, G529)*INDEX('2018_commission_structure'!$A$1:$I$4,
MATCH($D529, '2018_commission_structure'!$A$1:$A$4,0),
MATCH(N$1, '2018_commission_structure'!$A$1:$I$1,0))</f>
        <v>109439.09999999999</v>
      </c>
      <c r="O529" s="11">
        <f>IF(G529&gt;H529, MIN(G529-H529, I529-H529)*
INDEX('2018_commission_structure'!$A$1:$I$4,
MATCH($D529, '2018_commission_structure'!$A$1:$A$4, 0),
MATCH(O$1, '2018_commission_structure'!$A$1:$I$1, 0)), 0)</f>
        <v>0</v>
      </c>
      <c r="P529" s="11">
        <f>IF(G529&gt;H529, MIN(G529-H529, J529-H529)*
INDEX('2018_commission_structure'!$A$1:$I$4,
MATCH($D529, '2018_commission_structure'!$A$1:$A$4, 0),
MATCH(O$1, '2018_commission_structure'!$A$1:$I$1, 0)), 0)</f>
        <v>0</v>
      </c>
      <c r="Q529" s="11">
        <f>IF(G529&gt;H529, MIN(G529-H529, I529-H529)*
INDEX('2018_commission_structure'!$A$1:$I$4,
MATCH($D529, '2018_commission_structure'!$A$1:$A$4, 0),
MATCH(P$1, '2018_commission_structure'!$A$1:$I$1, 0)), 0)</f>
        <v>0</v>
      </c>
      <c r="R529" s="11">
        <f>IF(G529&gt;K529, (G529-K529) *
INDEX('2018_commission_structure'!$A$1:$I$4,
MATCH($D529, '2018_commission_structure'!$A$1:$A$4,0),
MATCH(R$1, '2018_commission_structure'!$A$1:$I$1,0)), 0)</f>
        <v>0</v>
      </c>
      <c r="S529" s="11">
        <f t="shared" si="53"/>
        <v>0</v>
      </c>
      <c r="T529" s="11" cm="1">
        <f t="array" ref="T529">SUM(E529+O529:Q529)</f>
        <v>327903</v>
      </c>
    </row>
    <row r="530" spans="1:20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 xml:space="preserve"> COUNTIF(deals_closed!D:D,A530)</f>
        <v>18</v>
      </c>
      <c r="G530" s="5">
        <f>SUMIF(deals_closed!D:D, calculations!A530, deals_closed!C:C)</f>
        <v>607215</v>
      </c>
      <c r="H530" s="5">
        <f>VLOOKUP(D530,'2018_commission_structure'!$A$2:$I$4,9,FALSE)</f>
        <v>600000</v>
      </c>
      <c r="I530" s="9">
        <f t="shared" si="48"/>
        <v>750000</v>
      </c>
      <c r="J530" s="8">
        <f t="shared" si="49"/>
        <v>900000</v>
      </c>
      <c r="K530" s="9">
        <f t="shared" si="50"/>
        <v>1200000</v>
      </c>
      <c r="L530" s="10">
        <f t="shared" si="51"/>
        <v>1.012025</v>
      </c>
      <c r="M530" t="str">
        <f t="shared" si="52"/>
        <v>100-125%</v>
      </c>
      <c r="N530" s="9">
        <f>MIN(H530, G530)*INDEX('2018_commission_structure'!$A$1:$I$4,
MATCH($D530, '2018_commission_structure'!$A$1:$A$4,0),
MATCH(N$1, '2018_commission_structure'!$A$1:$I$1,0))</f>
        <v>78000</v>
      </c>
      <c r="O530" s="11">
        <f>IF(G530&gt;H530, MIN(G530-H530, I530-H530)*
INDEX('2018_commission_structure'!$A$1:$I$4,
MATCH($D530, '2018_commission_structure'!$A$1:$A$4, 0),
MATCH(O$1, '2018_commission_structure'!$A$1:$I$1, 0)), 0)</f>
        <v>1226.5500000000002</v>
      </c>
      <c r="P530" s="11">
        <f>IF(G530&gt;H530, MIN(G530-H530, J530-H530)*
INDEX('2018_commission_structure'!$A$1:$I$4,
MATCH($D530, '2018_commission_structure'!$A$1:$A$4, 0),
MATCH(O$1, '2018_commission_structure'!$A$1:$I$1, 0)), 0)</f>
        <v>1226.5500000000002</v>
      </c>
      <c r="Q530" s="11">
        <f>IF(G530&gt;H530, MIN(G530-H530, I530-H530)*
INDEX('2018_commission_structure'!$A$1:$I$4,
MATCH($D530, '2018_commission_structure'!$A$1:$A$4, 0),
MATCH(P$1, '2018_commission_structure'!$A$1:$I$1, 0)), 0)</f>
        <v>1515.1499999999999</v>
      </c>
      <c r="R530" s="11">
        <f>IF(G530&gt;K530, (G530-K530) *
INDEX('2018_commission_structure'!$A$1:$I$4,
MATCH($D530, '2018_commission_structure'!$A$1:$A$4,0),
MATCH(R$1, '2018_commission_structure'!$A$1:$I$1,0)), 0)</f>
        <v>0</v>
      </c>
      <c r="S530" s="11">
        <f t="shared" si="53"/>
        <v>3968.25</v>
      </c>
      <c r="T530" s="11" cm="1">
        <f t="array" ref="T530">SUM(E530+O530:Q530)</f>
        <v>183728.25</v>
      </c>
    </row>
    <row r="531" spans="1:20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 xml:space="preserve"> COUNTIF(deals_closed!D:D,A531)</f>
        <v>25</v>
      </c>
      <c r="G531" s="5">
        <f>SUMIF(deals_closed!D:D, calculations!A531, deals_closed!C:C)</f>
        <v>838575</v>
      </c>
      <c r="H531" s="5">
        <f>VLOOKUP(D531,'2018_commission_structure'!$A$2:$I$4,9,FALSE)</f>
        <v>500000</v>
      </c>
      <c r="I531" s="9">
        <f t="shared" si="48"/>
        <v>625000</v>
      </c>
      <c r="J531" s="8">
        <f t="shared" si="49"/>
        <v>750000</v>
      </c>
      <c r="K531" s="9">
        <f t="shared" si="50"/>
        <v>1000000</v>
      </c>
      <c r="L531" s="10">
        <f t="shared" si="51"/>
        <v>1.6771499999999999</v>
      </c>
      <c r="M531" t="str">
        <f t="shared" si="52"/>
        <v>150-200%</v>
      </c>
      <c r="N531" s="9">
        <f>MIN(H531, G531)*INDEX('2018_commission_structure'!$A$1:$I$4,
MATCH($D531, '2018_commission_structure'!$A$1:$A$4,0),
MATCH(N$1, '2018_commission_structure'!$A$1:$I$1,0))</f>
        <v>50000</v>
      </c>
      <c r="O531" s="11">
        <f>IF(G531&gt;H531, MIN(G531-H531, I531-H531)*
INDEX('2018_commission_structure'!$A$1:$I$4,
MATCH($D531, '2018_commission_structure'!$A$1:$A$4, 0),
MATCH(O$1, '2018_commission_structure'!$A$1:$I$1, 0)), 0)</f>
        <v>18750</v>
      </c>
      <c r="P531" s="11">
        <f>IF(G531&gt;H531, MIN(G531-H531, J531-H531)*
INDEX('2018_commission_structure'!$A$1:$I$4,
MATCH($D531, '2018_commission_structure'!$A$1:$A$4, 0),
MATCH(O$1, '2018_commission_structure'!$A$1:$I$1, 0)), 0)</f>
        <v>37500</v>
      </c>
      <c r="Q531" s="11">
        <f>IF(G531&gt;H531, MIN(G531-H531, I531-H531)*
INDEX('2018_commission_structure'!$A$1:$I$4,
MATCH($D531, '2018_commission_structure'!$A$1:$A$4, 0),
MATCH(P$1, '2018_commission_structure'!$A$1:$I$1, 0)), 0)</f>
        <v>22500</v>
      </c>
      <c r="R531" s="11">
        <f>IF(G531&gt;K531, (G531-K531) *
INDEX('2018_commission_structure'!$A$1:$I$4,
MATCH($D531, '2018_commission_structure'!$A$1:$A$4,0),
MATCH(R$1, '2018_commission_structure'!$A$1:$I$1,0)), 0)</f>
        <v>0</v>
      </c>
      <c r="S531" s="11">
        <f t="shared" si="53"/>
        <v>78750</v>
      </c>
      <c r="T531" s="11" cm="1">
        <f t="array" ref="T531">SUM(E531+O531:Q531)</f>
        <v>189519</v>
      </c>
    </row>
    <row r="532" spans="1:20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 xml:space="preserve"> COUNTIF(deals_closed!D:D,A532)</f>
        <v>13</v>
      </c>
      <c r="G532" s="5">
        <f>SUMIF(deals_closed!D:D, calculations!A532, deals_closed!C:C)</f>
        <v>417717</v>
      </c>
      <c r="H532" s="5">
        <f>VLOOKUP(D532,'2018_commission_structure'!$A$2:$I$4,9,FALSE)</f>
        <v>500000</v>
      </c>
      <c r="I532" s="9">
        <f t="shared" si="48"/>
        <v>625000</v>
      </c>
      <c r="J532" s="8">
        <f t="shared" si="49"/>
        <v>750000</v>
      </c>
      <c r="K532" s="9">
        <f t="shared" si="50"/>
        <v>1000000</v>
      </c>
      <c r="L532" s="10">
        <f t="shared" si="51"/>
        <v>0.83543400000000001</v>
      </c>
      <c r="M532" t="str">
        <f t="shared" si="52"/>
        <v>0-100%</v>
      </c>
      <c r="N532" s="9">
        <f>MIN(H532, G532)*INDEX('2018_commission_structure'!$A$1:$I$4,
MATCH($D532, '2018_commission_structure'!$A$1:$A$4,0),
MATCH(N$1, '2018_commission_structure'!$A$1:$I$1,0))</f>
        <v>41771.700000000004</v>
      </c>
      <c r="O532" s="11">
        <f>IF(G532&gt;H532, MIN(G532-H532, I532-H532)*
INDEX('2018_commission_structure'!$A$1:$I$4,
MATCH($D532, '2018_commission_structure'!$A$1:$A$4, 0),
MATCH(O$1, '2018_commission_structure'!$A$1:$I$1, 0)), 0)</f>
        <v>0</v>
      </c>
      <c r="P532" s="11">
        <f>IF(G532&gt;H532, MIN(G532-H532, J532-H532)*
INDEX('2018_commission_structure'!$A$1:$I$4,
MATCH($D532, '2018_commission_structure'!$A$1:$A$4, 0),
MATCH(O$1, '2018_commission_structure'!$A$1:$I$1, 0)), 0)</f>
        <v>0</v>
      </c>
      <c r="Q532" s="11">
        <f>IF(G532&gt;H532, MIN(G532-H532, I532-H532)*
INDEX('2018_commission_structure'!$A$1:$I$4,
MATCH($D532, '2018_commission_structure'!$A$1:$A$4, 0),
MATCH(P$1, '2018_commission_structure'!$A$1:$I$1, 0)), 0)</f>
        <v>0</v>
      </c>
      <c r="R532" s="11">
        <f>IF(G532&gt;K532, (G532-K532) *
INDEX('2018_commission_structure'!$A$1:$I$4,
MATCH($D532, '2018_commission_structure'!$A$1:$A$4,0),
MATCH(R$1, '2018_commission_structure'!$A$1:$I$1,0)), 0)</f>
        <v>0</v>
      </c>
      <c r="S532" s="11">
        <f t="shared" si="53"/>
        <v>0</v>
      </c>
      <c r="T532" s="11" cm="1">
        <f t="array" ref="T532">SUM(E532+O532:Q532)</f>
        <v>99816</v>
      </c>
    </row>
    <row r="533" spans="1:20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 xml:space="preserve"> COUNTIF(deals_closed!D:D,A533)</f>
        <v>19</v>
      </c>
      <c r="G533" s="5">
        <f>SUMIF(deals_closed!D:D, calculations!A533, deals_closed!C:C)</f>
        <v>604575</v>
      </c>
      <c r="H533" s="5">
        <f>VLOOKUP(D533,'2018_commission_structure'!$A$2:$I$4,9,FALSE)</f>
        <v>600000</v>
      </c>
      <c r="I533" s="9">
        <f t="shared" si="48"/>
        <v>750000</v>
      </c>
      <c r="J533" s="8">
        <f t="shared" si="49"/>
        <v>900000</v>
      </c>
      <c r="K533" s="9">
        <f t="shared" si="50"/>
        <v>1200000</v>
      </c>
      <c r="L533" s="10">
        <f t="shared" si="51"/>
        <v>1.007625</v>
      </c>
      <c r="M533" t="str">
        <f t="shared" si="52"/>
        <v>100-125%</v>
      </c>
      <c r="N533" s="9">
        <f>MIN(H533, G533)*INDEX('2018_commission_structure'!$A$1:$I$4,
MATCH($D533, '2018_commission_structure'!$A$1:$A$4,0),
MATCH(N$1, '2018_commission_structure'!$A$1:$I$1,0))</f>
        <v>78000</v>
      </c>
      <c r="O533" s="11">
        <f>IF(G533&gt;H533, MIN(G533-H533, I533-H533)*
INDEX('2018_commission_structure'!$A$1:$I$4,
MATCH($D533, '2018_commission_structure'!$A$1:$A$4, 0),
MATCH(O$1, '2018_commission_structure'!$A$1:$I$1, 0)), 0)</f>
        <v>777.75</v>
      </c>
      <c r="P533" s="11">
        <f>IF(G533&gt;H533, MIN(G533-H533, J533-H533)*
INDEX('2018_commission_structure'!$A$1:$I$4,
MATCH($D533, '2018_commission_structure'!$A$1:$A$4, 0),
MATCH(O$1, '2018_commission_structure'!$A$1:$I$1, 0)), 0)</f>
        <v>777.75</v>
      </c>
      <c r="Q533" s="11">
        <f>IF(G533&gt;H533, MIN(G533-H533, I533-H533)*
INDEX('2018_commission_structure'!$A$1:$I$4,
MATCH($D533, '2018_commission_structure'!$A$1:$A$4, 0),
MATCH(P$1, '2018_commission_structure'!$A$1:$I$1, 0)), 0)</f>
        <v>960.75</v>
      </c>
      <c r="R533" s="11">
        <f>IF(G533&gt;K533, (G533-K533) *
INDEX('2018_commission_structure'!$A$1:$I$4,
MATCH($D533, '2018_commission_structure'!$A$1:$A$4,0),
MATCH(R$1, '2018_commission_structure'!$A$1:$I$1,0)), 0)</f>
        <v>0</v>
      </c>
      <c r="S533" s="11">
        <f t="shared" si="53"/>
        <v>2516.25</v>
      </c>
      <c r="T533" s="11" cm="1">
        <f t="array" ref="T533">SUM(E533+O533:Q533)</f>
        <v>173666.25</v>
      </c>
    </row>
    <row r="534" spans="1:20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 xml:space="preserve"> COUNTIF(deals_closed!D:D,A534)</f>
        <v>19</v>
      </c>
      <c r="G534" s="5">
        <f>SUMIF(deals_closed!D:D, calculations!A534, deals_closed!C:C)</f>
        <v>676232</v>
      </c>
      <c r="H534" s="5">
        <f>VLOOKUP(D534,'2018_commission_structure'!$A$2:$I$4,9,FALSE)</f>
        <v>750000</v>
      </c>
      <c r="I534" s="9">
        <f t="shared" si="48"/>
        <v>937500</v>
      </c>
      <c r="J534" s="8">
        <f t="shared" si="49"/>
        <v>1125000</v>
      </c>
      <c r="K534" s="9">
        <f t="shared" si="50"/>
        <v>1500000</v>
      </c>
      <c r="L534" s="10">
        <f t="shared" si="51"/>
        <v>0.9016426666666667</v>
      </c>
      <c r="M534" t="str">
        <f t="shared" si="52"/>
        <v>0-100%</v>
      </c>
      <c r="N534" s="9">
        <f>MIN(H534, G534)*INDEX('2018_commission_structure'!$A$1:$I$4,
MATCH($D534, '2018_commission_structure'!$A$1:$A$4,0),
MATCH(N$1, '2018_commission_structure'!$A$1:$I$1,0))</f>
        <v>101434.8</v>
      </c>
      <c r="O534" s="11">
        <f>IF(G534&gt;H534, MIN(G534-H534, I534-H534)*
INDEX('2018_commission_structure'!$A$1:$I$4,
MATCH($D534, '2018_commission_structure'!$A$1:$A$4, 0),
MATCH(O$1, '2018_commission_structure'!$A$1:$I$1, 0)), 0)</f>
        <v>0</v>
      </c>
      <c r="P534" s="11">
        <f>IF(G534&gt;H534, MIN(G534-H534, J534-H534)*
INDEX('2018_commission_structure'!$A$1:$I$4,
MATCH($D534, '2018_commission_structure'!$A$1:$A$4, 0),
MATCH(O$1, '2018_commission_structure'!$A$1:$I$1, 0)), 0)</f>
        <v>0</v>
      </c>
      <c r="Q534" s="11">
        <f>IF(G534&gt;H534, MIN(G534-H534, I534-H534)*
INDEX('2018_commission_structure'!$A$1:$I$4,
MATCH($D534, '2018_commission_structure'!$A$1:$A$4, 0),
MATCH(P$1, '2018_commission_structure'!$A$1:$I$1, 0)), 0)</f>
        <v>0</v>
      </c>
      <c r="R534" s="11">
        <f>IF(G534&gt;K534, (G534-K534) *
INDEX('2018_commission_structure'!$A$1:$I$4,
MATCH($D534, '2018_commission_structure'!$A$1:$A$4,0),
MATCH(R$1, '2018_commission_structure'!$A$1:$I$1,0)), 0)</f>
        <v>0</v>
      </c>
      <c r="S534" s="11">
        <f t="shared" si="53"/>
        <v>0</v>
      </c>
      <c r="T534" s="11" cm="1">
        <f t="array" ref="T534">SUM(E534+O534:Q534)</f>
        <v>304626</v>
      </c>
    </row>
    <row r="535" spans="1:20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 xml:space="preserve"> COUNTIF(deals_closed!D:D,A535)</f>
        <v>30</v>
      </c>
      <c r="G535" s="5">
        <f>SUMIF(deals_closed!D:D, calculations!A535, deals_closed!C:C)</f>
        <v>1039370</v>
      </c>
      <c r="H535" s="5">
        <f>VLOOKUP(D535,'2018_commission_structure'!$A$2:$I$4,9,FALSE)</f>
        <v>750000</v>
      </c>
      <c r="I535" s="9">
        <f t="shared" si="48"/>
        <v>937500</v>
      </c>
      <c r="J535" s="8">
        <f t="shared" si="49"/>
        <v>1125000</v>
      </c>
      <c r="K535" s="9">
        <f t="shared" si="50"/>
        <v>1500000</v>
      </c>
      <c r="L535" s="10">
        <f t="shared" si="51"/>
        <v>1.3858266666666668</v>
      </c>
      <c r="M535" t="str">
        <f t="shared" si="52"/>
        <v>125-150%</v>
      </c>
      <c r="N535" s="9">
        <f>MIN(H535, G535)*INDEX('2018_commission_structure'!$A$1:$I$4,
MATCH($D535, '2018_commission_structure'!$A$1:$A$4,0),
MATCH(N$1, '2018_commission_structure'!$A$1:$I$1,0))</f>
        <v>112500</v>
      </c>
      <c r="O535" s="11">
        <f>IF(G535&gt;H535, MIN(G535-H535, I535-H535)*
INDEX('2018_commission_structure'!$A$1:$I$4,
MATCH($D535, '2018_commission_structure'!$A$1:$A$4, 0),
MATCH(O$1, '2018_commission_structure'!$A$1:$I$1, 0)), 0)</f>
        <v>35625</v>
      </c>
      <c r="P535" s="11">
        <f>IF(G535&gt;H535, MIN(G535-H535, J535-H535)*
INDEX('2018_commission_structure'!$A$1:$I$4,
MATCH($D535, '2018_commission_structure'!$A$1:$A$4, 0),
MATCH(O$1, '2018_commission_structure'!$A$1:$I$1, 0)), 0)</f>
        <v>54980.3</v>
      </c>
      <c r="Q535" s="11">
        <f>IF(G535&gt;H535, MIN(G535-H535, I535-H535)*
INDEX('2018_commission_structure'!$A$1:$I$4,
MATCH($D535, '2018_commission_structure'!$A$1:$A$4, 0),
MATCH(P$1, '2018_commission_structure'!$A$1:$I$1, 0)), 0)</f>
        <v>43125</v>
      </c>
      <c r="R535" s="11">
        <f>IF(G535&gt;K535, (G535-K535) *
INDEX('2018_commission_structure'!$A$1:$I$4,
MATCH($D535, '2018_commission_structure'!$A$1:$A$4,0),
MATCH(R$1, '2018_commission_structure'!$A$1:$I$1,0)), 0)</f>
        <v>0</v>
      </c>
      <c r="S535" s="11">
        <f t="shared" si="53"/>
        <v>133730.29999999999</v>
      </c>
      <c r="T535" s="11" cm="1">
        <f t="array" ref="T535">SUM(E535+O535:Q535)</f>
        <v>410675.3</v>
      </c>
    </row>
    <row r="536" spans="1:20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 xml:space="preserve"> COUNTIF(deals_closed!D:D,A536)</f>
        <v>13</v>
      </c>
      <c r="G536" s="5">
        <f>SUMIF(deals_closed!D:D, calculations!A536, deals_closed!C:C)</f>
        <v>616122</v>
      </c>
      <c r="H536" s="5">
        <f>VLOOKUP(D536,'2018_commission_structure'!$A$2:$I$4,9,FALSE)</f>
        <v>750000</v>
      </c>
      <c r="I536" s="9">
        <f t="shared" si="48"/>
        <v>937500</v>
      </c>
      <c r="J536" s="8">
        <f t="shared" si="49"/>
        <v>1125000</v>
      </c>
      <c r="K536" s="9">
        <f t="shared" si="50"/>
        <v>1500000</v>
      </c>
      <c r="L536" s="10">
        <f t="shared" si="51"/>
        <v>0.821496</v>
      </c>
      <c r="M536" t="str">
        <f t="shared" si="52"/>
        <v>0-100%</v>
      </c>
      <c r="N536" s="9">
        <f>MIN(H536, G536)*INDEX('2018_commission_structure'!$A$1:$I$4,
MATCH($D536, '2018_commission_structure'!$A$1:$A$4,0),
MATCH(N$1, '2018_commission_structure'!$A$1:$I$1,0))</f>
        <v>92418.3</v>
      </c>
      <c r="O536" s="11">
        <f>IF(G536&gt;H536, MIN(G536-H536, I536-H536)*
INDEX('2018_commission_structure'!$A$1:$I$4,
MATCH($D536, '2018_commission_structure'!$A$1:$A$4, 0),
MATCH(O$1, '2018_commission_structure'!$A$1:$I$1, 0)), 0)</f>
        <v>0</v>
      </c>
      <c r="P536" s="11">
        <f>IF(G536&gt;H536, MIN(G536-H536, J536-H536)*
INDEX('2018_commission_structure'!$A$1:$I$4,
MATCH($D536, '2018_commission_structure'!$A$1:$A$4, 0),
MATCH(O$1, '2018_commission_structure'!$A$1:$I$1, 0)), 0)</f>
        <v>0</v>
      </c>
      <c r="Q536" s="11">
        <f>IF(G536&gt;H536, MIN(G536-H536, I536-H536)*
INDEX('2018_commission_structure'!$A$1:$I$4,
MATCH($D536, '2018_commission_structure'!$A$1:$A$4, 0),
MATCH(P$1, '2018_commission_structure'!$A$1:$I$1, 0)), 0)</f>
        <v>0</v>
      </c>
      <c r="R536" s="11">
        <f>IF(G536&gt;K536, (G536-K536) *
INDEX('2018_commission_structure'!$A$1:$I$4,
MATCH($D536, '2018_commission_structure'!$A$1:$A$4,0),
MATCH(R$1, '2018_commission_structure'!$A$1:$I$1,0)), 0)</f>
        <v>0</v>
      </c>
      <c r="S536" s="11">
        <f t="shared" si="53"/>
        <v>0</v>
      </c>
      <c r="T536" s="11" cm="1">
        <f t="array" ref="T536">SUM(E536+O536:Q536)</f>
        <v>232641</v>
      </c>
    </row>
    <row r="537" spans="1:20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 xml:space="preserve"> COUNTIF(deals_closed!D:D,A537)</f>
        <v>15</v>
      </c>
      <c r="G537" s="5">
        <f>SUMIF(deals_closed!D:D, calculations!A537, deals_closed!C:C)</f>
        <v>451004</v>
      </c>
      <c r="H537" s="5">
        <f>VLOOKUP(D537,'2018_commission_structure'!$A$2:$I$4,9,FALSE)</f>
        <v>500000</v>
      </c>
      <c r="I537" s="9">
        <f t="shared" si="48"/>
        <v>625000</v>
      </c>
      <c r="J537" s="8">
        <f t="shared" si="49"/>
        <v>750000</v>
      </c>
      <c r="K537" s="9">
        <f t="shared" si="50"/>
        <v>1000000</v>
      </c>
      <c r="L537" s="10">
        <f t="shared" si="51"/>
        <v>0.90200800000000003</v>
      </c>
      <c r="M537" t="str">
        <f t="shared" si="52"/>
        <v>0-100%</v>
      </c>
      <c r="N537" s="9">
        <f>MIN(H537, G537)*INDEX('2018_commission_structure'!$A$1:$I$4,
MATCH($D537, '2018_commission_structure'!$A$1:$A$4,0),
MATCH(N$1, '2018_commission_structure'!$A$1:$I$1,0))</f>
        <v>45100.4</v>
      </c>
      <c r="O537" s="11">
        <f>IF(G537&gt;H537, MIN(G537-H537, I537-H537)*
INDEX('2018_commission_structure'!$A$1:$I$4,
MATCH($D537, '2018_commission_structure'!$A$1:$A$4, 0),
MATCH(O$1, '2018_commission_structure'!$A$1:$I$1, 0)), 0)</f>
        <v>0</v>
      </c>
      <c r="P537" s="11">
        <f>IF(G537&gt;H537, MIN(G537-H537, J537-H537)*
INDEX('2018_commission_structure'!$A$1:$I$4,
MATCH($D537, '2018_commission_structure'!$A$1:$A$4, 0),
MATCH(O$1, '2018_commission_structure'!$A$1:$I$1, 0)), 0)</f>
        <v>0</v>
      </c>
      <c r="Q537" s="11">
        <f>IF(G537&gt;H537, MIN(G537-H537, I537-H537)*
INDEX('2018_commission_structure'!$A$1:$I$4,
MATCH($D537, '2018_commission_structure'!$A$1:$A$4, 0),
MATCH(P$1, '2018_commission_structure'!$A$1:$I$1, 0)), 0)</f>
        <v>0</v>
      </c>
      <c r="R537" s="11">
        <f>IF(G537&gt;K537, (G537-K537) *
INDEX('2018_commission_structure'!$A$1:$I$4,
MATCH($D537, '2018_commission_structure'!$A$1:$A$4,0),
MATCH(R$1, '2018_commission_structure'!$A$1:$I$1,0)), 0)</f>
        <v>0</v>
      </c>
      <c r="S537" s="11">
        <f t="shared" si="53"/>
        <v>0</v>
      </c>
      <c r="T537" s="11" cm="1">
        <f t="array" ref="T537">SUM(E537+O537:Q537)</f>
        <v>181647</v>
      </c>
    </row>
    <row r="538" spans="1:20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 xml:space="preserve"> COUNTIF(deals_closed!D:D,A538)</f>
        <v>16</v>
      </c>
      <c r="G538" s="5">
        <f>SUMIF(deals_closed!D:D, calculations!A538, deals_closed!C:C)</f>
        <v>535073</v>
      </c>
      <c r="H538" s="5">
        <f>VLOOKUP(D538,'2018_commission_structure'!$A$2:$I$4,9,FALSE)</f>
        <v>750000</v>
      </c>
      <c r="I538" s="9">
        <f t="shared" si="48"/>
        <v>937500</v>
      </c>
      <c r="J538" s="8">
        <f t="shared" si="49"/>
        <v>1125000</v>
      </c>
      <c r="K538" s="9">
        <f t="shared" si="50"/>
        <v>1500000</v>
      </c>
      <c r="L538" s="10">
        <f t="shared" si="51"/>
        <v>0.71343066666666666</v>
      </c>
      <c r="M538" t="str">
        <f t="shared" si="52"/>
        <v>0-100%</v>
      </c>
      <c r="N538" s="9">
        <f>MIN(H538, G538)*INDEX('2018_commission_structure'!$A$1:$I$4,
MATCH($D538, '2018_commission_structure'!$A$1:$A$4,0),
MATCH(N$1, '2018_commission_structure'!$A$1:$I$1,0))</f>
        <v>80260.95</v>
      </c>
      <c r="O538" s="11">
        <f>IF(G538&gt;H538, MIN(G538-H538, I538-H538)*
INDEX('2018_commission_structure'!$A$1:$I$4,
MATCH($D538, '2018_commission_structure'!$A$1:$A$4, 0),
MATCH(O$1, '2018_commission_structure'!$A$1:$I$1, 0)), 0)</f>
        <v>0</v>
      </c>
      <c r="P538" s="11">
        <f>IF(G538&gt;H538, MIN(G538-H538, J538-H538)*
INDEX('2018_commission_structure'!$A$1:$I$4,
MATCH($D538, '2018_commission_structure'!$A$1:$A$4, 0),
MATCH(O$1, '2018_commission_structure'!$A$1:$I$1, 0)), 0)</f>
        <v>0</v>
      </c>
      <c r="Q538" s="11">
        <f>IF(G538&gt;H538, MIN(G538-H538, I538-H538)*
INDEX('2018_commission_structure'!$A$1:$I$4,
MATCH($D538, '2018_commission_structure'!$A$1:$A$4, 0),
MATCH(P$1, '2018_commission_structure'!$A$1:$I$1, 0)), 0)</f>
        <v>0</v>
      </c>
      <c r="R538" s="11">
        <f>IF(G538&gt;K538, (G538-K538) *
INDEX('2018_commission_structure'!$A$1:$I$4,
MATCH($D538, '2018_commission_structure'!$A$1:$A$4,0),
MATCH(R$1, '2018_commission_structure'!$A$1:$I$1,0)), 0)</f>
        <v>0</v>
      </c>
      <c r="S538" s="11">
        <f t="shared" si="53"/>
        <v>0</v>
      </c>
      <c r="T538" s="11" cm="1">
        <f t="array" ref="T538">SUM(E538+O538:Q538)</f>
        <v>244614</v>
      </c>
    </row>
    <row r="539" spans="1:20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 xml:space="preserve"> COUNTIF(deals_closed!D:D,A539)</f>
        <v>20</v>
      </c>
      <c r="G539" s="5">
        <f>SUMIF(deals_closed!D:D, calculations!A539, deals_closed!C:C)</f>
        <v>634582</v>
      </c>
      <c r="H539" s="5">
        <f>VLOOKUP(D539,'2018_commission_structure'!$A$2:$I$4,9,FALSE)</f>
        <v>750000</v>
      </c>
      <c r="I539" s="9">
        <f t="shared" si="48"/>
        <v>937500</v>
      </c>
      <c r="J539" s="8">
        <f t="shared" si="49"/>
        <v>1125000</v>
      </c>
      <c r="K539" s="9">
        <f t="shared" si="50"/>
        <v>1500000</v>
      </c>
      <c r="L539" s="10">
        <f t="shared" si="51"/>
        <v>0.84610933333333338</v>
      </c>
      <c r="M539" t="str">
        <f t="shared" si="52"/>
        <v>0-100%</v>
      </c>
      <c r="N539" s="9">
        <f>MIN(H539, G539)*INDEX('2018_commission_structure'!$A$1:$I$4,
MATCH($D539, '2018_commission_structure'!$A$1:$A$4,0),
MATCH(N$1, '2018_commission_structure'!$A$1:$I$1,0))</f>
        <v>95187.3</v>
      </c>
      <c r="O539" s="11">
        <f>IF(G539&gt;H539, MIN(G539-H539, I539-H539)*
INDEX('2018_commission_structure'!$A$1:$I$4,
MATCH($D539, '2018_commission_structure'!$A$1:$A$4, 0),
MATCH(O$1, '2018_commission_structure'!$A$1:$I$1, 0)), 0)</f>
        <v>0</v>
      </c>
      <c r="P539" s="11">
        <f>IF(G539&gt;H539, MIN(G539-H539, J539-H539)*
INDEX('2018_commission_structure'!$A$1:$I$4,
MATCH($D539, '2018_commission_structure'!$A$1:$A$4, 0),
MATCH(O$1, '2018_commission_structure'!$A$1:$I$1, 0)), 0)</f>
        <v>0</v>
      </c>
      <c r="Q539" s="11">
        <f>IF(G539&gt;H539, MIN(G539-H539, I539-H539)*
INDEX('2018_commission_structure'!$A$1:$I$4,
MATCH($D539, '2018_commission_structure'!$A$1:$A$4, 0),
MATCH(P$1, '2018_commission_structure'!$A$1:$I$1, 0)), 0)</f>
        <v>0</v>
      </c>
      <c r="R539" s="11">
        <f>IF(G539&gt;K539, (G539-K539) *
INDEX('2018_commission_structure'!$A$1:$I$4,
MATCH($D539, '2018_commission_structure'!$A$1:$A$4,0),
MATCH(R$1, '2018_commission_structure'!$A$1:$I$1,0)), 0)</f>
        <v>0</v>
      </c>
      <c r="S539" s="11">
        <f t="shared" si="53"/>
        <v>0</v>
      </c>
      <c r="T539" s="11" cm="1">
        <f t="array" ref="T539">SUM(E539+O539:Q539)</f>
        <v>319641</v>
      </c>
    </row>
    <row r="540" spans="1:20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 xml:space="preserve"> COUNTIF(deals_closed!D:D,A540)</f>
        <v>22</v>
      </c>
      <c r="G540" s="5">
        <f>SUMIF(deals_closed!D:D, calculations!A540, deals_closed!C:C)</f>
        <v>676061</v>
      </c>
      <c r="H540" s="5">
        <f>VLOOKUP(D540,'2018_commission_structure'!$A$2:$I$4,9,FALSE)</f>
        <v>500000</v>
      </c>
      <c r="I540" s="9">
        <f t="shared" si="48"/>
        <v>625000</v>
      </c>
      <c r="J540" s="8">
        <f t="shared" si="49"/>
        <v>750000</v>
      </c>
      <c r="K540" s="9">
        <f t="shared" si="50"/>
        <v>1000000</v>
      </c>
      <c r="L540" s="10">
        <f t="shared" si="51"/>
        <v>1.352122</v>
      </c>
      <c r="M540" t="str">
        <f t="shared" si="52"/>
        <v>125-150%</v>
      </c>
      <c r="N540" s="9">
        <f>MIN(H540, G540)*INDEX('2018_commission_structure'!$A$1:$I$4,
MATCH($D540, '2018_commission_structure'!$A$1:$A$4,0),
MATCH(N$1, '2018_commission_structure'!$A$1:$I$1,0))</f>
        <v>50000</v>
      </c>
      <c r="O540" s="11">
        <f>IF(G540&gt;H540, MIN(G540-H540, I540-H540)*
INDEX('2018_commission_structure'!$A$1:$I$4,
MATCH($D540, '2018_commission_structure'!$A$1:$A$4, 0),
MATCH(O$1, '2018_commission_structure'!$A$1:$I$1, 0)), 0)</f>
        <v>18750</v>
      </c>
      <c r="P540" s="11">
        <f>IF(G540&gt;H540, MIN(G540-H540, J540-H540)*
INDEX('2018_commission_structure'!$A$1:$I$4,
MATCH($D540, '2018_commission_structure'!$A$1:$A$4, 0),
MATCH(O$1, '2018_commission_structure'!$A$1:$I$1, 0)), 0)</f>
        <v>26409.149999999998</v>
      </c>
      <c r="Q540" s="11">
        <f>IF(G540&gt;H540, MIN(G540-H540, I540-H540)*
INDEX('2018_commission_structure'!$A$1:$I$4,
MATCH($D540, '2018_commission_structure'!$A$1:$A$4, 0),
MATCH(P$1, '2018_commission_structure'!$A$1:$I$1, 0)), 0)</f>
        <v>22500</v>
      </c>
      <c r="R540" s="11">
        <f>IF(G540&gt;K540, (G540-K540) *
INDEX('2018_commission_structure'!$A$1:$I$4,
MATCH($D540, '2018_commission_structure'!$A$1:$A$4,0),
MATCH(R$1, '2018_commission_structure'!$A$1:$I$1,0)), 0)</f>
        <v>0</v>
      </c>
      <c r="S540" s="11">
        <f t="shared" si="53"/>
        <v>67659.149999999994</v>
      </c>
      <c r="T540" s="11" cm="1">
        <f t="array" ref="T540">SUM(E540+O540:Q540)</f>
        <v>239133.15</v>
      </c>
    </row>
    <row r="541" spans="1:20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 xml:space="preserve"> COUNTIF(deals_closed!D:D,A541)</f>
        <v>15</v>
      </c>
      <c r="G541" s="5">
        <f>SUMIF(deals_closed!D:D, calculations!A541, deals_closed!C:C)</f>
        <v>430513</v>
      </c>
      <c r="H541" s="5">
        <f>VLOOKUP(D541,'2018_commission_structure'!$A$2:$I$4,9,FALSE)</f>
        <v>750000</v>
      </c>
      <c r="I541" s="9">
        <f t="shared" si="48"/>
        <v>937500</v>
      </c>
      <c r="J541" s="8">
        <f t="shared" si="49"/>
        <v>1125000</v>
      </c>
      <c r="K541" s="9">
        <f t="shared" si="50"/>
        <v>1500000</v>
      </c>
      <c r="L541" s="10">
        <f t="shared" si="51"/>
        <v>0.57401733333333338</v>
      </c>
      <c r="M541" t="str">
        <f t="shared" si="52"/>
        <v>0-100%</v>
      </c>
      <c r="N541" s="9">
        <f>MIN(H541, G541)*INDEX('2018_commission_structure'!$A$1:$I$4,
MATCH($D541, '2018_commission_structure'!$A$1:$A$4,0),
MATCH(N$1, '2018_commission_structure'!$A$1:$I$1,0))</f>
        <v>64576.95</v>
      </c>
      <c r="O541" s="11">
        <f>IF(G541&gt;H541, MIN(G541-H541, I541-H541)*
INDEX('2018_commission_structure'!$A$1:$I$4,
MATCH($D541, '2018_commission_structure'!$A$1:$A$4, 0),
MATCH(O$1, '2018_commission_structure'!$A$1:$I$1, 0)), 0)</f>
        <v>0</v>
      </c>
      <c r="P541" s="11">
        <f>IF(G541&gt;H541, MIN(G541-H541, J541-H541)*
INDEX('2018_commission_structure'!$A$1:$I$4,
MATCH($D541, '2018_commission_structure'!$A$1:$A$4, 0),
MATCH(O$1, '2018_commission_structure'!$A$1:$I$1, 0)), 0)</f>
        <v>0</v>
      </c>
      <c r="Q541" s="11">
        <f>IF(G541&gt;H541, MIN(G541-H541, I541-H541)*
INDEX('2018_commission_structure'!$A$1:$I$4,
MATCH($D541, '2018_commission_structure'!$A$1:$A$4, 0),
MATCH(P$1, '2018_commission_structure'!$A$1:$I$1, 0)), 0)</f>
        <v>0</v>
      </c>
      <c r="R541" s="11">
        <f>IF(G541&gt;K541, (G541-K541) *
INDEX('2018_commission_structure'!$A$1:$I$4,
MATCH($D541, '2018_commission_structure'!$A$1:$A$4,0),
MATCH(R$1, '2018_commission_structure'!$A$1:$I$1,0)), 0)</f>
        <v>0</v>
      </c>
      <c r="S541" s="11">
        <f t="shared" si="53"/>
        <v>0</v>
      </c>
      <c r="T541" s="11" cm="1">
        <f t="array" ref="T541">SUM(E541+O541:Q541)</f>
        <v>336294</v>
      </c>
    </row>
    <row r="542" spans="1:20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 xml:space="preserve"> COUNTIF(deals_closed!D:D,A542)</f>
        <v>23</v>
      </c>
      <c r="G542" s="5">
        <f>SUMIF(deals_closed!D:D, calculations!A542, deals_closed!C:C)</f>
        <v>793429</v>
      </c>
      <c r="H542" s="5">
        <f>VLOOKUP(D542,'2018_commission_structure'!$A$2:$I$4,9,FALSE)</f>
        <v>600000</v>
      </c>
      <c r="I542" s="9">
        <f t="shared" si="48"/>
        <v>750000</v>
      </c>
      <c r="J542" s="8">
        <f t="shared" si="49"/>
        <v>900000</v>
      </c>
      <c r="K542" s="9">
        <f t="shared" si="50"/>
        <v>1200000</v>
      </c>
      <c r="L542" s="10">
        <f t="shared" si="51"/>
        <v>1.3223816666666666</v>
      </c>
      <c r="M542" t="str">
        <f t="shared" si="52"/>
        <v>125-150%</v>
      </c>
      <c r="N542" s="9">
        <f>MIN(H542, G542)*INDEX('2018_commission_structure'!$A$1:$I$4,
MATCH($D542, '2018_commission_structure'!$A$1:$A$4,0),
MATCH(N$1, '2018_commission_structure'!$A$1:$I$1,0))</f>
        <v>78000</v>
      </c>
      <c r="O542" s="11">
        <f>IF(G542&gt;H542, MIN(G542-H542, I542-H542)*
INDEX('2018_commission_structure'!$A$1:$I$4,
MATCH($D542, '2018_commission_structure'!$A$1:$A$4, 0),
MATCH(O$1, '2018_commission_structure'!$A$1:$I$1, 0)), 0)</f>
        <v>25500.000000000004</v>
      </c>
      <c r="P542" s="11">
        <f>IF(G542&gt;H542, MIN(G542-H542, J542-H542)*
INDEX('2018_commission_structure'!$A$1:$I$4,
MATCH($D542, '2018_commission_structure'!$A$1:$A$4, 0),
MATCH(O$1, '2018_commission_structure'!$A$1:$I$1, 0)), 0)</f>
        <v>32882.93</v>
      </c>
      <c r="Q542" s="11">
        <f>IF(G542&gt;H542, MIN(G542-H542, I542-H542)*
INDEX('2018_commission_structure'!$A$1:$I$4,
MATCH($D542, '2018_commission_structure'!$A$1:$A$4, 0),
MATCH(P$1, '2018_commission_structure'!$A$1:$I$1, 0)), 0)</f>
        <v>31500</v>
      </c>
      <c r="R542" s="11">
        <f>IF(G542&gt;K542, (G542-K542) *
INDEX('2018_commission_structure'!$A$1:$I$4,
MATCH($D542, '2018_commission_structure'!$A$1:$A$4,0),
MATCH(R$1, '2018_commission_structure'!$A$1:$I$1,0)), 0)</f>
        <v>0</v>
      </c>
      <c r="S542" s="11">
        <f t="shared" si="53"/>
        <v>89882.930000000008</v>
      </c>
      <c r="T542" s="11" cm="1">
        <f t="array" ref="T542">SUM(E542+O542:Q542)</f>
        <v>297698.93</v>
      </c>
    </row>
    <row r="543" spans="1:20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 xml:space="preserve"> COUNTIF(deals_closed!D:D,A543)</f>
        <v>22</v>
      </c>
      <c r="G543" s="5">
        <f>SUMIF(deals_closed!D:D, calculations!A543, deals_closed!C:C)</f>
        <v>782719</v>
      </c>
      <c r="H543" s="5">
        <f>VLOOKUP(D543,'2018_commission_structure'!$A$2:$I$4,9,FALSE)</f>
        <v>600000</v>
      </c>
      <c r="I543" s="9">
        <f t="shared" si="48"/>
        <v>750000</v>
      </c>
      <c r="J543" s="8">
        <f t="shared" si="49"/>
        <v>900000</v>
      </c>
      <c r="K543" s="9">
        <f t="shared" si="50"/>
        <v>1200000</v>
      </c>
      <c r="L543" s="10">
        <f t="shared" si="51"/>
        <v>1.3045316666666666</v>
      </c>
      <c r="M543" t="str">
        <f t="shared" si="52"/>
        <v>125-150%</v>
      </c>
      <c r="N543" s="9">
        <f>MIN(H543, G543)*INDEX('2018_commission_structure'!$A$1:$I$4,
MATCH($D543, '2018_commission_structure'!$A$1:$A$4,0),
MATCH(N$1, '2018_commission_structure'!$A$1:$I$1,0))</f>
        <v>78000</v>
      </c>
      <c r="O543" s="11">
        <f>IF(G543&gt;H543, MIN(G543-H543, I543-H543)*
INDEX('2018_commission_structure'!$A$1:$I$4,
MATCH($D543, '2018_commission_structure'!$A$1:$A$4, 0),
MATCH(O$1, '2018_commission_structure'!$A$1:$I$1, 0)), 0)</f>
        <v>25500.000000000004</v>
      </c>
      <c r="P543" s="11">
        <f>IF(G543&gt;H543, MIN(G543-H543, J543-H543)*
INDEX('2018_commission_structure'!$A$1:$I$4,
MATCH($D543, '2018_commission_structure'!$A$1:$A$4, 0),
MATCH(O$1, '2018_commission_structure'!$A$1:$I$1, 0)), 0)</f>
        <v>31062.230000000003</v>
      </c>
      <c r="Q543" s="11">
        <f>IF(G543&gt;H543, MIN(G543-H543, I543-H543)*
INDEX('2018_commission_structure'!$A$1:$I$4,
MATCH($D543, '2018_commission_structure'!$A$1:$A$4, 0),
MATCH(P$1, '2018_commission_structure'!$A$1:$I$1, 0)), 0)</f>
        <v>31500</v>
      </c>
      <c r="R543" s="11">
        <f>IF(G543&gt;K543, (G543-K543) *
INDEX('2018_commission_structure'!$A$1:$I$4,
MATCH($D543, '2018_commission_structure'!$A$1:$A$4,0),
MATCH(R$1, '2018_commission_structure'!$A$1:$I$1,0)), 0)</f>
        <v>0</v>
      </c>
      <c r="S543" s="11">
        <f t="shared" si="53"/>
        <v>88062.23000000001</v>
      </c>
      <c r="T543" s="11" cm="1">
        <f t="array" ref="T543">SUM(E543+O543:Q543)</f>
        <v>304989.23</v>
      </c>
    </row>
    <row r="544" spans="1:20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 xml:space="preserve"> COUNTIF(deals_closed!D:D,A544)</f>
        <v>17</v>
      </c>
      <c r="G544" s="5">
        <f>SUMIF(deals_closed!D:D, calculations!A544, deals_closed!C:C)</f>
        <v>471173</v>
      </c>
      <c r="H544" s="5">
        <f>VLOOKUP(D544,'2018_commission_structure'!$A$2:$I$4,9,FALSE)</f>
        <v>500000</v>
      </c>
      <c r="I544" s="9">
        <f t="shared" si="48"/>
        <v>625000</v>
      </c>
      <c r="J544" s="8">
        <f t="shared" si="49"/>
        <v>750000</v>
      </c>
      <c r="K544" s="9">
        <f t="shared" si="50"/>
        <v>1000000</v>
      </c>
      <c r="L544" s="10">
        <f t="shared" si="51"/>
        <v>0.94234600000000002</v>
      </c>
      <c r="M544" t="str">
        <f t="shared" si="52"/>
        <v>0-100%</v>
      </c>
      <c r="N544" s="9">
        <f>MIN(H544, G544)*INDEX('2018_commission_structure'!$A$1:$I$4,
MATCH($D544, '2018_commission_structure'!$A$1:$A$4,0),
MATCH(N$1, '2018_commission_structure'!$A$1:$I$1,0))</f>
        <v>47117.3</v>
      </c>
      <c r="O544" s="11">
        <f>IF(G544&gt;H544, MIN(G544-H544, I544-H544)*
INDEX('2018_commission_structure'!$A$1:$I$4,
MATCH($D544, '2018_commission_structure'!$A$1:$A$4, 0),
MATCH(O$1, '2018_commission_structure'!$A$1:$I$1, 0)), 0)</f>
        <v>0</v>
      </c>
      <c r="P544" s="11">
        <f>IF(G544&gt;H544, MIN(G544-H544, J544-H544)*
INDEX('2018_commission_structure'!$A$1:$I$4,
MATCH($D544, '2018_commission_structure'!$A$1:$A$4, 0),
MATCH(O$1, '2018_commission_structure'!$A$1:$I$1, 0)), 0)</f>
        <v>0</v>
      </c>
      <c r="Q544" s="11">
        <f>IF(G544&gt;H544, MIN(G544-H544, I544-H544)*
INDEX('2018_commission_structure'!$A$1:$I$4,
MATCH($D544, '2018_commission_structure'!$A$1:$A$4, 0),
MATCH(P$1, '2018_commission_structure'!$A$1:$I$1, 0)), 0)</f>
        <v>0</v>
      </c>
      <c r="R544" s="11">
        <f>IF(G544&gt;K544, (G544-K544) *
INDEX('2018_commission_structure'!$A$1:$I$4,
MATCH($D544, '2018_commission_structure'!$A$1:$A$4,0),
MATCH(R$1, '2018_commission_structure'!$A$1:$I$1,0)), 0)</f>
        <v>0</v>
      </c>
      <c r="S544" s="11">
        <f t="shared" si="53"/>
        <v>0</v>
      </c>
      <c r="T544" s="11" cm="1">
        <f t="array" ref="T544">SUM(E544+O544:Q544)</f>
        <v>136692</v>
      </c>
    </row>
    <row r="545" spans="1:20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 xml:space="preserve"> COUNTIF(deals_closed!D:D,A545)</f>
        <v>14</v>
      </c>
      <c r="G545" s="5">
        <f>SUMIF(deals_closed!D:D, calculations!A545, deals_closed!C:C)</f>
        <v>445257</v>
      </c>
      <c r="H545" s="5">
        <f>VLOOKUP(D545,'2018_commission_structure'!$A$2:$I$4,9,FALSE)</f>
        <v>750000</v>
      </c>
      <c r="I545" s="9">
        <f t="shared" si="48"/>
        <v>937500</v>
      </c>
      <c r="J545" s="8">
        <f t="shared" si="49"/>
        <v>1125000</v>
      </c>
      <c r="K545" s="9">
        <f t="shared" si="50"/>
        <v>1500000</v>
      </c>
      <c r="L545" s="10">
        <f t="shared" si="51"/>
        <v>0.59367599999999998</v>
      </c>
      <c r="M545" t="str">
        <f t="shared" si="52"/>
        <v>0-100%</v>
      </c>
      <c r="N545" s="9">
        <f>MIN(H545, G545)*INDEX('2018_commission_structure'!$A$1:$I$4,
MATCH($D545, '2018_commission_structure'!$A$1:$A$4,0),
MATCH(N$1, '2018_commission_structure'!$A$1:$I$1,0))</f>
        <v>66788.55</v>
      </c>
      <c r="O545" s="11">
        <f>IF(G545&gt;H545, MIN(G545-H545, I545-H545)*
INDEX('2018_commission_structure'!$A$1:$I$4,
MATCH($D545, '2018_commission_structure'!$A$1:$A$4, 0),
MATCH(O$1, '2018_commission_structure'!$A$1:$I$1, 0)), 0)</f>
        <v>0</v>
      </c>
      <c r="P545" s="11">
        <f>IF(G545&gt;H545, MIN(G545-H545, J545-H545)*
INDEX('2018_commission_structure'!$A$1:$I$4,
MATCH($D545, '2018_commission_structure'!$A$1:$A$4, 0),
MATCH(O$1, '2018_commission_structure'!$A$1:$I$1, 0)), 0)</f>
        <v>0</v>
      </c>
      <c r="Q545" s="11">
        <f>IF(G545&gt;H545, MIN(G545-H545, I545-H545)*
INDEX('2018_commission_structure'!$A$1:$I$4,
MATCH($D545, '2018_commission_structure'!$A$1:$A$4, 0),
MATCH(P$1, '2018_commission_structure'!$A$1:$I$1, 0)), 0)</f>
        <v>0</v>
      </c>
      <c r="R545" s="11">
        <f>IF(G545&gt;K545, (G545-K545) *
INDEX('2018_commission_structure'!$A$1:$I$4,
MATCH($D545, '2018_commission_structure'!$A$1:$A$4,0),
MATCH(R$1, '2018_commission_structure'!$A$1:$I$1,0)), 0)</f>
        <v>0</v>
      </c>
      <c r="S545" s="11">
        <f t="shared" si="53"/>
        <v>0</v>
      </c>
      <c r="T545" s="11" cm="1">
        <f t="array" ref="T545">SUM(E545+O545:Q545)</f>
        <v>261885</v>
      </c>
    </row>
    <row r="546" spans="1:20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 xml:space="preserve"> COUNTIF(deals_closed!D:D,A546)</f>
        <v>21</v>
      </c>
      <c r="G546" s="5">
        <f>SUMIF(deals_closed!D:D, calculations!A546, deals_closed!C:C)</f>
        <v>699976</v>
      </c>
      <c r="H546" s="5">
        <f>VLOOKUP(D546,'2018_commission_structure'!$A$2:$I$4,9,FALSE)</f>
        <v>750000</v>
      </c>
      <c r="I546" s="9">
        <f t="shared" si="48"/>
        <v>937500</v>
      </c>
      <c r="J546" s="8">
        <f t="shared" si="49"/>
        <v>1125000</v>
      </c>
      <c r="K546" s="9">
        <f t="shared" si="50"/>
        <v>1500000</v>
      </c>
      <c r="L546" s="10">
        <f t="shared" si="51"/>
        <v>0.93330133333333332</v>
      </c>
      <c r="M546" t="str">
        <f t="shared" si="52"/>
        <v>0-100%</v>
      </c>
      <c r="N546" s="9">
        <f>MIN(H546, G546)*INDEX('2018_commission_structure'!$A$1:$I$4,
MATCH($D546, '2018_commission_structure'!$A$1:$A$4,0),
MATCH(N$1, '2018_commission_structure'!$A$1:$I$1,0))</f>
        <v>104996.4</v>
      </c>
      <c r="O546" s="11">
        <f>IF(G546&gt;H546, MIN(G546-H546, I546-H546)*
INDEX('2018_commission_structure'!$A$1:$I$4,
MATCH($D546, '2018_commission_structure'!$A$1:$A$4, 0),
MATCH(O$1, '2018_commission_structure'!$A$1:$I$1, 0)), 0)</f>
        <v>0</v>
      </c>
      <c r="P546" s="11">
        <f>IF(G546&gt;H546, MIN(G546-H546, J546-H546)*
INDEX('2018_commission_structure'!$A$1:$I$4,
MATCH($D546, '2018_commission_structure'!$A$1:$A$4, 0),
MATCH(O$1, '2018_commission_structure'!$A$1:$I$1, 0)), 0)</f>
        <v>0</v>
      </c>
      <c r="Q546" s="11">
        <f>IF(G546&gt;H546, MIN(G546-H546, I546-H546)*
INDEX('2018_commission_structure'!$A$1:$I$4,
MATCH($D546, '2018_commission_structure'!$A$1:$A$4, 0),
MATCH(P$1, '2018_commission_structure'!$A$1:$I$1, 0)), 0)</f>
        <v>0</v>
      </c>
      <c r="R546" s="11">
        <f>IF(G546&gt;K546, (G546-K546) *
INDEX('2018_commission_structure'!$A$1:$I$4,
MATCH($D546, '2018_commission_structure'!$A$1:$A$4,0),
MATCH(R$1, '2018_commission_structure'!$A$1:$I$1,0)), 0)</f>
        <v>0</v>
      </c>
      <c r="S546" s="11">
        <f t="shared" si="53"/>
        <v>0</v>
      </c>
      <c r="T546" s="11" cm="1">
        <f t="array" ref="T546">SUM(E546+O546:Q546)</f>
        <v>300174</v>
      </c>
    </row>
    <row r="547" spans="1:20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 xml:space="preserve"> COUNTIF(deals_closed!D:D,A547)</f>
        <v>20</v>
      </c>
      <c r="G547" s="5">
        <f>SUMIF(deals_closed!D:D, calculations!A547, deals_closed!C:C)</f>
        <v>665332</v>
      </c>
      <c r="H547" s="5">
        <f>VLOOKUP(D547,'2018_commission_structure'!$A$2:$I$4,9,FALSE)</f>
        <v>750000</v>
      </c>
      <c r="I547" s="9">
        <f t="shared" si="48"/>
        <v>937500</v>
      </c>
      <c r="J547" s="8">
        <f t="shared" si="49"/>
        <v>1125000</v>
      </c>
      <c r="K547" s="9">
        <f t="shared" si="50"/>
        <v>1500000</v>
      </c>
      <c r="L547" s="10">
        <f t="shared" si="51"/>
        <v>0.88710933333333331</v>
      </c>
      <c r="M547" t="str">
        <f t="shared" si="52"/>
        <v>0-100%</v>
      </c>
      <c r="N547" s="9">
        <f>MIN(H547, G547)*INDEX('2018_commission_structure'!$A$1:$I$4,
MATCH($D547, '2018_commission_structure'!$A$1:$A$4,0),
MATCH(N$1, '2018_commission_structure'!$A$1:$I$1,0))</f>
        <v>99799.8</v>
      </c>
      <c r="O547" s="11">
        <f>IF(G547&gt;H547, MIN(G547-H547, I547-H547)*
INDEX('2018_commission_structure'!$A$1:$I$4,
MATCH($D547, '2018_commission_structure'!$A$1:$A$4, 0),
MATCH(O$1, '2018_commission_structure'!$A$1:$I$1, 0)), 0)</f>
        <v>0</v>
      </c>
      <c r="P547" s="11">
        <f>IF(G547&gt;H547, MIN(G547-H547, J547-H547)*
INDEX('2018_commission_structure'!$A$1:$I$4,
MATCH($D547, '2018_commission_structure'!$A$1:$A$4, 0),
MATCH(O$1, '2018_commission_structure'!$A$1:$I$1, 0)), 0)</f>
        <v>0</v>
      </c>
      <c r="Q547" s="11">
        <f>IF(G547&gt;H547, MIN(G547-H547, I547-H547)*
INDEX('2018_commission_structure'!$A$1:$I$4,
MATCH($D547, '2018_commission_structure'!$A$1:$A$4, 0),
MATCH(P$1, '2018_commission_structure'!$A$1:$I$1, 0)), 0)</f>
        <v>0</v>
      </c>
      <c r="R547" s="11">
        <f>IF(G547&gt;K547, (G547-K547) *
INDEX('2018_commission_structure'!$A$1:$I$4,
MATCH($D547, '2018_commission_structure'!$A$1:$A$4,0),
MATCH(R$1, '2018_commission_structure'!$A$1:$I$1,0)), 0)</f>
        <v>0</v>
      </c>
      <c r="S547" s="11">
        <f t="shared" si="53"/>
        <v>0</v>
      </c>
      <c r="T547" s="11" cm="1">
        <f t="array" ref="T547">SUM(E547+O547:Q547)</f>
        <v>323406</v>
      </c>
    </row>
    <row r="548" spans="1:20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 xml:space="preserve"> COUNTIF(deals_closed!D:D,A548)</f>
        <v>23</v>
      </c>
      <c r="G548" s="5">
        <f>SUMIF(deals_closed!D:D, calculations!A548, deals_closed!C:C)</f>
        <v>893891</v>
      </c>
      <c r="H548" s="5">
        <f>VLOOKUP(D548,'2018_commission_structure'!$A$2:$I$4,9,FALSE)</f>
        <v>750000</v>
      </c>
      <c r="I548" s="9">
        <f t="shared" si="48"/>
        <v>937500</v>
      </c>
      <c r="J548" s="8">
        <f t="shared" si="49"/>
        <v>1125000</v>
      </c>
      <c r="K548" s="9">
        <f t="shared" si="50"/>
        <v>1500000</v>
      </c>
      <c r="L548" s="10">
        <f t="shared" si="51"/>
        <v>1.1918546666666667</v>
      </c>
      <c r="M548" t="str">
        <f t="shared" si="52"/>
        <v>100-125%</v>
      </c>
      <c r="N548" s="9">
        <f>MIN(H548, G548)*INDEX('2018_commission_structure'!$A$1:$I$4,
MATCH($D548, '2018_commission_structure'!$A$1:$A$4,0),
MATCH(N$1, '2018_commission_structure'!$A$1:$I$1,0))</f>
        <v>112500</v>
      </c>
      <c r="O548" s="11">
        <f>IF(G548&gt;H548, MIN(G548-H548, I548-H548)*
INDEX('2018_commission_structure'!$A$1:$I$4,
MATCH($D548, '2018_commission_structure'!$A$1:$A$4, 0),
MATCH(O$1, '2018_commission_structure'!$A$1:$I$1, 0)), 0)</f>
        <v>27339.29</v>
      </c>
      <c r="P548" s="11">
        <f>IF(G548&gt;H548, MIN(G548-H548, J548-H548)*
INDEX('2018_commission_structure'!$A$1:$I$4,
MATCH($D548, '2018_commission_structure'!$A$1:$A$4, 0),
MATCH(O$1, '2018_commission_structure'!$A$1:$I$1, 0)), 0)</f>
        <v>27339.29</v>
      </c>
      <c r="Q548" s="11">
        <f>IF(G548&gt;H548, MIN(G548-H548, I548-H548)*
INDEX('2018_commission_structure'!$A$1:$I$4,
MATCH($D548, '2018_commission_structure'!$A$1:$A$4, 0),
MATCH(P$1, '2018_commission_structure'!$A$1:$I$1, 0)), 0)</f>
        <v>33094.93</v>
      </c>
      <c r="R548" s="11">
        <f>IF(G548&gt;K548, (G548-K548) *
INDEX('2018_commission_structure'!$A$1:$I$4,
MATCH($D548, '2018_commission_structure'!$A$1:$A$4,0),
MATCH(R$1, '2018_commission_structure'!$A$1:$I$1,0)), 0)</f>
        <v>0</v>
      </c>
      <c r="S548" s="11">
        <f t="shared" si="53"/>
        <v>87773.510000000009</v>
      </c>
      <c r="T548" s="11" cm="1">
        <f t="array" ref="T548">SUM(E548+O548:Q548)</f>
        <v>461327.51</v>
      </c>
    </row>
    <row r="549" spans="1:20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 xml:space="preserve"> COUNTIF(deals_closed!D:D,A549)</f>
        <v>18</v>
      </c>
      <c r="G549" s="5">
        <f>SUMIF(deals_closed!D:D, calculations!A549, deals_closed!C:C)</f>
        <v>704901</v>
      </c>
      <c r="H549" s="5">
        <f>VLOOKUP(D549,'2018_commission_structure'!$A$2:$I$4,9,FALSE)</f>
        <v>750000</v>
      </c>
      <c r="I549" s="9">
        <f t="shared" si="48"/>
        <v>937500</v>
      </c>
      <c r="J549" s="8">
        <f t="shared" si="49"/>
        <v>1125000</v>
      </c>
      <c r="K549" s="9">
        <f t="shared" si="50"/>
        <v>1500000</v>
      </c>
      <c r="L549" s="10">
        <f t="shared" si="51"/>
        <v>0.93986800000000004</v>
      </c>
      <c r="M549" t="str">
        <f t="shared" si="52"/>
        <v>0-100%</v>
      </c>
      <c r="N549" s="9">
        <f>MIN(H549, G549)*INDEX('2018_commission_structure'!$A$1:$I$4,
MATCH($D549, '2018_commission_structure'!$A$1:$A$4,0),
MATCH(N$1, '2018_commission_structure'!$A$1:$I$1,0))</f>
        <v>105735.15</v>
      </c>
      <c r="O549" s="11">
        <f>IF(G549&gt;H549, MIN(G549-H549, I549-H549)*
INDEX('2018_commission_structure'!$A$1:$I$4,
MATCH($D549, '2018_commission_structure'!$A$1:$A$4, 0),
MATCH(O$1, '2018_commission_structure'!$A$1:$I$1, 0)), 0)</f>
        <v>0</v>
      </c>
      <c r="P549" s="11">
        <f>IF(G549&gt;H549, MIN(G549-H549, J549-H549)*
INDEX('2018_commission_structure'!$A$1:$I$4,
MATCH($D549, '2018_commission_structure'!$A$1:$A$4, 0),
MATCH(O$1, '2018_commission_structure'!$A$1:$I$1, 0)), 0)</f>
        <v>0</v>
      </c>
      <c r="Q549" s="11">
        <f>IF(G549&gt;H549, MIN(G549-H549, I549-H549)*
INDEX('2018_commission_structure'!$A$1:$I$4,
MATCH($D549, '2018_commission_structure'!$A$1:$A$4, 0),
MATCH(P$1, '2018_commission_structure'!$A$1:$I$1, 0)), 0)</f>
        <v>0</v>
      </c>
      <c r="R549" s="11">
        <f>IF(G549&gt;K549, (G549-K549) *
INDEX('2018_commission_structure'!$A$1:$I$4,
MATCH($D549, '2018_commission_structure'!$A$1:$A$4,0),
MATCH(R$1, '2018_commission_structure'!$A$1:$I$1,0)), 0)</f>
        <v>0</v>
      </c>
      <c r="S549" s="11">
        <f t="shared" si="53"/>
        <v>0</v>
      </c>
      <c r="T549" s="11" cm="1">
        <f t="array" ref="T549">SUM(E549+O549:Q549)</f>
        <v>296202</v>
      </c>
    </row>
    <row r="550" spans="1:20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 xml:space="preserve"> COUNTIF(deals_closed!D:D,A550)</f>
        <v>21</v>
      </c>
      <c r="G550" s="5">
        <f>SUMIF(deals_closed!D:D, calculations!A550, deals_closed!C:C)</f>
        <v>764254</v>
      </c>
      <c r="H550" s="5">
        <f>VLOOKUP(D550,'2018_commission_structure'!$A$2:$I$4,9,FALSE)</f>
        <v>750000</v>
      </c>
      <c r="I550" s="9">
        <f t="shared" si="48"/>
        <v>937500</v>
      </c>
      <c r="J550" s="8">
        <f t="shared" si="49"/>
        <v>1125000</v>
      </c>
      <c r="K550" s="9">
        <f t="shared" si="50"/>
        <v>1500000</v>
      </c>
      <c r="L550" s="10">
        <f t="shared" si="51"/>
        <v>1.0190053333333333</v>
      </c>
      <c r="M550" t="str">
        <f t="shared" si="52"/>
        <v>100-125%</v>
      </c>
      <c r="N550" s="9">
        <f>MIN(H550, G550)*INDEX('2018_commission_structure'!$A$1:$I$4,
MATCH($D550, '2018_commission_structure'!$A$1:$A$4,0),
MATCH(N$1, '2018_commission_structure'!$A$1:$I$1,0))</f>
        <v>112500</v>
      </c>
      <c r="O550" s="11">
        <f>IF(G550&gt;H550, MIN(G550-H550, I550-H550)*
INDEX('2018_commission_structure'!$A$1:$I$4,
MATCH($D550, '2018_commission_structure'!$A$1:$A$4, 0),
MATCH(O$1, '2018_commission_structure'!$A$1:$I$1, 0)), 0)</f>
        <v>2708.26</v>
      </c>
      <c r="P550" s="11">
        <f>IF(G550&gt;H550, MIN(G550-H550, J550-H550)*
INDEX('2018_commission_structure'!$A$1:$I$4,
MATCH($D550, '2018_commission_structure'!$A$1:$A$4, 0),
MATCH(O$1, '2018_commission_structure'!$A$1:$I$1, 0)), 0)</f>
        <v>2708.26</v>
      </c>
      <c r="Q550" s="11">
        <f>IF(G550&gt;H550, MIN(G550-H550, I550-H550)*
INDEX('2018_commission_structure'!$A$1:$I$4,
MATCH($D550, '2018_commission_structure'!$A$1:$A$4, 0),
MATCH(P$1, '2018_commission_structure'!$A$1:$I$1, 0)), 0)</f>
        <v>3278.42</v>
      </c>
      <c r="R550" s="11">
        <f>IF(G550&gt;K550, (G550-K550) *
INDEX('2018_commission_structure'!$A$1:$I$4,
MATCH($D550, '2018_commission_structure'!$A$1:$A$4,0),
MATCH(R$1, '2018_commission_structure'!$A$1:$I$1,0)), 0)</f>
        <v>0</v>
      </c>
      <c r="S550" s="11">
        <f t="shared" si="53"/>
        <v>8694.94</v>
      </c>
      <c r="T550" s="11" cm="1">
        <f t="array" ref="T550">SUM(E550+O550:Q550)</f>
        <v>241923.94</v>
      </c>
    </row>
    <row r="551" spans="1:20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 xml:space="preserve"> COUNTIF(deals_closed!D:D,A551)</f>
        <v>20</v>
      </c>
      <c r="G551" s="5">
        <f>SUMIF(deals_closed!D:D, calculations!A551, deals_closed!C:C)</f>
        <v>637072</v>
      </c>
      <c r="H551" s="5">
        <f>VLOOKUP(D551,'2018_commission_structure'!$A$2:$I$4,9,FALSE)</f>
        <v>500000</v>
      </c>
      <c r="I551" s="9">
        <f t="shared" si="48"/>
        <v>625000</v>
      </c>
      <c r="J551" s="8">
        <f t="shared" si="49"/>
        <v>750000</v>
      </c>
      <c r="K551" s="9">
        <f t="shared" si="50"/>
        <v>1000000</v>
      </c>
      <c r="L551" s="10">
        <f t="shared" si="51"/>
        <v>1.2741439999999999</v>
      </c>
      <c r="M551" t="str">
        <f t="shared" si="52"/>
        <v>125-150%</v>
      </c>
      <c r="N551" s="9">
        <f>MIN(H551, G551)*INDEX('2018_commission_structure'!$A$1:$I$4,
MATCH($D551, '2018_commission_structure'!$A$1:$A$4,0),
MATCH(N$1, '2018_commission_structure'!$A$1:$I$1,0))</f>
        <v>50000</v>
      </c>
      <c r="O551" s="11">
        <f>IF(G551&gt;H551, MIN(G551-H551, I551-H551)*
INDEX('2018_commission_structure'!$A$1:$I$4,
MATCH($D551, '2018_commission_structure'!$A$1:$A$4, 0),
MATCH(O$1, '2018_commission_structure'!$A$1:$I$1, 0)), 0)</f>
        <v>18750</v>
      </c>
      <c r="P551" s="11">
        <f>IF(G551&gt;H551, MIN(G551-H551, J551-H551)*
INDEX('2018_commission_structure'!$A$1:$I$4,
MATCH($D551, '2018_commission_structure'!$A$1:$A$4, 0),
MATCH(O$1, '2018_commission_structure'!$A$1:$I$1, 0)), 0)</f>
        <v>20560.8</v>
      </c>
      <c r="Q551" s="11">
        <f>IF(G551&gt;H551, MIN(G551-H551, I551-H551)*
INDEX('2018_commission_structure'!$A$1:$I$4,
MATCH($D551, '2018_commission_structure'!$A$1:$A$4, 0),
MATCH(P$1, '2018_commission_structure'!$A$1:$I$1, 0)), 0)</f>
        <v>22500</v>
      </c>
      <c r="R551" s="11">
        <f>IF(G551&gt;K551, (G551-K551) *
INDEX('2018_commission_structure'!$A$1:$I$4,
MATCH($D551, '2018_commission_structure'!$A$1:$A$4,0),
MATCH(R$1, '2018_commission_structure'!$A$1:$I$1,0)), 0)</f>
        <v>0</v>
      </c>
      <c r="S551" s="11">
        <f t="shared" si="53"/>
        <v>61810.8</v>
      </c>
      <c r="T551" s="11" cm="1">
        <f t="array" ref="T551">SUM(E551+O551:Q551)</f>
        <v>165883.79999999999</v>
      </c>
    </row>
    <row r="552" spans="1:20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 xml:space="preserve"> COUNTIF(deals_closed!D:D,A552)</f>
        <v>19</v>
      </c>
      <c r="G552" s="5">
        <f>SUMIF(deals_closed!D:D, calculations!A552, deals_closed!C:C)</f>
        <v>596790</v>
      </c>
      <c r="H552" s="5">
        <f>VLOOKUP(D552,'2018_commission_structure'!$A$2:$I$4,9,FALSE)</f>
        <v>750000</v>
      </c>
      <c r="I552" s="9">
        <f t="shared" si="48"/>
        <v>937500</v>
      </c>
      <c r="J552" s="8">
        <f t="shared" si="49"/>
        <v>1125000</v>
      </c>
      <c r="K552" s="9">
        <f t="shared" si="50"/>
        <v>1500000</v>
      </c>
      <c r="L552" s="10">
        <f t="shared" si="51"/>
        <v>0.79571999999999998</v>
      </c>
      <c r="M552" t="str">
        <f t="shared" si="52"/>
        <v>0-100%</v>
      </c>
      <c r="N552" s="9">
        <f>MIN(H552, G552)*INDEX('2018_commission_structure'!$A$1:$I$4,
MATCH($D552, '2018_commission_structure'!$A$1:$A$4,0),
MATCH(N$1, '2018_commission_structure'!$A$1:$I$1,0))</f>
        <v>89518.5</v>
      </c>
      <c r="O552" s="11">
        <f>IF(G552&gt;H552, MIN(G552-H552, I552-H552)*
INDEX('2018_commission_structure'!$A$1:$I$4,
MATCH($D552, '2018_commission_structure'!$A$1:$A$4, 0),
MATCH(O$1, '2018_commission_structure'!$A$1:$I$1, 0)), 0)</f>
        <v>0</v>
      </c>
      <c r="P552" s="11">
        <f>IF(G552&gt;H552, MIN(G552-H552, J552-H552)*
INDEX('2018_commission_structure'!$A$1:$I$4,
MATCH($D552, '2018_commission_structure'!$A$1:$A$4, 0),
MATCH(O$1, '2018_commission_structure'!$A$1:$I$1, 0)), 0)</f>
        <v>0</v>
      </c>
      <c r="Q552" s="11">
        <f>IF(G552&gt;H552, MIN(G552-H552, I552-H552)*
INDEX('2018_commission_structure'!$A$1:$I$4,
MATCH($D552, '2018_commission_structure'!$A$1:$A$4, 0),
MATCH(P$1, '2018_commission_structure'!$A$1:$I$1, 0)), 0)</f>
        <v>0</v>
      </c>
      <c r="R552" s="11">
        <f>IF(G552&gt;K552, (G552-K552) *
INDEX('2018_commission_structure'!$A$1:$I$4,
MATCH($D552, '2018_commission_structure'!$A$1:$A$4,0),
MATCH(R$1, '2018_commission_structure'!$A$1:$I$1,0)), 0)</f>
        <v>0</v>
      </c>
      <c r="S552" s="11">
        <f t="shared" si="53"/>
        <v>0</v>
      </c>
      <c r="T552" s="11" cm="1">
        <f t="array" ref="T552">SUM(E552+O552:Q552)</f>
        <v>284199</v>
      </c>
    </row>
    <row r="553" spans="1:20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 xml:space="preserve"> COUNTIF(deals_closed!D:D,A553)</f>
        <v>14</v>
      </c>
      <c r="G553" s="5">
        <f>SUMIF(deals_closed!D:D, calculations!A553, deals_closed!C:C)</f>
        <v>454708</v>
      </c>
      <c r="H553" s="5">
        <f>VLOOKUP(D553,'2018_commission_structure'!$A$2:$I$4,9,FALSE)</f>
        <v>750000</v>
      </c>
      <c r="I553" s="9">
        <f t="shared" si="48"/>
        <v>937500</v>
      </c>
      <c r="J553" s="8">
        <f t="shared" si="49"/>
        <v>1125000</v>
      </c>
      <c r="K553" s="9">
        <f t="shared" si="50"/>
        <v>1500000</v>
      </c>
      <c r="L553" s="10">
        <f t="shared" si="51"/>
        <v>0.60627733333333333</v>
      </c>
      <c r="M553" t="str">
        <f t="shared" si="52"/>
        <v>0-100%</v>
      </c>
      <c r="N553" s="9">
        <f>MIN(H553, G553)*INDEX('2018_commission_structure'!$A$1:$I$4,
MATCH($D553, '2018_commission_structure'!$A$1:$A$4,0),
MATCH(N$1, '2018_commission_structure'!$A$1:$I$1,0))</f>
        <v>68206.2</v>
      </c>
      <c r="O553" s="11">
        <f>IF(G553&gt;H553, MIN(G553-H553, I553-H553)*
INDEX('2018_commission_structure'!$A$1:$I$4,
MATCH($D553, '2018_commission_structure'!$A$1:$A$4, 0),
MATCH(O$1, '2018_commission_structure'!$A$1:$I$1, 0)), 0)</f>
        <v>0</v>
      </c>
      <c r="P553" s="11">
        <f>IF(G553&gt;H553, MIN(G553-H553, J553-H553)*
INDEX('2018_commission_structure'!$A$1:$I$4,
MATCH($D553, '2018_commission_structure'!$A$1:$A$4, 0),
MATCH(O$1, '2018_commission_structure'!$A$1:$I$1, 0)), 0)</f>
        <v>0</v>
      </c>
      <c r="Q553" s="11">
        <f>IF(G553&gt;H553, MIN(G553-H553, I553-H553)*
INDEX('2018_commission_structure'!$A$1:$I$4,
MATCH($D553, '2018_commission_structure'!$A$1:$A$4, 0),
MATCH(P$1, '2018_commission_structure'!$A$1:$I$1, 0)), 0)</f>
        <v>0</v>
      </c>
      <c r="R553" s="11">
        <f>IF(G553&gt;K553, (G553-K553) *
INDEX('2018_commission_structure'!$A$1:$I$4,
MATCH($D553, '2018_commission_structure'!$A$1:$A$4,0),
MATCH(R$1, '2018_commission_structure'!$A$1:$I$1,0)), 0)</f>
        <v>0</v>
      </c>
      <c r="S553" s="11">
        <f t="shared" si="53"/>
        <v>0</v>
      </c>
      <c r="T553" s="11" cm="1">
        <f t="array" ref="T553">SUM(E553+O553:Q553)</f>
        <v>274968</v>
      </c>
    </row>
    <row r="554" spans="1:20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 xml:space="preserve"> COUNTIF(deals_closed!D:D,A554)</f>
        <v>22</v>
      </c>
      <c r="G554" s="5">
        <f>SUMIF(deals_closed!D:D, calculations!A554, deals_closed!C:C)</f>
        <v>800141</v>
      </c>
      <c r="H554" s="5">
        <f>VLOOKUP(D554,'2018_commission_structure'!$A$2:$I$4,9,FALSE)</f>
        <v>600000</v>
      </c>
      <c r="I554" s="9">
        <f t="shared" si="48"/>
        <v>750000</v>
      </c>
      <c r="J554" s="8">
        <f t="shared" si="49"/>
        <v>900000</v>
      </c>
      <c r="K554" s="9">
        <f t="shared" si="50"/>
        <v>1200000</v>
      </c>
      <c r="L554" s="10">
        <f t="shared" si="51"/>
        <v>1.3335683333333332</v>
      </c>
      <c r="M554" t="str">
        <f t="shared" si="52"/>
        <v>125-150%</v>
      </c>
      <c r="N554" s="9">
        <f>MIN(H554, G554)*INDEX('2018_commission_structure'!$A$1:$I$4,
MATCH($D554, '2018_commission_structure'!$A$1:$A$4,0),
MATCH(N$1, '2018_commission_structure'!$A$1:$I$1,0))</f>
        <v>78000</v>
      </c>
      <c r="O554" s="11">
        <f>IF(G554&gt;H554, MIN(G554-H554, I554-H554)*
INDEX('2018_commission_structure'!$A$1:$I$4,
MATCH($D554, '2018_commission_structure'!$A$1:$A$4, 0),
MATCH(O$1, '2018_commission_structure'!$A$1:$I$1, 0)), 0)</f>
        <v>25500.000000000004</v>
      </c>
      <c r="P554" s="11">
        <f>IF(G554&gt;H554, MIN(G554-H554, J554-H554)*
INDEX('2018_commission_structure'!$A$1:$I$4,
MATCH($D554, '2018_commission_structure'!$A$1:$A$4, 0),
MATCH(O$1, '2018_commission_structure'!$A$1:$I$1, 0)), 0)</f>
        <v>34023.97</v>
      </c>
      <c r="Q554" s="11">
        <f>IF(G554&gt;H554, MIN(G554-H554, I554-H554)*
INDEX('2018_commission_structure'!$A$1:$I$4,
MATCH($D554, '2018_commission_structure'!$A$1:$A$4, 0),
MATCH(P$1, '2018_commission_structure'!$A$1:$I$1, 0)), 0)</f>
        <v>31500</v>
      </c>
      <c r="R554" s="11">
        <f>IF(G554&gt;K554, (G554-K554) *
INDEX('2018_commission_structure'!$A$1:$I$4,
MATCH($D554, '2018_commission_structure'!$A$1:$A$4,0),
MATCH(R$1, '2018_commission_structure'!$A$1:$I$1,0)), 0)</f>
        <v>0</v>
      </c>
      <c r="S554" s="11">
        <f t="shared" si="53"/>
        <v>91023.97</v>
      </c>
      <c r="T554" s="11" cm="1">
        <f t="array" ref="T554">SUM(E554+O554:Q554)</f>
        <v>310302.96999999997</v>
      </c>
    </row>
    <row r="555" spans="1:20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 xml:space="preserve"> COUNTIF(deals_closed!D:D,A555)</f>
        <v>17</v>
      </c>
      <c r="G555" s="5">
        <f>SUMIF(deals_closed!D:D, calculations!A555, deals_closed!C:C)</f>
        <v>695501</v>
      </c>
      <c r="H555" s="5">
        <f>VLOOKUP(D555,'2018_commission_structure'!$A$2:$I$4,9,FALSE)</f>
        <v>500000</v>
      </c>
      <c r="I555" s="9">
        <f t="shared" si="48"/>
        <v>625000</v>
      </c>
      <c r="J555" s="8">
        <f t="shared" si="49"/>
        <v>750000</v>
      </c>
      <c r="K555" s="9">
        <f t="shared" si="50"/>
        <v>1000000</v>
      </c>
      <c r="L555" s="10">
        <f t="shared" si="51"/>
        <v>1.3910020000000001</v>
      </c>
      <c r="M555" t="str">
        <f t="shared" si="52"/>
        <v>125-150%</v>
      </c>
      <c r="N555" s="9">
        <f>MIN(H555, G555)*INDEX('2018_commission_structure'!$A$1:$I$4,
MATCH($D555, '2018_commission_structure'!$A$1:$A$4,0),
MATCH(N$1, '2018_commission_structure'!$A$1:$I$1,0))</f>
        <v>50000</v>
      </c>
      <c r="O555" s="11">
        <f>IF(G555&gt;H555, MIN(G555-H555, I555-H555)*
INDEX('2018_commission_structure'!$A$1:$I$4,
MATCH($D555, '2018_commission_structure'!$A$1:$A$4, 0),
MATCH(O$1, '2018_commission_structure'!$A$1:$I$1, 0)), 0)</f>
        <v>18750</v>
      </c>
      <c r="P555" s="11">
        <f>IF(G555&gt;H555, MIN(G555-H555, J555-H555)*
INDEX('2018_commission_structure'!$A$1:$I$4,
MATCH($D555, '2018_commission_structure'!$A$1:$A$4, 0),
MATCH(O$1, '2018_commission_structure'!$A$1:$I$1, 0)), 0)</f>
        <v>29325.149999999998</v>
      </c>
      <c r="Q555" s="11">
        <f>IF(G555&gt;H555, MIN(G555-H555, I555-H555)*
INDEX('2018_commission_structure'!$A$1:$I$4,
MATCH($D555, '2018_commission_structure'!$A$1:$A$4, 0),
MATCH(P$1, '2018_commission_structure'!$A$1:$I$1, 0)), 0)</f>
        <v>22500</v>
      </c>
      <c r="R555" s="11">
        <f>IF(G555&gt;K555, (G555-K555) *
INDEX('2018_commission_structure'!$A$1:$I$4,
MATCH($D555, '2018_commission_structure'!$A$1:$A$4,0),
MATCH(R$1, '2018_commission_structure'!$A$1:$I$1,0)), 0)</f>
        <v>0</v>
      </c>
      <c r="S555" s="11">
        <f t="shared" si="53"/>
        <v>70575.149999999994</v>
      </c>
      <c r="T555" s="11" cm="1">
        <f t="array" ref="T555">SUM(E555+O555:Q555)</f>
        <v>262299.15000000002</v>
      </c>
    </row>
    <row r="556" spans="1:20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 xml:space="preserve"> COUNTIF(deals_closed!D:D,A556)</f>
        <v>26</v>
      </c>
      <c r="G556" s="5">
        <f>SUMIF(deals_closed!D:D, calculations!A556, deals_closed!C:C)</f>
        <v>937273</v>
      </c>
      <c r="H556" s="5">
        <f>VLOOKUP(D556,'2018_commission_structure'!$A$2:$I$4,9,FALSE)</f>
        <v>500000</v>
      </c>
      <c r="I556" s="9">
        <f t="shared" si="48"/>
        <v>625000</v>
      </c>
      <c r="J556" s="8">
        <f t="shared" si="49"/>
        <v>750000</v>
      </c>
      <c r="K556" s="9">
        <f t="shared" si="50"/>
        <v>1000000</v>
      </c>
      <c r="L556" s="10">
        <f t="shared" si="51"/>
        <v>1.874546</v>
      </c>
      <c r="M556" t="str">
        <f t="shared" si="52"/>
        <v>150-200%</v>
      </c>
      <c r="N556" s="9">
        <f>MIN(H556, G556)*INDEX('2018_commission_structure'!$A$1:$I$4,
MATCH($D556, '2018_commission_structure'!$A$1:$A$4,0),
MATCH(N$1, '2018_commission_structure'!$A$1:$I$1,0))</f>
        <v>50000</v>
      </c>
      <c r="O556" s="11">
        <f>IF(G556&gt;H556, MIN(G556-H556, I556-H556)*
INDEX('2018_commission_structure'!$A$1:$I$4,
MATCH($D556, '2018_commission_structure'!$A$1:$A$4, 0),
MATCH(O$1, '2018_commission_structure'!$A$1:$I$1, 0)), 0)</f>
        <v>18750</v>
      </c>
      <c r="P556" s="11">
        <f>IF(G556&gt;H556, MIN(G556-H556, J556-H556)*
INDEX('2018_commission_structure'!$A$1:$I$4,
MATCH($D556, '2018_commission_structure'!$A$1:$A$4, 0),
MATCH(O$1, '2018_commission_structure'!$A$1:$I$1, 0)), 0)</f>
        <v>37500</v>
      </c>
      <c r="Q556" s="11">
        <f>IF(G556&gt;H556, MIN(G556-H556, I556-H556)*
INDEX('2018_commission_structure'!$A$1:$I$4,
MATCH($D556, '2018_commission_structure'!$A$1:$A$4, 0),
MATCH(P$1, '2018_commission_structure'!$A$1:$I$1, 0)), 0)</f>
        <v>22500</v>
      </c>
      <c r="R556" s="11">
        <f>IF(G556&gt;K556, (G556-K556) *
INDEX('2018_commission_structure'!$A$1:$I$4,
MATCH($D556, '2018_commission_structure'!$A$1:$A$4,0),
MATCH(R$1, '2018_commission_structure'!$A$1:$I$1,0)), 0)</f>
        <v>0</v>
      </c>
      <c r="S556" s="11">
        <f t="shared" si="53"/>
        <v>78750</v>
      </c>
      <c r="T556" s="11" cm="1">
        <f t="array" ref="T556">SUM(E556+O556:Q556)</f>
        <v>224598</v>
      </c>
    </row>
    <row r="557" spans="1:20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 xml:space="preserve"> COUNTIF(deals_closed!D:D,A557)</f>
        <v>20</v>
      </c>
      <c r="G557" s="5">
        <f>SUMIF(deals_closed!D:D, calculations!A557, deals_closed!C:C)</f>
        <v>712930</v>
      </c>
      <c r="H557" s="5">
        <f>VLOOKUP(D557,'2018_commission_structure'!$A$2:$I$4,9,FALSE)</f>
        <v>500000</v>
      </c>
      <c r="I557" s="9">
        <f t="shared" si="48"/>
        <v>625000</v>
      </c>
      <c r="J557" s="8">
        <f t="shared" si="49"/>
        <v>750000</v>
      </c>
      <c r="K557" s="9">
        <f t="shared" si="50"/>
        <v>1000000</v>
      </c>
      <c r="L557" s="10">
        <f t="shared" si="51"/>
        <v>1.4258599999999999</v>
      </c>
      <c r="M557" t="str">
        <f t="shared" si="52"/>
        <v>125-150%</v>
      </c>
      <c r="N557" s="9">
        <f>MIN(H557, G557)*INDEX('2018_commission_structure'!$A$1:$I$4,
MATCH($D557, '2018_commission_structure'!$A$1:$A$4,0),
MATCH(N$1, '2018_commission_structure'!$A$1:$I$1,0))</f>
        <v>50000</v>
      </c>
      <c r="O557" s="11">
        <f>IF(G557&gt;H557, MIN(G557-H557, I557-H557)*
INDEX('2018_commission_structure'!$A$1:$I$4,
MATCH($D557, '2018_commission_structure'!$A$1:$A$4, 0),
MATCH(O$1, '2018_commission_structure'!$A$1:$I$1, 0)), 0)</f>
        <v>18750</v>
      </c>
      <c r="P557" s="11">
        <f>IF(G557&gt;H557, MIN(G557-H557, J557-H557)*
INDEX('2018_commission_structure'!$A$1:$I$4,
MATCH($D557, '2018_commission_structure'!$A$1:$A$4, 0),
MATCH(O$1, '2018_commission_structure'!$A$1:$I$1, 0)), 0)</f>
        <v>31939.5</v>
      </c>
      <c r="Q557" s="11">
        <f>IF(G557&gt;H557, MIN(G557-H557, I557-H557)*
INDEX('2018_commission_structure'!$A$1:$I$4,
MATCH($D557, '2018_commission_structure'!$A$1:$A$4, 0),
MATCH(P$1, '2018_commission_structure'!$A$1:$I$1, 0)), 0)</f>
        <v>22500</v>
      </c>
      <c r="R557" s="11">
        <f>IF(G557&gt;K557, (G557-K557) *
INDEX('2018_commission_structure'!$A$1:$I$4,
MATCH($D557, '2018_commission_structure'!$A$1:$A$4,0),
MATCH(R$1, '2018_commission_structure'!$A$1:$I$1,0)), 0)</f>
        <v>0</v>
      </c>
      <c r="S557" s="11">
        <f t="shared" si="53"/>
        <v>73189.5</v>
      </c>
      <c r="T557" s="11" cm="1">
        <f t="array" ref="T557">SUM(E557+O557:Q557)</f>
        <v>221806.5</v>
      </c>
    </row>
    <row r="558" spans="1:20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 xml:space="preserve"> COUNTIF(deals_closed!D:D,A558)</f>
        <v>14</v>
      </c>
      <c r="G558" s="5">
        <f>SUMIF(deals_closed!D:D, calculations!A558, deals_closed!C:C)</f>
        <v>480741</v>
      </c>
      <c r="H558" s="5">
        <f>VLOOKUP(D558,'2018_commission_structure'!$A$2:$I$4,9,FALSE)</f>
        <v>600000</v>
      </c>
      <c r="I558" s="9">
        <f t="shared" si="48"/>
        <v>750000</v>
      </c>
      <c r="J558" s="8">
        <f t="shared" si="49"/>
        <v>900000</v>
      </c>
      <c r="K558" s="9">
        <f t="shared" si="50"/>
        <v>1200000</v>
      </c>
      <c r="L558" s="10">
        <f t="shared" si="51"/>
        <v>0.80123500000000003</v>
      </c>
      <c r="M558" t="str">
        <f t="shared" si="52"/>
        <v>0-100%</v>
      </c>
      <c r="N558" s="9">
        <f>MIN(H558, G558)*INDEX('2018_commission_structure'!$A$1:$I$4,
MATCH($D558, '2018_commission_structure'!$A$1:$A$4,0),
MATCH(N$1, '2018_commission_structure'!$A$1:$I$1,0))</f>
        <v>62496.33</v>
      </c>
      <c r="O558" s="11">
        <f>IF(G558&gt;H558, MIN(G558-H558, I558-H558)*
INDEX('2018_commission_structure'!$A$1:$I$4,
MATCH($D558, '2018_commission_structure'!$A$1:$A$4, 0),
MATCH(O$1, '2018_commission_structure'!$A$1:$I$1, 0)), 0)</f>
        <v>0</v>
      </c>
      <c r="P558" s="11">
        <f>IF(G558&gt;H558, MIN(G558-H558, J558-H558)*
INDEX('2018_commission_structure'!$A$1:$I$4,
MATCH($D558, '2018_commission_structure'!$A$1:$A$4, 0),
MATCH(O$1, '2018_commission_structure'!$A$1:$I$1, 0)), 0)</f>
        <v>0</v>
      </c>
      <c r="Q558" s="11">
        <f>IF(G558&gt;H558, MIN(G558-H558, I558-H558)*
INDEX('2018_commission_structure'!$A$1:$I$4,
MATCH($D558, '2018_commission_structure'!$A$1:$A$4, 0),
MATCH(P$1, '2018_commission_structure'!$A$1:$I$1, 0)), 0)</f>
        <v>0</v>
      </c>
      <c r="R558" s="11">
        <f>IF(G558&gt;K558, (G558-K558) *
INDEX('2018_commission_structure'!$A$1:$I$4,
MATCH($D558, '2018_commission_structure'!$A$1:$A$4,0),
MATCH(R$1, '2018_commission_structure'!$A$1:$I$1,0)), 0)</f>
        <v>0</v>
      </c>
      <c r="S558" s="11">
        <f t="shared" si="53"/>
        <v>0</v>
      </c>
      <c r="T558" s="11" cm="1">
        <f t="array" ref="T558">SUM(E558+O558:Q558)</f>
        <v>230409</v>
      </c>
    </row>
    <row r="559" spans="1:20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 xml:space="preserve"> COUNTIF(deals_closed!D:D,A559)</f>
        <v>14</v>
      </c>
      <c r="G559" s="5">
        <f>SUMIF(deals_closed!D:D, calculations!A559, deals_closed!C:C)</f>
        <v>445836</v>
      </c>
      <c r="H559" s="5">
        <f>VLOOKUP(D559,'2018_commission_structure'!$A$2:$I$4,9,FALSE)</f>
        <v>500000</v>
      </c>
      <c r="I559" s="9">
        <f t="shared" si="48"/>
        <v>625000</v>
      </c>
      <c r="J559" s="8">
        <f t="shared" si="49"/>
        <v>750000</v>
      </c>
      <c r="K559" s="9">
        <f t="shared" si="50"/>
        <v>1000000</v>
      </c>
      <c r="L559" s="10">
        <f t="shared" si="51"/>
        <v>0.89167200000000002</v>
      </c>
      <c r="M559" t="str">
        <f t="shared" si="52"/>
        <v>0-100%</v>
      </c>
      <c r="N559" s="9">
        <f>MIN(H559, G559)*INDEX('2018_commission_structure'!$A$1:$I$4,
MATCH($D559, '2018_commission_structure'!$A$1:$A$4,0),
MATCH(N$1, '2018_commission_structure'!$A$1:$I$1,0))</f>
        <v>44583.600000000006</v>
      </c>
      <c r="O559" s="11">
        <f>IF(G559&gt;H559, MIN(G559-H559, I559-H559)*
INDEX('2018_commission_structure'!$A$1:$I$4,
MATCH($D559, '2018_commission_structure'!$A$1:$A$4, 0),
MATCH(O$1, '2018_commission_structure'!$A$1:$I$1, 0)), 0)</f>
        <v>0</v>
      </c>
      <c r="P559" s="11">
        <f>IF(G559&gt;H559, MIN(G559-H559, J559-H559)*
INDEX('2018_commission_structure'!$A$1:$I$4,
MATCH($D559, '2018_commission_structure'!$A$1:$A$4, 0),
MATCH(O$1, '2018_commission_structure'!$A$1:$I$1, 0)), 0)</f>
        <v>0</v>
      </c>
      <c r="Q559" s="11">
        <f>IF(G559&gt;H559, MIN(G559-H559, I559-H559)*
INDEX('2018_commission_structure'!$A$1:$I$4,
MATCH($D559, '2018_commission_structure'!$A$1:$A$4, 0),
MATCH(P$1, '2018_commission_structure'!$A$1:$I$1, 0)), 0)</f>
        <v>0</v>
      </c>
      <c r="R559" s="11">
        <f>IF(G559&gt;K559, (G559-K559) *
INDEX('2018_commission_structure'!$A$1:$I$4,
MATCH($D559, '2018_commission_structure'!$A$1:$A$4,0),
MATCH(R$1, '2018_commission_structure'!$A$1:$I$1,0)), 0)</f>
        <v>0</v>
      </c>
      <c r="S559" s="11">
        <f t="shared" si="53"/>
        <v>0</v>
      </c>
      <c r="T559" s="11" cm="1">
        <f t="array" ref="T559">SUM(E559+O559:Q559)</f>
        <v>141258</v>
      </c>
    </row>
    <row r="560" spans="1:20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 xml:space="preserve"> COUNTIF(deals_closed!D:D,A560)</f>
        <v>11</v>
      </c>
      <c r="G560" s="5">
        <f>SUMIF(deals_closed!D:D, calculations!A560, deals_closed!C:C)</f>
        <v>381274</v>
      </c>
      <c r="H560" s="5">
        <f>VLOOKUP(D560,'2018_commission_structure'!$A$2:$I$4,9,FALSE)</f>
        <v>750000</v>
      </c>
      <c r="I560" s="9">
        <f t="shared" si="48"/>
        <v>937500</v>
      </c>
      <c r="J560" s="8">
        <f t="shared" si="49"/>
        <v>1125000</v>
      </c>
      <c r="K560" s="9">
        <f t="shared" si="50"/>
        <v>1500000</v>
      </c>
      <c r="L560" s="10">
        <f t="shared" si="51"/>
        <v>0.50836533333333334</v>
      </c>
      <c r="M560" t="str">
        <f t="shared" si="52"/>
        <v>0-100%</v>
      </c>
      <c r="N560" s="9">
        <f>MIN(H560, G560)*INDEX('2018_commission_structure'!$A$1:$I$4,
MATCH($D560, '2018_commission_structure'!$A$1:$A$4,0),
MATCH(N$1, '2018_commission_structure'!$A$1:$I$1,0))</f>
        <v>57191.1</v>
      </c>
      <c r="O560" s="11">
        <f>IF(G560&gt;H560, MIN(G560-H560, I560-H560)*
INDEX('2018_commission_structure'!$A$1:$I$4,
MATCH($D560, '2018_commission_structure'!$A$1:$A$4, 0),
MATCH(O$1, '2018_commission_structure'!$A$1:$I$1, 0)), 0)</f>
        <v>0</v>
      </c>
      <c r="P560" s="11">
        <f>IF(G560&gt;H560, MIN(G560-H560, J560-H560)*
INDEX('2018_commission_structure'!$A$1:$I$4,
MATCH($D560, '2018_commission_structure'!$A$1:$A$4, 0),
MATCH(O$1, '2018_commission_structure'!$A$1:$I$1, 0)), 0)</f>
        <v>0</v>
      </c>
      <c r="Q560" s="11">
        <f>IF(G560&gt;H560, MIN(G560-H560, I560-H560)*
INDEX('2018_commission_structure'!$A$1:$I$4,
MATCH($D560, '2018_commission_structure'!$A$1:$A$4, 0),
MATCH(P$1, '2018_commission_structure'!$A$1:$I$1, 0)), 0)</f>
        <v>0</v>
      </c>
      <c r="R560" s="11">
        <f>IF(G560&gt;K560, (G560-K560) *
INDEX('2018_commission_structure'!$A$1:$I$4,
MATCH($D560, '2018_commission_structure'!$A$1:$A$4,0),
MATCH(R$1, '2018_commission_structure'!$A$1:$I$1,0)), 0)</f>
        <v>0</v>
      </c>
      <c r="S560" s="11">
        <f t="shared" si="53"/>
        <v>0</v>
      </c>
      <c r="T560" s="11" cm="1">
        <f t="array" ref="T560">SUM(E560+O560:Q560)</f>
        <v>267039</v>
      </c>
    </row>
    <row r="561" spans="1:20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 xml:space="preserve"> COUNTIF(deals_closed!D:D,A561)</f>
        <v>24</v>
      </c>
      <c r="G561" s="5">
        <f>SUMIF(deals_closed!D:D, calculations!A561, deals_closed!C:C)</f>
        <v>820444</v>
      </c>
      <c r="H561" s="5">
        <f>VLOOKUP(D561,'2018_commission_structure'!$A$2:$I$4,9,FALSE)</f>
        <v>600000</v>
      </c>
      <c r="I561" s="9">
        <f t="shared" si="48"/>
        <v>750000</v>
      </c>
      <c r="J561" s="8">
        <f t="shared" si="49"/>
        <v>900000</v>
      </c>
      <c r="K561" s="9">
        <f t="shared" si="50"/>
        <v>1200000</v>
      </c>
      <c r="L561" s="10">
        <f t="shared" si="51"/>
        <v>1.3674066666666667</v>
      </c>
      <c r="M561" t="str">
        <f t="shared" si="52"/>
        <v>125-150%</v>
      </c>
      <c r="N561" s="9">
        <f>MIN(H561, G561)*INDEX('2018_commission_structure'!$A$1:$I$4,
MATCH($D561, '2018_commission_structure'!$A$1:$A$4,0),
MATCH(N$1, '2018_commission_structure'!$A$1:$I$1,0))</f>
        <v>78000</v>
      </c>
      <c r="O561" s="11">
        <f>IF(G561&gt;H561, MIN(G561-H561, I561-H561)*
INDEX('2018_commission_structure'!$A$1:$I$4,
MATCH($D561, '2018_commission_structure'!$A$1:$A$4, 0),
MATCH(O$1, '2018_commission_structure'!$A$1:$I$1, 0)), 0)</f>
        <v>25500.000000000004</v>
      </c>
      <c r="P561" s="11">
        <f>IF(G561&gt;H561, MIN(G561-H561, J561-H561)*
INDEX('2018_commission_structure'!$A$1:$I$4,
MATCH($D561, '2018_commission_structure'!$A$1:$A$4, 0),
MATCH(O$1, '2018_commission_structure'!$A$1:$I$1, 0)), 0)</f>
        <v>37475.480000000003</v>
      </c>
      <c r="Q561" s="11">
        <f>IF(G561&gt;H561, MIN(G561-H561, I561-H561)*
INDEX('2018_commission_structure'!$A$1:$I$4,
MATCH($D561, '2018_commission_structure'!$A$1:$A$4, 0),
MATCH(P$1, '2018_commission_structure'!$A$1:$I$1, 0)), 0)</f>
        <v>31500</v>
      </c>
      <c r="R561" s="11">
        <f>IF(G561&gt;K561, (G561-K561) *
INDEX('2018_commission_structure'!$A$1:$I$4,
MATCH($D561, '2018_commission_structure'!$A$1:$A$4,0),
MATCH(R$1, '2018_commission_structure'!$A$1:$I$1,0)), 0)</f>
        <v>0</v>
      </c>
      <c r="S561" s="11">
        <f t="shared" si="53"/>
        <v>94475.48000000001</v>
      </c>
      <c r="T561" s="11" cm="1">
        <f t="array" ref="T561">SUM(E561+O561:Q561)</f>
        <v>285029.48</v>
      </c>
    </row>
    <row r="562" spans="1:20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 xml:space="preserve"> COUNTIF(deals_closed!D:D,A562)</f>
        <v>20</v>
      </c>
      <c r="G562" s="5">
        <f>SUMIF(deals_closed!D:D, calculations!A562, deals_closed!C:C)</f>
        <v>729765</v>
      </c>
      <c r="H562" s="5">
        <f>VLOOKUP(D562,'2018_commission_structure'!$A$2:$I$4,9,FALSE)</f>
        <v>500000</v>
      </c>
      <c r="I562" s="9">
        <f t="shared" si="48"/>
        <v>625000</v>
      </c>
      <c r="J562" s="8">
        <f t="shared" si="49"/>
        <v>750000</v>
      </c>
      <c r="K562" s="9">
        <f t="shared" si="50"/>
        <v>1000000</v>
      </c>
      <c r="L562" s="10">
        <f t="shared" si="51"/>
        <v>1.45953</v>
      </c>
      <c r="M562" t="str">
        <f t="shared" si="52"/>
        <v>125-150%</v>
      </c>
      <c r="N562" s="9">
        <f>MIN(H562, G562)*INDEX('2018_commission_structure'!$A$1:$I$4,
MATCH($D562, '2018_commission_structure'!$A$1:$A$4,0),
MATCH(N$1, '2018_commission_structure'!$A$1:$I$1,0))</f>
        <v>50000</v>
      </c>
      <c r="O562" s="11">
        <f>IF(G562&gt;H562, MIN(G562-H562, I562-H562)*
INDEX('2018_commission_structure'!$A$1:$I$4,
MATCH($D562, '2018_commission_structure'!$A$1:$A$4, 0),
MATCH(O$1, '2018_commission_structure'!$A$1:$I$1, 0)), 0)</f>
        <v>18750</v>
      </c>
      <c r="P562" s="11">
        <f>IF(G562&gt;H562, MIN(G562-H562, J562-H562)*
INDEX('2018_commission_structure'!$A$1:$I$4,
MATCH($D562, '2018_commission_structure'!$A$1:$A$4, 0),
MATCH(O$1, '2018_commission_structure'!$A$1:$I$1, 0)), 0)</f>
        <v>34464.75</v>
      </c>
      <c r="Q562" s="11">
        <f>IF(G562&gt;H562, MIN(G562-H562, I562-H562)*
INDEX('2018_commission_structure'!$A$1:$I$4,
MATCH($D562, '2018_commission_structure'!$A$1:$A$4, 0),
MATCH(P$1, '2018_commission_structure'!$A$1:$I$1, 0)), 0)</f>
        <v>22500</v>
      </c>
      <c r="R562" s="11">
        <f>IF(G562&gt;K562, (G562-K562) *
INDEX('2018_commission_structure'!$A$1:$I$4,
MATCH($D562, '2018_commission_structure'!$A$1:$A$4,0),
MATCH(R$1, '2018_commission_structure'!$A$1:$I$1,0)), 0)</f>
        <v>0</v>
      </c>
      <c r="S562" s="11">
        <f t="shared" si="53"/>
        <v>75714.75</v>
      </c>
      <c r="T562" s="11" cm="1">
        <f t="array" ref="T562">SUM(E562+O562:Q562)</f>
        <v>176442.75</v>
      </c>
    </row>
    <row r="563" spans="1:20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 xml:space="preserve"> COUNTIF(deals_closed!D:D,A563)</f>
        <v>24</v>
      </c>
      <c r="G563" s="5">
        <f>SUMIF(deals_closed!D:D, calculations!A563, deals_closed!C:C)</f>
        <v>850684</v>
      </c>
      <c r="H563" s="5">
        <f>VLOOKUP(D563,'2018_commission_structure'!$A$2:$I$4,9,FALSE)</f>
        <v>750000</v>
      </c>
      <c r="I563" s="9">
        <f t="shared" si="48"/>
        <v>937500</v>
      </c>
      <c r="J563" s="8">
        <f t="shared" si="49"/>
        <v>1125000</v>
      </c>
      <c r="K563" s="9">
        <f t="shared" si="50"/>
        <v>1500000</v>
      </c>
      <c r="L563" s="10">
        <f t="shared" si="51"/>
        <v>1.1342453333333333</v>
      </c>
      <c r="M563" t="str">
        <f t="shared" si="52"/>
        <v>100-125%</v>
      </c>
      <c r="N563" s="9">
        <f>MIN(H563, G563)*INDEX('2018_commission_structure'!$A$1:$I$4,
MATCH($D563, '2018_commission_structure'!$A$1:$A$4,0),
MATCH(N$1, '2018_commission_structure'!$A$1:$I$1,0))</f>
        <v>112500</v>
      </c>
      <c r="O563" s="11">
        <f>IF(G563&gt;H563, MIN(G563-H563, I563-H563)*
INDEX('2018_commission_structure'!$A$1:$I$4,
MATCH($D563, '2018_commission_structure'!$A$1:$A$4, 0),
MATCH(O$1, '2018_commission_structure'!$A$1:$I$1, 0)), 0)</f>
        <v>19129.96</v>
      </c>
      <c r="P563" s="11">
        <f>IF(G563&gt;H563, MIN(G563-H563, J563-H563)*
INDEX('2018_commission_structure'!$A$1:$I$4,
MATCH($D563, '2018_commission_structure'!$A$1:$A$4, 0),
MATCH(O$1, '2018_commission_structure'!$A$1:$I$1, 0)), 0)</f>
        <v>19129.96</v>
      </c>
      <c r="Q563" s="11">
        <f>IF(G563&gt;H563, MIN(G563-H563, I563-H563)*
INDEX('2018_commission_structure'!$A$1:$I$4,
MATCH($D563, '2018_commission_structure'!$A$1:$A$4, 0),
MATCH(P$1, '2018_commission_structure'!$A$1:$I$1, 0)), 0)</f>
        <v>23157.32</v>
      </c>
      <c r="R563" s="11">
        <f>IF(G563&gt;K563, (G563-K563) *
INDEX('2018_commission_structure'!$A$1:$I$4,
MATCH($D563, '2018_commission_structure'!$A$1:$A$4,0),
MATCH(R$1, '2018_commission_structure'!$A$1:$I$1,0)), 0)</f>
        <v>0</v>
      </c>
      <c r="S563" s="11">
        <f t="shared" si="53"/>
        <v>61417.24</v>
      </c>
      <c r="T563" s="11" cm="1">
        <f t="array" ref="T563">SUM(E563+O563:Q563)</f>
        <v>302743.24</v>
      </c>
    </row>
    <row r="564" spans="1:20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 xml:space="preserve"> COUNTIF(deals_closed!D:D,A564)</f>
        <v>25</v>
      </c>
      <c r="G564" s="5">
        <f>SUMIF(deals_closed!D:D, calculations!A564, deals_closed!C:C)</f>
        <v>775801</v>
      </c>
      <c r="H564" s="5">
        <f>VLOOKUP(D564,'2018_commission_structure'!$A$2:$I$4,9,FALSE)</f>
        <v>500000</v>
      </c>
      <c r="I564" s="9">
        <f t="shared" si="48"/>
        <v>625000</v>
      </c>
      <c r="J564" s="8">
        <f t="shared" si="49"/>
        <v>750000</v>
      </c>
      <c r="K564" s="9">
        <f t="shared" si="50"/>
        <v>1000000</v>
      </c>
      <c r="L564" s="10">
        <f t="shared" si="51"/>
        <v>1.5516019999999999</v>
      </c>
      <c r="M564" t="str">
        <f t="shared" si="52"/>
        <v>150-200%</v>
      </c>
      <c r="N564" s="9">
        <f>MIN(H564, G564)*INDEX('2018_commission_structure'!$A$1:$I$4,
MATCH($D564, '2018_commission_structure'!$A$1:$A$4,0),
MATCH(N$1, '2018_commission_structure'!$A$1:$I$1,0))</f>
        <v>50000</v>
      </c>
      <c r="O564" s="11">
        <f>IF(G564&gt;H564, MIN(G564-H564, I564-H564)*
INDEX('2018_commission_structure'!$A$1:$I$4,
MATCH($D564, '2018_commission_structure'!$A$1:$A$4, 0),
MATCH(O$1, '2018_commission_structure'!$A$1:$I$1, 0)), 0)</f>
        <v>18750</v>
      </c>
      <c r="P564" s="11">
        <f>IF(G564&gt;H564, MIN(G564-H564, J564-H564)*
INDEX('2018_commission_structure'!$A$1:$I$4,
MATCH($D564, '2018_commission_structure'!$A$1:$A$4, 0),
MATCH(O$1, '2018_commission_structure'!$A$1:$I$1, 0)), 0)</f>
        <v>37500</v>
      </c>
      <c r="Q564" s="11">
        <f>IF(G564&gt;H564, MIN(G564-H564, I564-H564)*
INDEX('2018_commission_structure'!$A$1:$I$4,
MATCH($D564, '2018_commission_structure'!$A$1:$A$4, 0),
MATCH(P$1, '2018_commission_structure'!$A$1:$I$1, 0)), 0)</f>
        <v>22500</v>
      </c>
      <c r="R564" s="11">
        <f>IF(G564&gt;K564, (G564-K564) *
INDEX('2018_commission_structure'!$A$1:$I$4,
MATCH($D564, '2018_commission_structure'!$A$1:$A$4,0),
MATCH(R$1, '2018_commission_structure'!$A$1:$I$1,0)), 0)</f>
        <v>0</v>
      </c>
      <c r="S564" s="11">
        <f t="shared" si="53"/>
        <v>78750</v>
      </c>
      <c r="T564" s="11" cm="1">
        <f t="array" ref="T564">SUM(E564+O564:Q564)</f>
        <v>204339</v>
      </c>
    </row>
    <row r="565" spans="1:20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 xml:space="preserve"> COUNTIF(deals_closed!D:D,A565)</f>
        <v>20</v>
      </c>
      <c r="G565" s="5">
        <f>SUMIF(deals_closed!D:D, calculations!A565, deals_closed!C:C)</f>
        <v>746897</v>
      </c>
      <c r="H565" s="5">
        <f>VLOOKUP(D565,'2018_commission_structure'!$A$2:$I$4,9,FALSE)</f>
        <v>600000</v>
      </c>
      <c r="I565" s="9">
        <f t="shared" si="48"/>
        <v>750000</v>
      </c>
      <c r="J565" s="8">
        <f t="shared" si="49"/>
        <v>900000</v>
      </c>
      <c r="K565" s="9">
        <f t="shared" si="50"/>
        <v>1200000</v>
      </c>
      <c r="L565" s="10">
        <f t="shared" si="51"/>
        <v>1.2448283333333334</v>
      </c>
      <c r="M565" t="str">
        <f t="shared" si="52"/>
        <v>100-125%</v>
      </c>
      <c r="N565" s="9">
        <f>MIN(H565, G565)*INDEX('2018_commission_structure'!$A$1:$I$4,
MATCH($D565, '2018_commission_structure'!$A$1:$A$4,0),
MATCH(N$1, '2018_commission_structure'!$A$1:$I$1,0))</f>
        <v>78000</v>
      </c>
      <c r="O565" s="11">
        <f>IF(G565&gt;H565, MIN(G565-H565, I565-H565)*
INDEX('2018_commission_structure'!$A$1:$I$4,
MATCH($D565, '2018_commission_structure'!$A$1:$A$4, 0),
MATCH(O$1, '2018_commission_structure'!$A$1:$I$1, 0)), 0)</f>
        <v>24972.49</v>
      </c>
      <c r="P565" s="11">
        <f>IF(G565&gt;H565, MIN(G565-H565, J565-H565)*
INDEX('2018_commission_structure'!$A$1:$I$4,
MATCH($D565, '2018_commission_structure'!$A$1:$A$4, 0),
MATCH(O$1, '2018_commission_structure'!$A$1:$I$1, 0)), 0)</f>
        <v>24972.49</v>
      </c>
      <c r="Q565" s="11">
        <f>IF(G565&gt;H565, MIN(G565-H565, I565-H565)*
INDEX('2018_commission_structure'!$A$1:$I$4,
MATCH($D565, '2018_commission_structure'!$A$1:$A$4, 0),
MATCH(P$1, '2018_commission_structure'!$A$1:$I$1, 0)), 0)</f>
        <v>30848.37</v>
      </c>
      <c r="R565" s="11">
        <f>IF(G565&gt;K565, (G565-K565) *
INDEX('2018_commission_structure'!$A$1:$I$4,
MATCH($D565, '2018_commission_structure'!$A$1:$A$4,0),
MATCH(R$1, '2018_commission_structure'!$A$1:$I$1,0)), 0)</f>
        <v>0</v>
      </c>
      <c r="S565" s="11">
        <f t="shared" si="53"/>
        <v>80793.350000000006</v>
      </c>
      <c r="T565" s="11" cm="1">
        <f t="array" ref="T565">SUM(E565+O565:Q565)</f>
        <v>310974.34999999998</v>
      </c>
    </row>
    <row r="566" spans="1:20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 xml:space="preserve"> COUNTIF(deals_closed!D:D,A566)</f>
        <v>18</v>
      </c>
      <c r="G566" s="5">
        <f>SUMIF(deals_closed!D:D, calculations!A566, deals_closed!C:C)</f>
        <v>671362</v>
      </c>
      <c r="H566" s="5">
        <f>VLOOKUP(D566,'2018_commission_structure'!$A$2:$I$4,9,FALSE)</f>
        <v>500000</v>
      </c>
      <c r="I566" s="9">
        <f t="shared" si="48"/>
        <v>625000</v>
      </c>
      <c r="J566" s="8">
        <f t="shared" si="49"/>
        <v>750000</v>
      </c>
      <c r="K566" s="9">
        <f t="shared" si="50"/>
        <v>1000000</v>
      </c>
      <c r="L566" s="10">
        <f t="shared" si="51"/>
        <v>1.342724</v>
      </c>
      <c r="M566" t="str">
        <f t="shared" si="52"/>
        <v>125-150%</v>
      </c>
      <c r="N566" s="9">
        <f>MIN(H566, G566)*INDEX('2018_commission_structure'!$A$1:$I$4,
MATCH($D566, '2018_commission_structure'!$A$1:$A$4,0),
MATCH(N$1, '2018_commission_structure'!$A$1:$I$1,0))</f>
        <v>50000</v>
      </c>
      <c r="O566" s="11">
        <f>IF(G566&gt;H566, MIN(G566-H566, I566-H566)*
INDEX('2018_commission_structure'!$A$1:$I$4,
MATCH($D566, '2018_commission_structure'!$A$1:$A$4, 0),
MATCH(O$1, '2018_commission_structure'!$A$1:$I$1, 0)), 0)</f>
        <v>18750</v>
      </c>
      <c r="P566" s="11">
        <f>IF(G566&gt;H566, MIN(G566-H566, J566-H566)*
INDEX('2018_commission_structure'!$A$1:$I$4,
MATCH($D566, '2018_commission_structure'!$A$1:$A$4, 0),
MATCH(O$1, '2018_commission_structure'!$A$1:$I$1, 0)), 0)</f>
        <v>25704.3</v>
      </c>
      <c r="Q566" s="11">
        <f>IF(G566&gt;H566, MIN(G566-H566, I566-H566)*
INDEX('2018_commission_structure'!$A$1:$I$4,
MATCH($D566, '2018_commission_structure'!$A$1:$A$4, 0),
MATCH(P$1, '2018_commission_structure'!$A$1:$I$1, 0)), 0)</f>
        <v>22500</v>
      </c>
      <c r="R566" s="11">
        <f>IF(G566&gt;K566, (G566-K566) *
INDEX('2018_commission_structure'!$A$1:$I$4,
MATCH($D566, '2018_commission_structure'!$A$1:$A$4,0),
MATCH(R$1, '2018_commission_structure'!$A$1:$I$1,0)), 0)</f>
        <v>0</v>
      </c>
      <c r="S566" s="11">
        <f t="shared" si="53"/>
        <v>66954.3</v>
      </c>
      <c r="T566" s="11" cm="1">
        <f t="array" ref="T566">SUM(E566+O566:Q566)</f>
        <v>201417.3</v>
      </c>
    </row>
    <row r="567" spans="1:20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 xml:space="preserve"> COUNTIF(deals_closed!D:D,A567)</f>
        <v>19</v>
      </c>
      <c r="G567" s="5">
        <f>SUMIF(deals_closed!D:D, calculations!A567, deals_closed!C:C)</f>
        <v>607396</v>
      </c>
      <c r="H567" s="5">
        <f>VLOOKUP(D567,'2018_commission_structure'!$A$2:$I$4,9,FALSE)</f>
        <v>500000</v>
      </c>
      <c r="I567" s="9">
        <f t="shared" si="48"/>
        <v>625000</v>
      </c>
      <c r="J567" s="8">
        <f t="shared" si="49"/>
        <v>750000</v>
      </c>
      <c r="K567" s="9">
        <f t="shared" si="50"/>
        <v>1000000</v>
      </c>
      <c r="L567" s="10">
        <f t="shared" si="51"/>
        <v>1.2147920000000001</v>
      </c>
      <c r="M567" t="str">
        <f t="shared" si="52"/>
        <v>100-125%</v>
      </c>
      <c r="N567" s="9">
        <f>MIN(H567, G567)*INDEX('2018_commission_structure'!$A$1:$I$4,
MATCH($D567, '2018_commission_structure'!$A$1:$A$4,0),
MATCH(N$1, '2018_commission_structure'!$A$1:$I$1,0))</f>
        <v>50000</v>
      </c>
      <c r="O567" s="11">
        <f>IF(G567&gt;H567, MIN(G567-H567, I567-H567)*
INDEX('2018_commission_structure'!$A$1:$I$4,
MATCH($D567, '2018_commission_structure'!$A$1:$A$4, 0),
MATCH(O$1, '2018_commission_structure'!$A$1:$I$1, 0)), 0)</f>
        <v>16109.4</v>
      </c>
      <c r="P567" s="11">
        <f>IF(G567&gt;H567, MIN(G567-H567, J567-H567)*
INDEX('2018_commission_structure'!$A$1:$I$4,
MATCH($D567, '2018_commission_structure'!$A$1:$A$4, 0),
MATCH(O$1, '2018_commission_structure'!$A$1:$I$1, 0)), 0)</f>
        <v>16109.4</v>
      </c>
      <c r="Q567" s="11">
        <f>IF(G567&gt;H567, MIN(G567-H567, I567-H567)*
INDEX('2018_commission_structure'!$A$1:$I$4,
MATCH($D567, '2018_commission_structure'!$A$1:$A$4, 0),
MATCH(P$1, '2018_commission_structure'!$A$1:$I$1, 0)), 0)</f>
        <v>19331.28</v>
      </c>
      <c r="R567" s="11">
        <f>IF(G567&gt;K567, (G567-K567) *
INDEX('2018_commission_structure'!$A$1:$I$4,
MATCH($D567, '2018_commission_structure'!$A$1:$A$4,0),
MATCH(R$1, '2018_commission_structure'!$A$1:$I$1,0)), 0)</f>
        <v>0</v>
      </c>
      <c r="S567" s="11">
        <f t="shared" si="53"/>
        <v>51550.080000000002</v>
      </c>
      <c r="T567" s="11" cm="1">
        <f t="array" ref="T567">SUM(E567+O567:Q567)</f>
        <v>186838.08000000002</v>
      </c>
    </row>
    <row r="568" spans="1:20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 xml:space="preserve"> COUNTIF(deals_closed!D:D,A568)</f>
        <v>21</v>
      </c>
      <c r="G568" s="5">
        <f>SUMIF(deals_closed!D:D, calculations!A568, deals_closed!C:C)</f>
        <v>805766</v>
      </c>
      <c r="H568" s="5">
        <f>VLOOKUP(D568,'2018_commission_structure'!$A$2:$I$4,9,FALSE)</f>
        <v>600000</v>
      </c>
      <c r="I568" s="9">
        <f t="shared" si="48"/>
        <v>750000</v>
      </c>
      <c r="J568" s="8">
        <f t="shared" si="49"/>
        <v>900000</v>
      </c>
      <c r="K568" s="9">
        <f t="shared" si="50"/>
        <v>1200000</v>
      </c>
      <c r="L568" s="10">
        <f t="shared" si="51"/>
        <v>1.3429433333333334</v>
      </c>
      <c r="M568" t="str">
        <f t="shared" si="52"/>
        <v>125-150%</v>
      </c>
      <c r="N568" s="9">
        <f>MIN(H568, G568)*INDEX('2018_commission_structure'!$A$1:$I$4,
MATCH($D568, '2018_commission_structure'!$A$1:$A$4,0),
MATCH(N$1, '2018_commission_structure'!$A$1:$I$1,0))</f>
        <v>78000</v>
      </c>
      <c r="O568" s="11">
        <f>IF(G568&gt;H568, MIN(G568-H568, I568-H568)*
INDEX('2018_commission_structure'!$A$1:$I$4,
MATCH($D568, '2018_commission_structure'!$A$1:$A$4, 0),
MATCH(O$1, '2018_commission_structure'!$A$1:$I$1, 0)), 0)</f>
        <v>25500.000000000004</v>
      </c>
      <c r="P568" s="11">
        <f>IF(G568&gt;H568, MIN(G568-H568, J568-H568)*
INDEX('2018_commission_structure'!$A$1:$I$4,
MATCH($D568, '2018_commission_structure'!$A$1:$A$4, 0),
MATCH(O$1, '2018_commission_structure'!$A$1:$I$1, 0)), 0)</f>
        <v>34980.22</v>
      </c>
      <c r="Q568" s="11">
        <f>IF(G568&gt;H568, MIN(G568-H568, I568-H568)*
INDEX('2018_commission_structure'!$A$1:$I$4,
MATCH($D568, '2018_commission_structure'!$A$1:$A$4, 0),
MATCH(P$1, '2018_commission_structure'!$A$1:$I$1, 0)), 0)</f>
        <v>31500</v>
      </c>
      <c r="R568" s="11">
        <f>IF(G568&gt;K568, (G568-K568) *
INDEX('2018_commission_structure'!$A$1:$I$4,
MATCH($D568, '2018_commission_structure'!$A$1:$A$4,0),
MATCH(R$1, '2018_commission_structure'!$A$1:$I$1,0)), 0)</f>
        <v>0</v>
      </c>
      <c r="S568" s="11">
        <f t="shared" si="53"/>
        <v>91980.22</v>
      </c>
      <c r="T568" s="11" cm="1">
        <f t="array" ref="T568">SUM(E568+O568:Q568)</f>
        <v>323241.21999999997</v>
      </c>
    </row>
    <row r="569" spans="1:20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 xml:space="preserve"> COUNTIF(deals_closed!D:D,A569)</f>
        <v>21</v>
      </c>
      <c r="G569" s="5">
        <f>SUMIF(deals_closed!D:D, calculations!A569, deals_closed!C:C)</f>
        <v>654637</v>
      </c>
      <c r="H569" s="5">
        <f>VLOOKUP(D569,'2018_commission_structure'!$A$2:$I$4,9,FALSE)</f>
        <v>500000</v>
      </c>
      <c r="I569" s="9">
        <f t="shared" si="48"/>
        <v>625000</v>
      </c>
      <c r="J569" s="8">
        <f t="shared" si="49"/>
        <v>750000</v>
      </c>
      <c r="K569" s="9">
        <f t="shared" si="50"/>
        <v>1000000</v>
      </c>
      <c r="L569" s="10">
        <f t="shared" si="51"/>
        <v>1.309274</v>
      </c>
      <c r="M569" t="str">
        <f t="shared" si="52"/>
        <v>125-150%</v>
      </c>
      <c r="N569" s="9">
        <f>MIN(H569, G569)*INDEX('2018_commission_structure'!$A$1:$I$4,
MATCH($D569, '2018_commission_structure'!$A$1:$A$4,0),
MATCH(N$1, '2018_commission_structure'!$A$1:$I$1,0))</f>
        <v>50000</v>
      </c>
      <c r="O569" s="11">
        <f>IF(G569&gt;H569, MIN(G569-H569, I569-H569)*
INDEX('2018_commission_structure'!$A$1:$I$4,
MATCH($D569, '2018_commission_structure'!$A$1:$A$4, 0),
MATCH(O$1, '2018_commission_structure'!$A$1:$I$1, 0)), 0)</f>
        <v>18750</v>
      </c>
      <c r="P569" s="11">
        <f>IF(G569&gt;H569, MIN(G569-H569, J569-H569)*
INDEX('2018_commission_structure'!$A$1:$I$4,
MATCH($D569, '2018_commission_structure'!$A$1:$A$4, 0),
MATCH(O$1, '2018_commission_structure'!$A$1:$I$1, 0)), 0)</f>
        <v>23195.55</v>
      </c>
      <c r="Q569" s="11">
        <f>IF(G569&gt;H569, MIN(G569-H569, I569-H569)*
INDEX('2018_commission_structure'!$A$1:$I$4,
MATCH($D569, '2018_commission_structure'!$A$1:$A$4, 0),
MATCH(P$1, '2018_commission_structure'!$A$1:$I$1, 0)), 0)</f>
        <v>22500</v>
      </c>
      <c r="R569" s="11">
        <f>IF(G569&gt;K569, (G569-K569) *
INDEX('2018_commission_structure'!$A$1:$I$4,
MATCH($D569, '2018_commission_structure'!$A$1:$A$4,0),
MATCH(R$1, '2018_commission_structure'!$A$1:$I$1,0)), 0)</f>
        <v>0</v>
      </c>
      <c r="S569" s="11">
        <f t="shared" si="53"/>
        <v>64445.55</v>
      </c>
      <c r="T569" s="11" cm="1">
        <f t="array" ref="T569">SUM(E569+O569:Q569)</f>
        <v>235517.55</v>
      </c>
    </row>
    <row r="570" spans="1:20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 xml:space="preserve"> COUNTIF(deals_closed!D:D,A570)</f>
        <v>23</v>
      </c>
      <c r="G570" s="5">
        <f>SUMIF(deals_closed!D:D, calculations!A570, deals_closed!C:C)</f>
        <v>825594</v>
      </c>
      <c r="H570" s="5">
        <f>VLOOKUP(D570,'2018_commission_structure'!$A$2:$I$4,9,FALSE)</f>
        <v>750000</v>
      </c>
      <c r="I570" s="9">
        <f t="shared" si="48"/>
        <v>937500</v>
      </c>
      <c r="J570" s="8">
        <f t="shared" si="49"/>
        <v>1125000</v>
      </c>
      <c r="K570" s="9">
        <f t="shared" si="50"/>
        <v>1500000</v>
      </c>
      <c r="L570" s="10">
        <f t="shared" si="51"/>
        <v>1.100792</v>
      </c>
      <c r="M570" t="str">
        <f t="shared" si="52"/>
        <v>100-125%</v>
      </c>
      <c r="N570" s="9">
        <f>MIN(H570, G570)*INDEX('2018_commission_structure'!$A$1:$I$4,
MATCH($D570, '2018_commission_structure'!$A$1:$A$4,0),
MATCH(N$1, '2018_commission_structure'!$A$1:$I$1,0))</f>
        <v>112500</v>
      </c>
      <c r="O570" s="11">
        <f>IF(G570&gt;H570, MIN(G570-H570, I570-H570)*
INDEX('2018_commission_structure'!$A$1:$I$4,
MATCH($D570, '2018_commission_structure'!$A$1:$A$4, 0),
MATCH(O$1, '2018_commission_structure'!$A$1:$I$1, 0)), 0)</f>
        <v>14362.86</v>
      </c>
      <c r="P570" s="11">
        <f>IF(G570&gt;H570, MIN(G570-H570, J570-H570)*
INDEX('2018_commission_structure'!$A$1:$I$4,
MATCH($D570, '2018_commission_structure'!$A$1:$A$4, 0),
MATCH(O$1, '2018_commission_structure'!$A$1:$I$1, 0)), 0)</f>
        <v>14362.86</v>
      </c>
      <c r="Q570" s="11">
        <f>IF(G570&gt;H570, MIN(G570-H570, I570-H570)*
INDEX('2018_commission_structure'!$A$1:$I$4,
MATCH($D570, '2018_commission_structure'!$A$1:$A$4, 0),
MATCH(P$1, '2018_commission_structure'!$A$1:$I$1, 0)), 0)</f>
        <v>17386.62</v>
      </c>
      <c r="R570" s="11">
        <f>IF(G570&gt;K570, (G570-K570) *
INDEX('2018_commission_structure'!$A$1:$I$4,
MATCH($D570, '2018_commission_structure'!$A$1:$A$4,0),
MATCH(R$1, '2018_commission_structure'!$A$1:$I$1,0)), 0)</f>
        <v>0</v>
      </c>
      <c r="S570" s="11">
        <f t="shared" si="53"/>
        <v>46112.34</v>
      </c>
      <c r="T570" s="11" cm="1">
        <f t="array" ref="T570">SUM(E570+O570:Q570)</f>
        <v>281948.33999999997</v>
      </c>
    </row>
    <row r="571" spans="1:20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 xml:space="preserve"> COUNTIF(deals_closed!D:D,A571)</f>
        <v>21</v>
      </c>
      <c r="G571" s="5">
        <f>SUMIF(deals_closed!D:D, calculations!A571, deals_closed!C:C)</f>
        <v>695781</v>
      </c>
      <c r="H571" s="5">
        <f>VLOOKUP(D571,'2018_commission_structure'!$A$2:$I$4,9,FALSE)</f>
        <v>600000</v>
      </c>
      <c r="I571" s="9">
        <f t="shared" si="48"/>
        <v>750000</v>
      </c>
      <c r="J571" s="8">
        <f t="shared" si="49"/>
        <v>900000</v>
      </c>
      <c r="K571" s="9">
        <f t="shared" si="50"/>
        <v>1200000</v>
      </c>
      <c r="L571" s="10">
        <f t="shared" si="51"/>
        <v>1.159635</v>
      </c>
      <c r="M571" t="str">
        <f t="shared" si="52"/>
        <v>100-125%</v>
      </c>
      <c r="N571" s="9">
        <f>MIN(H571, G571)*INDEX('2018_commission_structure'!$A$1:$I$4,
MATCH($D571, '2018_commission_structure'!$A$1:$A$4,0),
MATCH(N$1, '2018_commission_structure'!$A$1:$I$1,0))</f>
        <v>78000</v>
      </c>
      <c r="O571" s="11">
        <f>IF(G571&gt;H571, MIN(G571-H571, I571-H571)*
INDEX('2018_commission_structure'!$A$1:$I$4,
MATCH($D571, '2018_commission_structure'!$A$1:$A$4, 0),
MATCH(O$1, '2018_commission_structure'!$A$1:$I$1, 0)), 0)</f>
        <v>16282.77</v>
      </c>
      <c r="P571" s="11">
        <f>IF(G571&gt;H571, MIN(G571-H571, J571-H571)*
INDEX('2018_commission_structure'!$A$1:$I$4,
MATCH($D571, '2018_commission_structure'!$A$1:$A$4, 0),
MATCH(O$1, '2018_commission_structure'!$A$1:$I$1, 0)), 0)</f>
        <v>16282.77</v>
      </c>
      <c r="Q571" s="11">
        <f>IF(G571&gt;H571, MIN(G571-H571, I571-H571)*
INDEX('2018_commission_structure'!$A$1:$I$4,
MATCH($D571, '2018_commission_structure'!$A$1:$A$4, 0),
MATCH(P$1, '2018_commission_structure'!$A$1:$I$1, 0)), 0)</f>
        <v>20114.009999999998</v>
      </c>
      <c r="R571" s="11">
        <f>IF(G571&gt;K571, (G571-K571) *
INDEX('2018_commission_structure'!$A$1:$I$4,
MATCH($D571, '2018_commission_structure'!$A$1:$A$4,0),
MATCH(R$1, '2018_commission_structure'!$A$1:$I$1,0)), 0)</f>
        <v>0</v>
      </c>
      <c r="S571" s="11">
        <f t="shared" si="53"/>
        <v>52679.55</v>
      </c>
      <c r="T571" s="11" cm="1">
        <f t="array" ref="T571">SUM(E571+O571:Q571)</f>
        <v>235682.55</v>
      </c>
    </row>
    <row r="572" spans="1:20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 xml:space="preserve"> COUNTIF(deals_closed!D:D,A572)</f>
        <v>28</v>
      </c>
      <c r="G572" s="5">
        <f>SUMIF(deals_closed!D:D, calculations!A572, deals_closed!C:C)</f>
        <v>966079</v>
      </c>
      <c r="H572" s="5">
        <f>VLOOKUP(D572,'2018_commission_structure'!$A$2:$I$4,9,FALSE)</f>
        <v>600000</v>
      </c>
      <c r="I572" s="9">
        <f t="shared" si="48"/>
        <v>750000</v>
      </c>
      <c r="J572" s="8">
        <f t="shared" si="49"/>
        <v>900000</v>
      </c>
      <c r="K572" s="9">
        <f t="shared" si="50"/>
        <v>1200000</v>
      </c>
      <c r="L572" s="10">
        <f t="shared" si="51"/>
        <v>1.6101316666666667</v>
      </c>
      <c r="M572" t="str">
        <f t="shared" si="52"/>
        <v>150-200%</v>
      </c>
      <c r="N572" s="9">
        <f>MIN(H572, G572)*INDEX('2018_commission_structure'!$A$1:$I$4,
MATCH($D572, '2018_commission_structure'!$A$1:$A$4,0),
MATCH(N$1, '2018_commission_structure'!$A$1:$I$1,0))</f>
        <v>78000</v>
      </c>
      <c r="O572" s="11">
        <f>IF(G572&gt;H572, MIN(G572-H572, I572-H572)*
INDEX('2018_commission_structure'!$A$1:$I$4,
MATCH($D572, '2018_commission_structure'!$A$1:$A$4, 0),
MATCH(O$1, '2018_commission_structure'!$A$1:$I$1, 0)), 0)</f>
        <v>25500.000000000004</v>
      </c>
      <c r="P572" s="11">
        <f>IF(G572&gt;H572, MIN(G572-H572, J572-H572)*
INDEX('2018_commission_structure'!$A$1:$I$4,
MATCH($D572, '2018_commission_structure'!$A$1:$A$4, 0),
MATCH(O$1, '2018_commission_structure'!$A$1:$I$1, 0)), 0)</f>
        <v>51000.000000000007</v>
      </c>
      <c r="Q572" s="11">
        <f>IF(G572&gt;H572, MIN(G572-H572, I572-H572)*
INDEX('2018_commission_structure'!$A$1:$I$4,
MATCH($D572, '2018_commission_structure'!$A$1:$A$4, 0),
MATCH(P$1, '2018_commission_structure'!$A$1:$I$1, 0)), 0)</f>
        <v>31500</v>
      </c>
      <c r="R572" s="11">
        <f>IF(G572&gt;K572, (G572-K572) *
INDEX('2018_commission_structure'!$A$1:$I$4,
MATCH($D572, '2018_commission_structure'!$A$1:$A$4,0),
MATCH(R$1, '2018_commission_structure'!$A$1:$I$1,0)), 0)</f>
        <v>0</v>
      </c>
      <c r="S572" s="11">
        <f t="shared" si="53"/>
        <v>108000.00000000001</v>
      </c>
      <c r="T572" s="11" cm="1">
        <f t="array" ref="T572">SUM(E572+O572:Q572)</f>
        <v>307512</v>
      </c>
    </row>
    <row r="573" spans="1:20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 xml:space="preserve"> COUNTIF(deals_closed!D:D,A573)</f>
        <v>25</v>
      </c>
      <c r="G573" s="5">
        <f>SUMIF(deals_closed!D:D, calculations!A573, deals_closed!C:C)</f>
        <v>858349</v>
      </c>
      <c r="H573" s="5">
        <f>VLOOKUP(D573,'2018_commission_structure'!$A$2:$I$4,9,FALSE)</f>
        <v>750000</v>
      </c>
      <c r="I573" s="9">
        <f t="shared" si="48"/>
        <v>937500</v>
      </c>
      <c r="J573" s="8">
        <f t="shared" si="49"/>
        <v>1125000</v>
      </c>
      <c r="K573" s="9">
        <f t="shared" si="50"/>
        <v>1500000</v>
      </c>
      <c r="L573" s="10">
        <f t="shared" si="51"/>
        <v>1.1444653333333332</v>
      </c>
      <c r="M573" t="str">
        <f t="shared" si="52"/>
        <v>100-125%</v>
      </c>
      <c r="N573" s="9">
        <f>MIN(H573, G573)*INDEX('2018_commission_structure'!$A$1:$I$4,
MATCH($D573, '2018_commission_structure'!$A$1:$A$4,0),
MATCH(N$1, '2018_commission_structure'!$A$1:$I$1,0))</f>
        <v>112500</v>
      </c>
      <c r="O573" s="11">
        <f>IF(G573&gt;H573, MIN(G573-H573, I573-H573)*
INDEX('2018_commission_structure'!$A$1:$I$4,
MATCH($D573, '2018_commission_structure'!$A$1:$A$4, 0),
MATCH(O$1, '2018_commission_structure'!$A$1:$I$1, 0)), 0)</f>
        <v>20586.310000000001</v>
      </c>
      <c r="P573" s="11">
        <f>IF(G573&gt;H573, MIN(G573-H573, J573-H573)*
INDEX('2018_commission_structure'!$A$1:$I$4,
MATCH($D573, '2018_commission_structure'!$A$1:$A$4, 0),
MATCH(O$1, '2018_commission_structure'!$A$1:$I$1, 0)), 0)</f>
        <v>20586.310000000001</v>
      </c>
      <c r="Q573" s="11">
        <f>IF(G573&gt;H573, MIN(G573-H573, I573-H573)*
INDEX('2018_commission_structure'!$A$1:$I$4,
MATCH($D573, '2018_commission_structure'!$A$1:$A$4, 0),
MATCH(P$1, '2018_commission_structure'!$A$1:$I$1, 0)), 0)</f>
        <v>24920.27</v>
      </c>
      <c r="R573" s="11">
        <f>IF(G573&gt;K573, (G573-K573) *
INDEX('2018_commission_structure'!$A$1:$I$4,
MATCH($D573, '2018_commission_structure'!$A$1:$A$4,0),
MATCH(R$1, '2018_commission_structure'!$A$1:$I$1,0)), 0)</f>
        <v>0</v>
      </c>
      <c r="S573" s="11">
        <f t="shared" si="53"/>
        <v>66092.89</v>
      </c>
      <c r="T573" s="11" cm="1">
        <f t="array" ref="T573">SUM(E573+O573:Q573)</f>
        <v>429158.89</v>
      </c>
    </row>
    <row r="574" spans="1:20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 xml:space="preserve"> COUNTIF(deals_closed!D:D,A574)</f>
        <v>9</v>
      </c>
      <c r="G574" s="5">
        <f>SUMIF(deals_closed!D:D, calculations!A574, deals_closed!C:C)</f>
        <v>330864</v>
      </c>
      <c r="H574" s="5">
        <f>VLOOKUP(D574,'2018_commission_structure'!$A$2:$I$4,9,FALSE)</f>
        <v>500000</v>
      </c>
      <c r="I574" s="9">
        <f t="shared" si="48"/>
        <v>625000</v>
      </c>
      <c r="J574" s="8">
        <f t="shared" si="49"/>
        <v>750000</v>
      </c>
      <c r="K574" s="9">
        <f t="shared" si="50"/>
        <v>1000000</v>
      </c>
      <c r="L574" s="10">
        <f t="shared" si="51"/>
        <v>0.66172799999999998</v>
      </c>
      <c r="M574" t="str">
        <f t="shared" si="52"/>
        <v>0-100%</v>
      </c>
      <c r="N574" s="9">
        <f>MIN(H574, G574)*INDEX('2018_commission_structure'!$A$1:$I$4,
MATCH($D574, '2018_commission_structure'!$A$1:$A$4,0),
MATCH(N$1, '2018_commission_structure'!$A$1:$I$1,0))</f>
        <v>33086.400000000001</v>
      </c>
      <c r="O574" s="11">
        <f>IF(G574&gt;H574, MIN(G574-H574, I574-H574)*
INDEX('2018_commission_structure'!$A$1:$I$4,
MATCH($D574, '2018_commission_structure'!$A$1:$A$4, 0),
MATCH(O$1, '2018_commission_structure'!$A$1:$I$1, 0)), 0)</f>
        <v>0</v>
      </c>
      <c r="P574" s="11">
        <f>IF(G574&gt;H574, MIN(G574-H574, J574-H574)*
INDEX('2018_commission_structure'!$A$1:$I$4,
MATCH($D574, '2018_commission_structure'!$A$1:$A$4, 0),
MATCH(O$1, '2018_commission_structure'!$A$1:$I$1, 0)), 0)</f>
        <v>0</v>
      </c>
      <c r="Q574" s="11">
        <f>IF(G574&gt;H574, MIN(G574-H574, I574-H574)*
INDEX('2018_commission_structure'!$A$1:$I$4,
MATCH($D574, '2018_commission_structure'!$A$1:$A$4, 0),
MATCH(P$1, '2018_commission_structure'!$A$1:$I$1, 0)), 0)</f>
        <v>0</v>
      </c>
      <c r="R574" s="11">
        <f>IF(G574&gt;K574, (G574-K574) *
INDEX('2018_commission_structure'!$A$1:$I$4,
MATCH($D574, '2018_commission_structure'!$A$1:$A$4,0),
MATCH(R$1, '2018_commission_structure'!$A$1:$I$1,0)), 0)</f>
        <v>0</v>
      </c>
      <c r="S574" s="11">
        <f t="shared" si="53"/>
        <v>0</v>
      </c>
      <c r="T574" s="11" cm="1">
        <f t="array" ref="T574">SUM(E574+O574:Q574)</f>
        <v>121530</v>
      </c>
    </row>
    <row r="575" spans="1:20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 xml:space="preserve"> COUNTIF(deals_closed!D:D,A575)</f>
        <v>26</v>
      </c>
      <c r="G575" s="5">
        <f>SUMIF(deals_closed!D:D, calculations!A575, deals_closed!C:C)</f>
        <v>885649</v>
      </c>
      <c r="H575" s="5">
        <f>VLOOKUP(D575,'2018_commission_structure'!$A$2:$I$4,9,FALSE)</f>
        <v>750000</v>
      </c>
      <c r="I575" s="9">
        <f t="shared" si="48"/>
        <v>937500</v>
      </c>
      <c r="J575" s="8">
        <f t="shared" si="49"/>
        <v>1125000</v>
      </c>
      <c r="K575" s="9">
        <f t="shared" si="50"/>
        <v>1500000</v>
      </c>
      <c r="L575" s="10">
        <f t="shared" si="51"/>
        <v>1.1808653333333334</v>
      </c>
      <c r="M575" t="str">
        <f t="shared" si="52"/>
        <v>100-125%</v>
      </c>
      <c r="N575" s="9">
        <f>MIN(H575, G575)*INDEX('2018_commission_structure'!$A$1:$I$4,
MATCH($D575, '2018_commission_structure'!$A$1:$A$4,0),
MATCH(N$1, '2018_commission_structure'!$A$1:$I$1,0))</f>
        <v>112500</v>
      </c>
      <c r="O575" s="11">
        <f>IF(G575&gt;H575, MIN(G575-H575, I575-H575)*
INDEX('2018_commission_structure'!$A$1:$I$4,
MATCH($D575, '2018_commission_structure'!$A$1:$A$4, 0),
MATCH(O$1, '2018_commission_structure'!$A$1:$I$1, 0)), 0)</f>
        <v>25773.31</v>
      </c>
      <c r="P575" s="11">
        <f>IF(G575&gt;H575, MIN(G575-H575, J575-H575)*
INDEX('2018_commission_structure'!$A$1:$I$4,
MATCH($D575, '2018_commission_structure'!$A$1:$A$4, 0),
MATCH(O$1, '2018_commission_structure'!$A$1:$I$1, 0)), 0)</f>
        <v>25773.31</v>
      </c>
      <c r="Q575" s="11">
        <f>IF(G575&gt;H575, MIN(G575-H575, I575-H575)*
INDEX('2018_commission_structure'!$A$1:$I$4,
MATCH($D575, '2018_commission_structure'!$A$1:$A$4, 0),
MATCH(P$1, '2018_commission_structure'!$A$1:$I$1, 0)), 0)</f>
        <v>31199.27</v>
      </c>
      <c r="R575" s="11">
        <f>IF(G575&gt;K575, (G575-K575) *
INDEX('2018_commission_structure'!$A$1:$I$4,
MATCH($D575, '2018_commission_structure'!$A$1:$A$4,0),
MATCH(R$1, '2018_commission_structure'!$A$1:$I$1,0)), 0)</f>
        <v>0</v>
      </c>
      <c r="S575" s="11">
        <f t="shared" si="53"/>
        <v>82745.89</v>
      </c>
      <c r="T575" s="11" cm="1">
        <f t="array" ref="T575">SUM(E575+O575:Q575)</f>
        <v>435194.89</v>
      </c>
    </row>
    <row r="576" spans="1:20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 xml:space="preserve"> COUNTIF(deals_closed!D:D,A576)</f>
        <v>21</v>
      </c>
      <c r="G576" s="5">
        <f>SUMIF(deals_closed!D:D, calculations!A576, deals_closed!C:C)</f>
        <v>624674</v>
      </c>
      <c r="H576" s="5">
        <f>VLOOKUP(D576,'2018_commission_structure'!$A$2:$I$4,9,FALSE)</f>
        <v>500000</v>
      </c>
      <c r="I576" s="9">
        <f t="shared" si="48"/>
        <v>625000</v>
      </c>
      <c r="J576" s="8">
        <f t="shared" si="49"/>
        <v>750000</v>
      </c>
      <c r="K576" s="9">
        <f t="shared" si="50"/>
        <v>1000000</v>
      </c>
      <c r="L576" s="10">
        <f t="shared" si="51"/>
        <v>1.2493479999999999</v>
      </c>
      <c r="M576" t="str">
        <f t="shared" si="52"/>
        <v>100-125%</v>
      </c>
      <c r="N576" s="9">
        <f>MIN(H576, G576)*INDEX('2018_commission_structure'!$A$1:$I$4,
MATCH($D576, '2018_commission_structure'!$A$1:$A$4,0),
MATCH(N$1, '2018_commission_structure'!$A$1:$I$1,0))</f>
        <v>50000</v>
      </c>
      <c r="O576" s="11">
        <f>IF(G576&gt;H576, MIN(G576-H576, I576-H576)*
INDEX('2018_commission_structure'!$A$1:$I$4,
MATCH($D576, '2018_commission_structure'!$A$1:$A$4, 0),
MATCH(O$1, '2018_commission_structure'!$A$1:$I$1, 0)), 0)</f>
        <v>18701.099999999999</v>
      </c>
      <c r="P576" s="11">
        <f>IF(G576&gt;H576, MIN(G576-H576, J576-H576)*
INDEX('2018_commission_structure'!$A$1:$I$4,
MATCH($D576, '2018_commission_structure'!$A$1:$A$4, 0),
MATCH(O$1, '2018_commission_structure'!$A$1:$I$1, 0)), 0)</f>
        <v>18701.099999999999</v>
      </c>
      <c r="Q576" s="11">
        <f>IF(G576&gt;H576, MIN(G576-H576, I576-H576)*
INDEX('2018_commission_structure'!$A$1:$I$4,
MATCH($D576, '2018_commission_structure'!$A$1:$A$4, 0),
MATCH(P$1, '2018_commission_structure'!$A$1:$I$1, 0)), 0)</f>
        <v>22441.32</v>
      </c>
      <c r="R576" s="11">
        <f>IF(G576&gt;K576, (G576-K576) *
INDEX('2018_commission_structure'!$A$1:$I$4,
MATCH($D576, '2018_commission_structure'!$A$1:$A$4,0),
MATCH(R$1, '2018_commission_structure'!$A$1:$I$1,0)), 0)</f>
        <v>0</v>
      </c>
      <c r="S576" s="11">
        <f t="shared" si="53"/>
        <v>59843.519999999997</v>
      </c>
      <c r="T576" s="11" cm="1">
        <f t="array" ref="T576">SUM(E576+O576:Q576)</f>
        <v>251648.52000000002</v>
      </c>
    </row>
    <row r="577" spans="1:20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 xml:space="preserve"> COUNTIF(deals_closed!D:D,A577)</f>
        <v>16</v>
      </c>
      <c r="G577" s="5">
        <f>SUMIF(deals_closed!D:D, calculations!A577, deals_closed!C:C)</f>
        <v>655776</v>
      </c>
      <c r="H577" s="5">
        <f>VLOOKUP(D577,'2018_commission_structure'!$A$2:$I$4,9,FALSE)</f>
        <v>500000</v>
      </c>
      <c r="I577" s="9">
        <f t="shared" si="48"/>
        <v>625000</v>
      </c>
      <c r="J577" s="8">
        <f t="shared" si="49"/>
        <v>750000</v>
      </c>
      <c r="K577" s="9">
        <f t="shared" si="50"/>
        <v>1000000</v>
      </c>
      <c r="L577" s="10">
        <f t="shared" si="51"/>
        <v>1.3115520000000001</v>
      </c>
      <c r="M577" t="str">
        <f t="shared" si="52"/>
        <v>125-150%</v>
      </c>
      <c r="N577" s="9">
        <f>MIN(H577, G577)*INDEX('2018_commission_structure'!$A$1:$I$4,
MATCH($D577, '2018_commission_structure'!$A$1:$A$4,0),
MATCH(N$1, '2018_commission_structure'!$A$1:$I$1,0))</f>
        <v>50000</v>
      </c>
      <c r="O577" s="11">
        <f>IF(G577&gt;H577, MIN(G577-H577, I577-H577)*
INDEX('2018_commission_structure'!$A$1:$I$4,
MATCH($D577, '2018_commission_structure'!$A$1:$A$4, 0),
MATCH(O$1, '2018_commission_structure'!$A$1:$I$1, 0)), 0)</f>
        <v>18750</v>
      </c>
      <c r="P577" s="11">
        <f>IF(G577&gt;H577, MIN(G577-H577, J577-H577)*
INDEX('2018_commission_structure'!$A$1:$I$4,
MATCH($D577, '2018_commission_structure'!$A$1:$A$4, 0),
MATCH(O$1, '2018_commission_structure'!$A$1:$I$1, 0)), 0)</f>
        <v>23366.399999999998</v>
      </c>
      <c r="Q577" s="11">
        <f>IF(G577&gt;H577, MIN(G577-H577, I577-H577)*
INDEX('2018_commission_structure'!$A$1:$I$4,
MATCH($D577, '2018_commission_structure'!$A$1:$A$4, 0),
MATCH(P$1, '2018_commission_structure'!$A$1:$I$1, 0)), 0)</f>
        <v>22500</v>
      </c>
      <c r="R577" s="11">
        <f>IF(G577&gt;K577, (G577-K577) *
INDEX('2018_commission_structure'!$A$1:$I$4,
MATCH($D577, '2018_commission_structure'!$A$1:$A$4,0),
MATCH(R$1, '2018_commission_structure'!$A$1:$I$1,0)), 0)</f>
        <v>0</v>
      </c>
      <c r="S577" s="11">
        <f t="shared" si="53"/>
        <v>64616.399999999994</v>
      </c>
      <c r="T577" s="11" cm="1">
        <f t="array" ref="T577">SUM(E577+O577:Q577)</f>
        <v>244784.4</v>
      </c>
    </row>
    <row r="578" spans="1:20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 xml:space="preserve"> COUNTIF(deals_closed!D:D,A578)</f>
        <v>19</v>
      </c>
      <c r="G578" s="5">
        <f>SUMIF(deals_closed!D:D, calculations!A578, deals_closed!C:C)</f>
        <v>762760</v>
      </c>
      <c r="H578" s="5">
        <f>VLOOKUP(D578,'2018_commission_structure'!$A$2:$I$4,9,FALSE)</f>
        <v>750000</v>
      </c>
      <c r="I578" s="9">
        <f t="shared" si="48"/>
        <v>937500</v>
      </c>
      <c r="J578" s="8">
        <f t="shared" si="49"/>
        <v>1125000</v>
      </c>
      <c r="K578" s="9">
        <f t="shared" si="50"/>
        <v>1500000</v>
      </c>
      <c r="L578" s="10">
        <f t="shared" si="51"/>
        <v>1.0170133333333333</v>
      </c>
      <c r="M578" t="str">
        <f t="shared" si="52"/>
        <v>100-125%</v>
      </c>
      <c r="N578" s="9">
        <f>MIN(H578, G578)*INDEX('2018_commission_structure'!$A$1:$I$4,
MATCH($D578, '2018_commission_structure'!$A$1:$A$4,0),
MATCH(N$1, '2018_commission_structure'!$A$1:$I$1,0))</f>
        <v>112500</v>
      </c>
      <c r="O578" s="11">
        <f>IF(G578&gt;H578, MIN(G578-H578, I578-H578)*
INDEX('2018_commission_structure'!$A$1:$I$4,
MATCH($D578, '2018_commission_structure'!$A$1:$A$4, 0),
MATCH(O$1, '2018_commission_structure'!$A$1:$I$1, 0)), 0)</f>
        <v>2424.4</v>
      </c>
      <c r="P578" s="11">
        <f>IF(G578&gt;H578, MIN(G578-H578, J578-H578)*
INDEX('2018_commission_structure'!$A$1:$I$4,
MATCH($D578, '2018_commission_structure'!$A$1:$A$4, 0),
MATCH(O$1, '2018_commission_structure'!$A$1:$I$1, 0)), 0)</f>
        <v>2424.4</v>
      </c>
      <c r="Q578" s="11">
        <f>IF(G578&gt;H578, MIN(G578-H578, I578-H578)*
INDEX('2018_commission_structure'!$A$1:$I$4,
MATCH($D578, '2018_commission_structure'!$A$1:$A$4, 0),
MATCH(P$1, '2018_commission_structure'!$A$1:$I$1, 0)), 0)</f>
        <v>2934.8</v>
      </c>
      <c r="R578" s="11">
        <f>IF(G578&gt;K578, (G578-K578) *
INDEX('2018_commission_structure'!$A$1:$I$4,
MATCH($D578, '2018_commission_structure'!$A$1:$A$4,0),
MATCH(R$1, '2018_commission_structure'!$A$1:$I$1,0)), 0)</f>
        <v>0</v>
      </c>
      <c r="S578" s="11">
        <f t="shared" si="53"/>
        <v>7783.6</v>
      </c>
      <c r="T578" s="11" cm="1">
        <f t="array" ref="T578">SUM(E578+O578:Q578)</f>
        <v>249556.59999999998</v>
      </c>
    </row>
    <row r="579" spans="1:20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 xml:space="preserve"> COUNTIF(deals_closed!D:D,A579)</f>
        <v>16</v>
      </c>
      <c r="G579" s="5">
        <f>SUMIF(deals_closed!D:D, calculations!A579, deals_closed!C:C)</f>
        <v>478308</v>
      </c>
      <c r="H579" s="5">
        <f>VLOOKUP(D579,'2018_commission_structure'!$A$2:$I$4,9,FALSE)</f>
        <v>750000</v>
      </c>
      <c r="I579" s="9">
        <f t="shared" ref="I579:I642" si="54">H579*1.25</f>
        <v>937500</v>
      </c>
      <c r="J579" s="8">
        <f t="shared" ref="J579:J642" si="55">H579*1.5</f>
        <v>1125000</v>
      </c>
      <c r="K579" s="9">
        <f t="shared" ref="K579:K642" si="56">H579*2</f>
        <v>1500000</v>
      </c>
      <c r="L579" s="10">
        <f t="shared" ref="L579:L642" si="57">G579/H579</f>
        <v>0.63774399999999998</v>
      </c>
      <c r="M579" t="str">
        <f t="shared" ref="M579:M642" si="58">IF(L579&lt;=1, "0-100%",
IF(L579&lt;=1.25, "100-125%",
IF(L579&lt;=1.5, "125-150%",
IF(L579&lt;2, "150-200%", "&gt;200%"))))</f>
        <v>0-100%</v>
      </c>
      <c r="N579" s="9">
        <f>MIN(H579, G579)*INDEX('2018_commission_structure'!$A$1:$I$4,
MATCH($D579, '2018_commission_structure'!$A$1:$A$4,0),
MATCH(N$1, '2018_commission_structure'!$A$1:$I$1,0))</f>
        <v>71746.2</v>
      </c>
      <c r="O579" s="11">
        <f>IF(G579&gt;H579, MIN(G579-H579, I579-H579)*
INDEX('2018_commission_structure'!$A$1:$I$4,
MATCH($D579, '2018_commission_structure'!$A$1:$A$4, 0),
MATCH(O$1, '2018_commission_structure'!$A$1:$I$1, 0)), 0)</f>
        <v>0</v>
      </c>
      <c r="P579" s="11">
        <f>IF(G579&gt;H579, MIN(G579-H579, J579-H579)*
INDEX('2018_commission_structure'!$A$1:$I$4,
MATCH($D579, '2018_commission_structure'!$A$1:$A$4, 0),
MATCH(O$1, '2018_commission_structure'!$A$1:$I$1, 0)), 0)</f>
        <v>0</v>
      </c>
      <c r="Q579" s="11">
        <f>IF(G579&gt;H579, MIN(G579-H579, I579-H579)*
INDEX('2018_commission_structure'!$A$1:$I$4,
MATCH($D579, '2018_commission_structure'!$A$1:$A$4, 0),
MATCH(P$1, '2018_commission_structure'!$A$1:$I$1, 0)), 0)</f>
        <v>0</v>
      </c>
      <c r="R579" s="11">
        <f>IF(G579&gt;K579, (G579-K579) *
INDEX('2018_commission_structure'!$A$1:$I$4,
MATCH($D579, '2018_commission_structure'!$A$1:$A$4,0),
MATCH(R$1, '2018_commission_structure'!$A$1:$I$1,0)), 0)</f>
        <v>0</v>
      </c>
      <c r="S579" s="11">
        <f t="shared" ref="S579:S642" si="59">SUM(O579:Q579)</f>
        <v>0</v>
      </c>
      <c r="T579" s="11" cm="1">
        <f t="array" ref="T579">SUM(E579+O579:Q579)</f>
        <v>331272</v>
      </c>
    </row>
    <row r="580" spans="1:20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 xml:space="preserve"> COUNTIF(deals_closed!D:D,A580)</f>
        <v>9</v>
      </c>
      <c r="G580" s="5">
        <f>SUMIF(deals_closed!D:D, calculations!A580, deals_closed!C:C)</f>
        <v>317530</v>
      </c>
      <c r="H580" s="5">
        <f>VLOOKUP(D580,'2018_commission_structure'!$A$2:$I$4,9,FALSE)</f>
        <v>750000</v>
      </c>
      <c r="I580" s="9">
        <f t="shared" si="54"/>
        <v>937500</v>
      </c>
      <c r="J580" s="8">
        <f t="shared" si="55"/>
        <v>1125000</v>
      </c>
      <c r="K580" s="9">
        <f t="shared" si="56"/>
        <v>1500000</v>
      </c>
      <c r="L580" s="10">
        <f t="shared" si="57"/>
        <v>0.42337333333333332</v>
      </c>
      <c r="M580" t="str">
        <f t="shared" si="58"/>
        <v>0-100%</v>
      </c>
      <c r="N580" s="9">
        <f>MIN(H580, G580)*INDEX('2018_commission_structure'!$A$1:$I$4,
MATCH($D580, '2018_commission_structure'!$A$1:$A$4,0),
MATCH(N$1, '2018_commission_structure'!$A$1:$I$1,0))</f>
        <v>47629.5</v>
      </c>
      <c r="O580" s="11">
        <f>IF(G580&gt;H580, MIN(G580-H580, I580-H580)*
INDEX('2018_commission_structure'!$A$1:$I$4,
MATCH($D580, '2018_commission_structure'!$A$1:$A$4, 0),
MATCH(O$1, '2018_commission_structure'!$A$1:$I$1, 0)), 0)</f>
        <v>0</v>
      </c>
      <c r="P580" s="11">
        <f>IF(G580&gt;H580, MIN(G580-H580, J580-H580)*
INDEX('2018_commission_structure'!$A$1:$I$4,
MATCH($D580, '2018_commission_structure'!$A$1:$A$4, 0),
MATCH(O$1, '2018_commission_structure'!$A$1:$I$1, 0)), 0)</f>
        <v>0</v>
      </c>
      <c r="Q580" s="11">
        <f>IF(G580&gt;H580, MIN(G580-H580, I580-H580)*
INDEX('2018_commission_structure'!$A$1:$I$4,
MATCH($D580, '2018_commission_structure'!$A$1:$A$4, 0),
MATCH(P$1, '2018_commission_structure'!$A$1:$I$1, 0)), 0)</f>
        <v>0</v>
      </c>
      <c r="R580" s="11">
        <f>IF(G580&gt;K580, (G580-K580) *
INDEX('2018_commission_structure'!$A$1:$I$4,
MATCH($D580, '2018_commission_structure'!$A$1:$A$4,0),
MATCH(R$1, '2018_commission_structure'!$A$1:$I$1,0)), 0)</f>
        <v>0</v>
      </c>
      <c r="S580" s="11">
        <f t="shared" si="59"/>
        <v>0</v>
      </c>
      <c r="T580" s="11" cm="1">
        <f t="array" ref="T580">SUM(E580+O580:Q580)</f>
        <v>260604</v>
      </c>
    </row>
    <row r="581" spans="1:20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 xml:space="preserve"> COUNTIF(deals_closed!D:D,A581)</f>
        <v>21</v>
      </c>
      <c r="G581" s="5">
        <f>SUMIF(deals_closed!D:D, calculations!A581, deals_closed!C:C)</f>
        <v>702700</v>
      </c>
      <c r="H581" s="5">
        <f>VLOOKUP(D581,'2018_commission_structure'!$A$2:$I$4,9,FALSE)</f>
        <v>500000</v>
      </c>
      <c r="I581" s="9">
        <f t="shared" si="54"/>
        <v>625000</v>
      </c>
      <c r="J581" s="8">
        <f t="shared" si="55"/>
        <v>750000</v>
      </c>
      <c r="K581" s="9">
        <f t="shared" si="56"/>
        <v>1000000</v>
      </c>
      <c r="L581" s="10">
        <f t="shared" si="57"/>
        <v>1.4054</v>
      </c>
      <c r="M581" t="str">
        <f t="shared" si="58"/>
        <v>125-150%</v>
      </c>
      <c r="N581" s="9">
        <f>MIN(H581, G581)*INDEX('2018_commission_structure'!$A$1:$I$4,
MATCH($D581, '2018_commission_structure'!$A$1:$A$4,0),
MATCH(N$1, '2018_commission_structure'!$A$1:$I$1,0))</f>
        <v>50000</v>
      </c>
      <c r="O581" s="11">
        <f>IF(G581&gt;H581, MIN(G581-H581, I581-H581)*
INDEX('2018_commission_structure'!$A$1:$I$4,
MATCH($D581, '2018_commission_structure'!$A$1:$A$4, 0),
MATCH(O$1, '2018_commission_structure'!$A$1:$I$1, 0)), 0)</f>
        <v>18750</v>
      </c>
      <c r="P581" s="11">
        <f>IF(G581&gt;H581, MIN(G581-H581, J581-H581)*
INDEX('2018_commission_structure'!$A$1:$I$4,
MATCH($D581, '2018_commission_structure'!$A$1:$A$4, 0),
MATCH(O$1, '2018_commission_structure'!$A$1:$I$1, 0)), 0)</f>
        <v>30405</v>
      </c>
      <c r="Q581" s="11">
        <f>IF(G581&gt;H581, MIN(G581-H581, I581-H581)*
INDEX('2018_commission_structure'!$A$1:$I$4,
MATCH($D581, '2018_commission_structure'!$A$1:$A$4, 0),
MATCH(P$1, '2018_commission_structure'!$A$1:$I$1, 0)), 0)</f>
        <v>22500</v>
      </c>
      <c r="R581" s="11">
        <f>IF(G581&gt;K581, (G581-K581) *
INDEX('2018_commission_structure'!$A$1:$I$4,
MATCH($D581, '2018_commission_structure'!$A$1:$A$4,0),
MATCH(R$1, '2018_commission_structure'!$A$1:$I$1,0)), 0)</f>
        <v>0</v>
      </c>
      <c r="S581" s="11">
        <f t="shared" si="59"/>
        <v>71655</v>
      </c>
      <c r="T581" s="11" cm="1">
        <f t="array" ref="T581">SUM(E581+O581:Q581)</f>
        <v>229314</v>
      </c>
    </row>
    <row r="582" spans="1:20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 xml:space="preserve"> COUNTIF(deals_closed!D:D,A582)</f>
        <v>22</v>
      </c>
      <c r="G582" s="5">
        <f>SUMIF(deals_closed!D:D, calculations!A582, deals_closed!C:C)</f>
        <v>898061</v>
      </c>
      <c r="H582" s="5">
        <f>VLOOKUP(D582,'2018_commission_structure'!$A$2:$I$4,9,FALSE)</f>
        <v>500000</v>
      </c>
      <c r="I582" s="9">
        <f t="shared" si="54"/>
        <v>625000</v>
      </c>
      <c r="J582" s="8">
        <f t="shared" si="55"/>
        <v>750000</v>
      </c>
      <c r="K582" s="9">
        <f t="shared" si="56"/>
        <v>1000000</v>
      </c>
      <c r="L582" s="10">
        <f t="shared" si="57"/>
        <v>1.796122</v>
      </c>
      <c r="M582" t="str">
        <f t="shared" si="58"/>
        <v>150-200%</v>
      </c>
      <c r="N582" s="9">
        <f>MIN(H582, G582)*INDEX('2018_commission_structure'!$A$1:$I$4,
MATCH($D582, '2018_commission_structure'!$A$1:$A$4,0),
MATCH(N$1, '2018_commission_structure'!$A$1:$I$1,0))</f>
        <v>50000</v>
      </c>
      <c r="O582" s="11">
        <f>IF(G582&gt;H582, MIN(G582-H582, I582-H582)*
INDEX('2018_commission_structure'!$A$1:$I$4,
MATCH($D582, '2018_commission_structure'!$A$1:$A$4, 0),
MATCH(O$1, '2018_commission_structure'!$A$1:$I$1, 0)), 0)</f>
        <v>18750</v>
      </c>
      <c r="P582" s="11">
        <f>IF(G582&gt;H582, MIN(G582-H582, J582-H582)*
INDEX('2018_commission_structure'!$A$1:$I$4,
MATCH($D582, '2018_commission_structure'!$A$1:$A$4, 0),
MATCH(O$1, '2018_commission_structure'!$A$1:$I$1, 0)), 0)</f>
        <v>37500</v>
      </c>
      <c r="Q582" s="11">
        <f>IF(G582&gt;H582, MIN(G582-H582, I582-H582)*
INDEX('2018_commission_structure'!$A$1:$I$4,
MATCH($D582, '2018_commission_structure'!$A$1:$A$4, 0),
MATCH(P$1, '2018_commission_structure'!$A$1:$I$1, 0)), 0)</f>
        <v>22500</v>
      </c>
      <c r="R582" s="11">
        <f>IF(G582&gt;K582, (G582-K582) *
INDEX('2018_commission_structure'!$A$1:$I$4,
MATCH($D582, '2018_commission_structure'!$A$1:$A$4,0),
MATCH(R$1, '2018_commission_structure'!$A$1:$I$1,0)), 0)</f>
        <v>0</v>
      </c>
      <c r="S582" s="11">
        <f t="shared" si="59"/>
        <v>78750</v>
      </c>
      <c r="T582" s="11" cm="1">
        <f t="array" ref="T582">SUM(E582+O582:Q582)</f>
        <v>181200</v>
      </c>
    </row>
    <row r="583" spans="1:20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 xml:space="preserve"> COUNTIF(deals_closed!D:D,A583)</f>
        <v>19</v>
      </c>
      <c r="G583" s="5">
        <f>SUMIF(deals_closed!D:D, calculations!A583, deals_closed!C:C)</f>
        <v>635564</v>
      </c>
      <c r="H583" s="5">
        <f>VLOOKUP(D583,'2018_commission_structure'!$A$2:$I$4,9,FALSE)</f>
        <v>500000</v>
      </c>
      <c r="I583" s="9">
        <f t="shared" si="54"/>
        <v>625000</v>
      </c>
      <c r="J583" s="8">
        <f t="shared" si="55"/>
        <v>750000</v>
      </c>
      <c r="K583" s="9">
        <f t="shared" si="56"/>
        <v>1000000</v>
      </c>
      <c r="L583" s="10">
        <f t="shared" si="57"/>
        <v>1.271128</v>
      </c>
      <c r="M583" t="str">
        <f t="shared" si="58"/>
        <v>125-150%</v>
      </c>
      <c r="N583" s="9">
        <f>MIN(H583, G583)*INDEX('2018_commission_structure'!$A$1:$I$4,
MATCH($D583, '2018_commission_structure'!$A$1:$A$4,0),
MATCH(N$1, '2018_commission_structure'!$A$1:$I$1,0))</f>
        <v>50000</v>
      </c>
      <c r="O583" s="11">
        <f>IF(G583&gt;H583, MIN(G583-H583, I583-H583)*
INDEX('2018_commission_structure'!$A$1:$I$4,
MATCH($D583, '2018_commission_structure'!$A$1:$A$4, 0),
MATCH(O$1, '2018_commission_structure'!$A$1:$I$1, 0)), 0)</f>
        <v>18750</v>
      </c>
      <c r="P583" s="11">
        <f>IF(G583&gt;H583, MIN(G583-H583, J583-H583)*
INDEX('2018_commission_structure'!$A$1:$I$4,
MATCH($D583, '2018_commission_structure'!$A$1:$A$4, 0),
MATCH(O$1, '2018_commission_structure'!$A$1:$I$1, 0)), 0)</f>
        <v>20334.599999999999</v>
      </c>
      <c r="Q583" s="11">
        <f>IF(G583&gt;H583, MIN(G583-H583, I583-H583)*
INDEX('2018_commission_structure'!$A$1:$I$4,
MATCH($D583, '2018_commission_structure'!$A$1:$A$4, 0),
MATCH(P$1, '2018_commission_structure'!$A$1:$I$1, 0)), 0)</f>
        <v>22500</v>
      </c>
      <c r="R583" s="11">
        <f>IF(G583&gt;K583, (G583-K583) *
INDEX('2018_commission_structure'!$A$1:$I$4,
MATCH($D583, '2018_commission_structure'!$A$1:$A$4,0),
MATCH(R$1, '2018_commission_structure'!$A$1:$I$1,0)), 0)</f>
        <v>0</v>
      </c>
      <c r="S583" s="11">
        <f t="shared" si="59"/>
        <v>61584.6</v>
      </c>
      <c r="T583" s="11" cm="1">
        <f t="array" ref="T583">SUM(E583+O583:Q583)</f>
        <v>181689.60000000001</v>
      </c>
    </row>
    <row r="584" spans="1:20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 xml:space="preserve"> COUNTIF(deals_closed!D:D,A584)</f>
        <v>13</v>
      </c>
      <c r="G584" s="5">
        <f>SUMIF(deals_closed!D:D, calculations!A584, deals_closed!C:C)</f>
        <v>382630</v>
      </c>
      <c r="H584" s="5">
        <f>VLOOKUP(D584,'2018_commission_structure'!$A$2:$I$4,9,FALSE)</f>
        <v>600000</v>
      </c>
      <c r="I584" s="9">
        <f t="shared" si="54"/>
        <v>750000</v>
      </c>
      <c r="J584" s="8">
        <f t="shared" si="55"/>
        <v>900000</v>
      </c>
      <c r="K584" s="9">
        <f t="shared" si="56"/>
        <v>1200000</v>
      </c>
      <c r="L584" s="10">
        <f t="shared" si="57"/>
        <v>0.63771666666666671</v>
      </c>
      <c r="M584" t="str">
        <f t="shared" si="58"/>
        <v>0-100%</v>
      </c>
      <c r="N584" s="9">
        <f>MIN(H584, G584)*INDEX('2018_commission_structure'!$A$1:$I$4,
MATCH($D584, '2018_commission_structure'!$A$1:$A$4,0),
MATCH(N$1, '2018_commission_structure'!$A$1:$I$1,0))</f>
        <v>49741.9</v>
      </c>
      <c r="O584" s="11">
        <f>IF(G584&gt;H584, MIN(G584-H584, I584-H584)*
INDEX('2018_commission_structure'!$A$1:$I$4,
MATCH($D584, '2018_commission_structure'!$A$1:$A$4, 0),
MATCH(O$1, '2018_commission_structure'!$A$1:$I$1, 0)), 0)</f>
        <v>0</v>
      </c>
      <c r="P584" s="11">
        <f>IF(G584&gt;H584, MIN(G584-H584, J584-H584)*
INDEX('2018_commission_structure'!$A$1:$I$4,
MATCH($D584, '2018_commission_structure'!$A$1:$A$4, 0),
MATCH(O$1, '2018_commission_structure'!$A$1:$I$1, 0)), 0)</f>
        <v>0</v>
      </c>
      <c r="Q584" s="11">
        <f>IF(G584&gt;H584, MIN(G584-H584, I584-H584)*
INDEX('2018_commission_structure'!$A$1:$I$4,
MATCH($D584, '2018_commission_structure'!$A$1:$A$4, 0),
MATCH(P$1, '2018_commission_structure'!$A$1:$I$1, 0)), 0)</f>
        <v>0</v>
      </c>
      <c r="R584" s="11">
        <f>IF(G584&gt;K584, (G584-K584) *
INDEX('2018_commission_structure'!$A$1:$I$4,
MATCH($D584, '2018_commission_structure'!$A$1:$A$4,0),
MATCH(R$1, '2018_commission_structure'!$A$1:$I$1,0)), 0)</f>
        <v>0</v>
      </c>
      <c r="S584" s="11">
        <f t="shared" si="59"/>
        <v>0</v>
      </c>
      <c r="T584" s="11" cm="1">
        <f t="array" ref="T584">SUM(E584+O584:Q584)</f>
        <v>161604</v>
      </c>
    </row>
    <row r="585" spans="1:20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 xml:space="preserve"> COUNTIF(deals_closed!D:D,A585)</f>
        <v>17</v>
      </c>
      <c r="G585" s="5">
        <f>SUMIF(deals_closed!D:D, calculations!A585, deals_closed!C:C)</f>
        <v>563706</v>
      </c>
      <c r="H585" s="5">
        <f>VLOOKUP(D585,'2018_commission_structure'!$A$2:$I$4,9,FALSE)</f>
        <v>500000</v>
      </c>
      <c r="I585" s="9">
        <f t="shared" si="54"/>
        <v>625000</v>
      </c>
      <c r="J585" s="8">
        <f t="shared" si="55"/>
        <v>750000</v>
      </c>
      <c r="K585" s="9">
        <f t="shared" si="56"/>
        <v>1000000</v>
      </c>
      <c r="L585" s="10">
        <f t="shared" si="57"/>
        <v>1.1274120000000001</v>
      </c>
      <c r="M585" t="str">
        <f t="shared" si="58"/>
        <v>100-125%</v>
      </c>
      <c r="N585" s="9">
        <f>MIN(H585, G585)*INDEX('2018_commission_structure'!$A$1:$I$4,
MATCH($D585, '2018_commission_structure'!$A$1:$A$4,0),
MATCH(N$1, '2018_commission_structure'!$A$1:$I$1,0))</f>
        <v>50000</v>
      </c>
      <c r="O585" s="11">
        <f>IF(G585&gt;H585, MIN(G585-H585, I585-H585)*
INDEX('2018_commission_structure'!$A$1:$I$4,
MATCH($D585, '2018_commission_structure'!$A$1:$A$4, 0),
MATCH(O$1, '2018_commission_structure'!$A$1:$I$1, 0)), 0)</f>
        <v>9555.9</v>
      </c>
      <c r="P585" s="11">
        <f>IF(G585&gt;H585, MIN(G585-H585, J585-H585)*
INDEX('2018_commission_structure'!$A$1:$I$4,
MATCH($D585, '2018_commission_structure'!$A$1:$A$4, 0),
MATCH(O$1, '2018_commission_structure'!$A$1:$I$1, 0)), 0)</f>
        <v>9555.9</v>
      </c>
      <c r="Q585" s="11">
        <f>IF(G585&gt;H585, MIN(G585-H585, I585-H585)*
INDEX('2018_commission_structure'!$A$1:$I$4,
MATCH($D585, '2018_commission_structure'!$A$1:$A$4, 0),
MATCH(P$1, '2018_commission_structure'!$A$1:$I$1, 0)), 0)</f>
        <v>11467.08</v>
      </c>
      <c r="R585" s="11">
        <f>IF(G585&gt;K585, (G585-K585) *
INDEX('2018_commission_structure'!$A$1:$I$4,
MATCH($D585, '2018_commission_structure'!$A$1:$A$4,0),
MATCH(R$1, '2018_commission_structure'!$A$1:$I$1,0)), 0)</f>
        <v>0</v>
      </c>
      <c r="S585" s="11">
        <f t="shared" si="59"/>
        <v>30578.879999999997</v>
      </c>
      <c r="T585" s="11" cm="1">
        <f t="array" ref="T585">SUM(E585+O585:Q585)</f>
        <v>136025.88</v>
      </c>
    </row>
    <row r="586" spans="1:20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 xml:space="preserve"> COUNTIF(deals_closed!D:D,A586)</f>
        <v>18</v>
      </c>
      <c r="G586" s="5">
        <f>SUMIF(deals_closed!D:D, calculations!A586, deals_closed!C:C)</f>
        <v>648709</v>
      </c>
      <c r="H586" s="5">
        <f>VLOOKUP(D586,'2018_commission_structure'!$A$2:$I$4,9,FALSE)</f>
        <v>600000</v>
      </c>
      <c r="I586" s="9">
        <f t="shared" si="54"/>
        <v>750000</v>
      </c>
      <c r="J586" s="8">
        <f t="shared" si="55"/>
        <v>900000</v>
      </c>
      <c r="K586" s="9">
        <f t="shared" si="56"/>
        <v>1200000</v>
      </c>
      <c r="L586" s="10">
        <f t="shared" si="57"/>
        <v>1.0811816666666667</v>
      </c>
      <c r="M586" t="str">
        <f t="shared" si="58"/>
        <v>100-125%</v>
      </c>
      <c r="N586" s="9">
        <f>MIN(H586, G586)*INDEX('2018_commission_structure'!$A$1:$I$4,
MATCH($D586, '2018_commission_structure'!$A$1:$A$4,0),
MATCH(N$1, '2018_commission_structure'!$A$1:$I$1,0))</f>
        <v>78000</v>
      </c>
      <c r="O586" s="11">
        <f>IF(G586&gt;H586, MIN(G586-H586, I586-H586)*
INDEX('2018_commission_structure'!$A$1:$I$4,
MATCH($D586, '2018_commission_structure'!$A$1:$A$4, 0),
MATCH(O$1, '2018_commission_structure'!$A$1:$I$1, 0)), 0)</f>
        <v>8280.5300000000007</v>
      </c>
      <c r="P586" s="11">
        <f>IF(G586&gt;H586, MIN(G586-H586, J586-H586)*
INDEX('2018_commission_structure'!$A$1:$I$4,
MATCH($D586, '2018_commission_structure'!$A$1:$A$4, 0),
MATCH(O$1, '2018_commission_structure'!$A$1:$I$1, 0)), 0)</f>
        <v>8280.5300000000007</v>
      </c>
      <c r="Q586" s="11">
        <f>IF(G586&gt;H586, MIN(G586-H586, I586-H586)*
INDEX('2018_commission_structure'!$A$1:$I$4,
MATCH($D586, '2018_commission_structure'!$A$1:$A$4, 0),
MATCH(P$1, '2018_commission_structure'!$A$1:$I$1, 0)), 0)</f>
        <v>10228.89</v>
      </c>
      <c r="R586" s="11">
        <f>IF(G586&gt;K586, (G586-K586) *
INDEX('2018_commission_structure'!$A$1:$I$4,
MATCH($D586, '2018_commission_structure'!$A$1:$A$4,0),
MATCH(R$1, '2018_commission_structure'!$A$1:$I$1,0)), 0)</f>
        <v>0</v>
      </c>
      <c r="S586" s="11">
        <f t="shared" si="59"/>
        <v>26789.95</v>
      </c>
      <c r="T586" s="11" cm="1">
        <f t="array" ref="T586">SUM(E586+O586:Q586)</f>
        <v>183191.95</v>
      </c>
    </row>
    <row r="587" spans="1:20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 xml:space="preserve"> COUNTIF(deals_closed!D:D,A587)</f>
        <v>12</v>
      </c>
      <c r="G587" s="5">
        <f>SUMIF(deals_closed!D:D, calculations!A587, deals_closed!C:C)</f>
        <v>328657</v>
      </c>
      <c r="H587" s="5">
        <f>VLOOKUP(D587,'2018_commission_structure'!$A$2:$I$4,9,FALSE)</f>
        <v>500000</v>
      </c>
      <c r="I587" s="9">
        <f t="shared" si="54"/>
        <v>625000</v>
      </c>
      <c r="J587" s="8">
        <f t="shared" si="55"/>
        <v>750000</v>
      </c>
      <c r="K587" s="9">
        <f t="shared" si="56"/>
        <v>1000000</v>
      </c>
      <c r="L587" s="10">
        <f t="shared" si="57"/>
        <v>0.65731399999999995</v>
      </c>
      <c r="M587" t="str">
        <f t="shared" si="58"/>
        <v>0-100%</v>
      </c>
      <c r="N587" s="9">
        <f>MIN(H587, G587)*INDEX('2018_commission_structure'!$A$1:$I$4,
MATCH($D587, '2018_commission_structure'!$A$1:$A$4,0),
MATCH(N$1, '2018_commission_structure'!$A$1:$I$1,0))</f>
        <v>32865.700000000004</v>
      </c>
      <c r="O587" s="11">
        <f>IF(G587&gt;H587, MIN(G587-H587, I587-H587)*
INDEX('2018_commission_structure'!$A$1:$I$4,
MATCH($D587, '2018_commission_structure'!$A$1:$A$4, 0),
MATCH(O$1, '2018_commission_structure'!$A$1:$I$1, 0)), 0)</f>
        <v>0</v>
      </c>
      <c r="P587" s="11">
        <f>IF(G587&gt;H587, MIN(G587-H587, J587-H587)*
INDEX('2018_commission_structure'!$A$1:$I$4,
MATCH($D587, '2018_commission_structure'!$A$1:$A$4, 0),
MATCH(O$1, '2018_commission_structure'!$A$1:$I$1, 0)), 0)</f>
        <v>0</v>
      </c>
      <c r="Q587" s="11">
        <f>IF(G587&gt;H587, MIN(G587-H587, I587-H587)*
INDEX('2018_commission_structure'!$A$1:$I$4,
MATCH($D587, '2018_commission_structure'!$A$1:$A$4, 0),
MATCH(P$1, '2018_commission_structure'!$A$1:$I$1, 0)), 0)</f>
        <v>0</v>
      </c>
      <c r="R587" s="11">
        <f>IF(G587&gt;K587, (G587-K587) *
INDEX('2018_commission_structure'!$A$1:$I$4,
MATCH($D587, '2018_commission_structure'!$A$1:$A$4,0),
MATCH(R$1, '2018_commission_structure'!$A$1:$I$1,0)), 0)</f>
        <v>0</v>
      </c>
      <c r="S587" s="11">
        <f t="shared" si="59"/>
        <v>0</v>
      </c>
      <c r="T587" s="11" cm="1">
        <f t="array" ref="T587">SUM(E587+O587:Q587)</f>
        <v>173874</v>
      </c>
    </row>
    <row r="588" spans="1:20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 xml:space="preserve"> COUNTIF(deals_closed!D:D,A588)</f>
        <v>9</v>
      </c>
      <c r="G588" s="5">
        <f>SUMIF(deals_closed!D:D, calculations!A588, deals_closed!C:C)</f>
        <v>283269</v>
      </c>
      <c r="H588" s="5">
        <f>VLOOKUP(D588,'2018_commission_structure'!$A$2:$I$4,9,FALSE)</f>
        <v>500000</v>
      </c>
      <c r="I588" s="9">
        <f t="shared" si="54"/>
        <v>625000</v>
      </c>
      <c r="J588" s="8">
        <f t="shared" si="55"/>
        <v>750000</v>
      </c>
      <c r="K588" s="9">
        <f t="shared" si="56"/>
        <v>1000000</v>
      </c>
      <c r="L588" s="10">
        <f t="shared" si="57"/>
        <v>0.56653799999999999</v>
      </c>
      <c r="M588" t="str">
        <f t="shared" si="58"/>
        <v>0-100%</v>
      </c>
      <c r="N588" s="9">
        <f>MIN(H588, G588)*INDEX('2018_commission_structure'!$A$1:$I$4,
MATCH($D588, '2018_commission_structure'!$A$1:$A$4,0),
MATCH(N$1, '2018_commission_structure'!$A$1:$I$1,0))</f>
        <v>28326.9</v>
      </c>
      <c r="O588" s="11">
        <f>IF(G588&gt;H588, MIN(G588-H588, I588-H588)*
INDEX('2018_commission_structure'!$A$1:$I$4,
MATCH($D588, '2018_commission_structure'!$A$1:$A$4, 0),
MATCH(O$1, '2018_commission_structure'!$A$1:$I$1, 0)), 0)</f>
        <v>0</v>
      </c>
      <c r="P588" s="11">
        <f>IF(G588&gt;H588, MIN(G588-H588, J588-H588)*
INDEX('2018_commission_structure'!$A$1:$I$4,
MATCH($D588, '2018_commission_structure'!$A$1:$A$4, 0),
MATCH(O$1, '2018_commission_structure'!$A$1:$I$1, 0)), 0)</f>
        <v>0</v>
      </c>
      <c r="Q588" s="11">
        <f>IF(G588&gt;H588, MIN(G588-H588, I588-H588)*
INDEX('2018_commission_structure'!$A$1:$I$4,
MATCH($D588, '2018_commission_structure'!$A$1:$A$4, 0),
MATCH(P$1, '2018_commission_structure'!$A$1:$I$1, 0)), 0)</f>
        <v>0</v>
      </c>
      <c r="R588" s="11">
        <f>IF(G588&gt;K588, (G588-K588) *
INDEX('2018_commission_structure'!$A$1:$I$4,
MATCH($D588, '2018_commission_structure'!$A$1:$A$4,0),
MATCH(R$1, '2018_commission_structure'!$A$1:$I$1,0)), 0)</f>
        <v>0</v>
      </c>
      <c r="S588" s="11">
        <f t="shared" si="59"/>
        <v>0</v>
      </c>
      <c r="T588" s="11" cm="1">
        <f t="array" ref="T588">SUM(E588+O588:Q588)</f>
        <v>126189</v>
      </c>
    </row>
    <row r="589" spans="1:20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 xml:space="preserve"> COUNTIF(deals_closed!D:D,A589)</f>
        <v>21</v>
      </c>
      <c r="G589" s="5">
        <f>SUMIF(deals_closed!D:D, calculations!A589, deals_closed!C:C)</f>
        <v>721970</v>
      </c>
      <c r="H589" s="5">
        <f>VLOOKUP(D589,'2018_commission_structure'!$A$2:$I$4,9,FALSE)</f>
        <v>600000</v>
      </c>
      <c r="I589" s="9">
        <f t="shared" si="54"/>
        <v>750000</v>
      </c>
      <c r="J589" s="8">
        <f t="shared" si="55"/>
        <v>900000</v>
      </c>
      <c r="K589" s="9">
        <f t="shared" si="56"/>
        <v>1200000</v>
      </c>
      <c r="L589" s="10">
        <f t="shared" si="57"/>
        <v>1.2032833333333333</v>
      </c>
      <c r="M589" t="str">
        <f t="shared" si="58"/>
        <v>100-125%</v>
      </c>
      <c r="N589" s="9">
        <f>MIN(H589, G589)*INDEX('2018_commission_structure'!$A$1:$I$4,
MATCH($D589, '2018_commission_structure'!$A$1:$A$4,0),
MATCH(N$1, '2018_commission_structure'!$A$1:$I$1,0))</f>
        <v>78000</v>
      </c>
      <c r="O589" s="11">
        <f>IF(G589&gt;H589, MIN(G589-H589, I589-H589)*
INDEX('2018_commission_structure'!$A$1:$I$4,
MATCH($D589, '2018_commission_structure'!$A$1:$A$4, 0),
MATCH(O$1, '2018_commission_structure'!$A$1:$I$1, 0)), 0)</f>
        <v>20734.900000000001</v>
      </c>
      <c r="P589" s="11">
        <f>IF(G589&gt;H589, MIN(G589-H589, J589-H589)*
INDEX('2018_commission_structure'!$A$1:$I$4,
MATCH($D589, '2018_commission_structure'!$A$1:$A$4, 0),
MATCH(O$1, '2018_commission_structure'!$A$1:$I$1, 0)), 0)</f>
        <v>20734.900000000001</v>
      </c>
      <c r="Q589" s="11">
        <f>IF(G589&gt;H589, MIN(G589-H589, I589-H589)*
INDEX('2018_commission_structure'!$A$1:$I$4,
MATCH($D589, '2018_commission_structure'!$A$1:$A$4, 0),
MATCH(P$1, '2018_commission_structure'!$A$1:$I$1, 0)), 0)</f>
        <v>25613.7</v>
      </c>
      <c r="R589" s="11">
        <f>IF(G589&gt;K589, (G589-K589) *
INDEX('2018_commission_structure'!$A$1:$I$4,
MATCH($D589, '2018_commission_structure'!$A$1:$A$4,0),
MATCH(R$1, '2018_commission_structure'!$A$1:$I$1,0)), 0)</f>
        <v>0</v>
      </c>
      <c r="S589" s="11">
        <f t="shared" si="59"/>
        <v>67083.5</v>
      </c>
      <c r="T589" s="11" cm="1">
        <f t="array" ref="T589">SUM(E589+O589:Q589)</f>
        <v>263847.5</v>
      </c>
    </row>
    <row r="590" spans="1:20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 xml:space="preserve"> COUNTIF(deals_closed!D:D,A590)</f>
        <v>22</v>
      </c>
      <c r="G590" s="5">
        <f>SUMIF(deals_closed!D:D, calculations!A590, deals_closed!C:C)</f>
        <v>796327</v>
      </c>
      <c r="H590" s="5">
        <f>VLOOKUP(D590,'2018_commission_structure'!$A$2:$I$4,9,FALSE)</f>
        <v>750000</v>
      </c>
      <c r="I590" s="9">
        <f t="shared" si="54"/>
        <v>937500</v>
      </c>
      <c r="J590" s="8">
        <f t="shared" si="55"/>
        <v>1125000</v>
      </c>
      <c r="K590" s="9">
        <f t="shared" si="56"/>
        <v>1500000</v>
      </c>
      <c r="L590" s="10">
        <f t="shared" si="57"/>
        <v>1.0617693333333333</v>
      </c>
      <c r="M590" t="str">
        <f t="shared" si="58"/>
        <v>100-125%</v>
      </c>
      <c r="N590" s="9">
        <f>MIN(H590, G590)*INDEX('2018_commission_structure'!$A$1:$I$4,
MATCH($D590, '2018_commission_structure'!$A$1:$A$4,0),
MATCH(N$1, '2018_commission_structure'!$A$1:$I$1,0))</f>
        <v>112500</v>
      </c>
      <c r="O590" s="11">
        <f>IF(G590&gt;H590, MIN(G590-H590, I590-H590)*
INDEX('2018_commission_structure'!$A$1:$I$4,
MATCH($D590, '2018_commission_structure'!$A$1:$A$4, 0),
MATCH(O$1, '2018_commission_structure'!$A$1:$I$1, 0)), 0)</f>
        <v>8802.1299999999992</v>
      </c>
      <c r="P590" s="11">
        <f>IF(G590&gt;H590, MIN(G590-H590, J590-H590)*
INDEX('2018_commission_structure'!$A$1:$I$4,
MATCH($D590, '2018_commission_structure'!$A$1:$A$4, 0),
MATCH(O$1, '2018_commission_structure'!$A$1:$I$1, 0)), 0)</f>
        <v>8802.1299999999992</v>
      </c>
      <c r="Q590" s="11">
        <f>IF(G590&gt;H590, MIN(G590-H590, I590-H590)*
INDEX('2018_commission_structure'!$A$1:$I$4,
MATCH($D590, '2018_commission_structure'!$A$1:$A$4, 0),
MATCH(P$1, '2018_commission_structure'!$A$1:$I$1, 0)), 0)</f>
        <v>10655.210000000001</v>
      </c>
      <c r="R590" s="11">
        <f>IF(G590&gt;K590, (G590-K590) *
INDEX('2018_commission_structure'!$A$1:$I$4,
MATCH($D590, '2018_commission_structure'!$A$1:$A$4,0),
MATCH(R$1, '2018_commission_structure'!$A$1:$I$1,0)), 0)</f>
        <v>0</v>
      </c>
      <c r="S590" s="11">
        <f t="shared" si="59"/>
        <v>28259.47</v>
      </c>
      <c r="T590" s="11" cm="1">
        <f t="array" ref="T590">SUM(E590+O590:Q590)</f>
        <v>362906.47000000003</v>
      </c>
    </row>
    <row r="591" spans="1:20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 xml:space="preserve"> COUNTIF(deals_closed!D:D,A591)</f>
        <v>25</v>
      </c>
      <c r="G591" s="5">
        <f>SUMIF(deals_closed!D:D, calculations!A591, deals_closed!C:C)</f>
        <v>880318</v>
      </c>
      <c r="H591" s="5">
        <f>VLOOKUP(D591,'2018_commission_structure'!$A$2:$I$4,9,FALSE)</f>
        <v>750000</v>
      </c>
      <c r="I591" s="9">
        <f t="shared" si="54"/>
        <v>937500</v>
      </c>
      <c r="J591" s="8">
        <f t="shared" si="55"/>
        <v>1125000</v>
      </c>
      <c r="K591" s="9">
        <f t="shared" si="56"/>
        <v>1500000</v>
      </c>
      <c r="L591" s="10">
        <f t="shared" si="57"/>
        <v>1.1737573333333333</v>
      </c>
      <c r="M591" t="str">
        <f t="shared" si="58"/>
        <v>100-125%</v>
      </c>
      <c r="N591" s="9">
        <f>MIN(H591, G591)*INDEX('2018_commission_structure'!$A$1:$I$4,
MATCH($D591, '2018_commission_structure'!$A$1:$A$4,0),
MATCH(N$1, '2018_commission_structure'!$A$1:$I$1,0))</f>
        <v>112500</v>
      </c>
      <c r="O591" s="11">
        <f>IF(G591&gt;H591, MIN(G591-H591, I591-H591)*
INDEX('2018_commission_structure'!$A$1:$I$4,
MATCH($D591, '2018_commission_structure'!$A$1:$A$4, 0),
MATCH(O$1, '2018_commission_structure'!$A$1:$I$1, 0)), 0)</f>
        <v>24760.420000000002</v>
      </c>
      <c r="P591" s="11">
        <f>IF(G591&gt;H591, MIN(G591-H591, J591-H591)*
INDEX('2018_commission_structure'!$A$1:$I$4,
MATCH($D591, '2018_commission_structure'!$A$1:$A$4, 0),
MATCH(O$1, '2018_commission_structure'!$A$1:$I$1, 0)), 0)</f>
        <v>24760.420000000002</v>
      </c>
      <c r="Q591" s="11">
        <f>IF(G591&gt;H591, MIN(G591-H591, I591-H591)*
INDEX('2018_commission_structure'!$A$1:$I$4,
MATCH($D591, '2018_commission_structure'!$A$1:$A$4, 0),
MATCH(P$1, '2018_commission_structure'!$A$1:$I$1, 0)), 0)</f>
        <v>29973.140000000003</v>
      </c>
      <c r="R591" s="11">
        <f>IF(G591&gt;K591, (G591-K591) *
INDEX('2018_commission_structure'!$A$1:$I$4,
MATCH($D591, '2018_commission_structure'!$A$1:$A$4,0),
MATCH(R$1, '2018_commission_structure'!$A$1:$I$1,0)), 0)</f>
        <v>0</v>
      </c>
      <c r="S591" s="11">
        <f t="shared" si="59"/>
        <v>79493.98000000001</v>
      </c>
      <c r="T591" s="11" cm="1">
        <f t="array" ref="T591">SUM(E591+O591:Q591)</f>
        <v>443753.98000000004</v>
      </c>
    </row>
    <row r="592" spans="1:20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 xml:space="preserve"> COUNTIF(deals_closed!D:D,A592)</f>
        <v>27</v>
      </c>
      <c r="G592" s="5">
        <f>SUMIF(deals_closed!D:D, calculations!A592, deals_closed!C:C)</f>
        <v>939740</v>
      </c>
      <c r="H592" s="5">
        <f>VLOOKUP(D592,'2018_commission_structure'!$A$2:$I$4,9,FALSE)</f>
        <v>500000</v>
      </c>
      <c r="I592" s="9">
        <f t="shared" si="54"/>
        <v>625000</v>
      </c>
      <c r="J592" s="8">
        <f t="shared" si="55"/>
        <v>750000</v>
      </c>
      <c r="K592" s="9">
        <f t="shared" si="56"/>
        <v>1000000</v>
      </c>
      <c r="L592" s="10">
        <f t="shared" si="57"/>
        <v>1.87948</v>
      </c>
      <c r="M592" t="str">
        <f t="shared" si="58"/>
        <v>150-200%</v>
      </c>
      <c r="N592" s="9">
        <f>MIN(H592, G592)*INDEX('2018_commission_structure'!$A$1:$I$4,
MATCH($D592, '2018_commission_structure'!$A$1:$A$4,0),
MATCH(N$1, '2018_commission_structure'!$A$1:$I$1,0))</f>
        <v>50000</v>
      </c>
      <c r="O592" s="11">
        <f>IF(G592&gt;H592, MIN(G592-H592, I592-H592)*
INDEX('2018_commission_structure'!$A$1:$I$4,
MATCH($D592, '2018_commission_structure'!$A$1:$A$4, 0),
MATCH(O$1, '2018_commission_structure'!$A$1:$I$1, 0)), 0)</f>
        <v>18750</v>
      </c>
      <c r="P592" s="11">
        <f>IF(G592&gt;H592, MIN(G592-H592, J592-H592)*
INDEX('2018_commission_structure'!$A$1:$I$4,
MATCH($D592, '2018_commission_structure'!$A$1:$A$4, 0),
MATCH(O$1, '2018_commission_structure'!$A$1:$I$1, 0)), 0)</f>
        <v>37500</v>
      </c>
      <c r="Q592" s="11">
        <f>IF(G592&gt;H592, MIN(G592-H592, I592-H592)*
INDEX('2018_commission_structure'!$A$1:$I$4,
MATCH($D592, '2018_commission_structure'!$A$1:$A$4, 0),
MATCH(P$1, '2018_commission_structure'!$A$1:$I$1, 0)), 0)</f>
        <v>22500</v>
      </c>
      <c r="R592" s="11">
        <f>IF(G592&gt;K592, (G592-K592) *
INDEX('2018_commission_structure'!$A$1:$I$4,
MATCH($D592, '2018_commission_structure'!$A$1:$A$4,0),
MATCH(R$1, '2018_commission_structure'!$A$1:$I$1,0)), 0)</f>
        <v>0</v>
      </c>
      <c r="S592" s="11">
        <f t="shared" si="59"/>
        <v>78750</v>
      </c>
      <c r="T592" s="11" cm="1">
        <f t="array" ref="T592">SUM(E592+O592:Q592)</f>
        <v>263940</v>
      </c>
    </row>
    <row r="593" spans="1:20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 xml:space="preserve"> COUNTIF(deals_closed!D:D,A593)</f>
        <v>22</v>
      </c>
      <c r="G593" s="5">
        <f>SUMIF(deals_closed!D:D, calculations!A593, deals_closed!C:C)</f>
        <v>640400</v>
      </c>
      <c r="H593" s="5">
        <f>VLOOKUP(D593,'2018_commission_structure'!$A$2:$I$4,9,FALSE)</f>
        <v>750000</v>
      </c>
      <c r="I593" s="9">
        <f t="shared" si="54"/>
        <v>937500</v>
      </c>
      <c r="J593" s="8">
        <f t="shared" si="55"/>
        <v>1125000</v>
      </c>
      <c r="K593" s="9">
        <f t="shared" si="56"/>
        <v>1500000</v>
      </c>
      <c r="L593" s="10">
        <f t="shared" si="57"/>
        <v>0.85386666666666666</v>
      </c>
      <c r="M593" t="str">
        <f t="shared" si="58"/>
        <v>0-100%</v>
      </c>
      <c r="N593" s="9">
        <f>MIN(H593, G593)*INDEX('2018_commission_structure'!$A$1:$I$4,
MATCH($D593, '2018_commission_structure'!$A$1:$A$4,0),
MATCH(N$1, '2018_commission_structure'!$A$1:$I$1,0))</f>
        <v>96060</v>
      </c>
      <c r="O593" s="11">
        <f>IF(G593&gt;H593, MIN(G593-H593, I593-H593)*
INDEX('2018_commission_structure'!$A$1:$I$4,
MATCH($D593, '2018_commission_structure'!$A$1:$A$4, 0),
MATCH(O$1, '2018_commission_structure'!$A$1:$I$1, 0)), 0)</f>
        <v>0</v>
      </c>
      <c r="P593" s="11">
        <f>IF(G593&gt;H593, MIN(G593-H593, J593-H593)*
INDEX('2018_commission_structure'!$A$1:$I$4,
MATCH($D593, '2018_commission_structure'!$A$1:$A$4, 0),
MATCH(O$1, '2018_commission_structure'!$A$1:$I$1, 0)), 0)</f>
        <v>0</v>
      </c>
      <c r="Q593" s="11">
        <f>IF(G593&gt;H593, MIN(G593-H593, I593-H593)*
INDEX('2018_commission_structure'!$A$1:$I$4,
MATCH($D593, '2018_commission_structure'!$A$1:$A$4, 0),
MATCH(P$1, '2018_commission_structure'!$A$1:$I$1, 0)), 0)</f>
        <v>0</v>
      </c>
      <c r="R593" s="11">
        <f>IF(G593&gt;K593, (G593-K593) *
INDEX('2018_commission_structure'!$A$1:$I$4,
MATCH($D593, '2018_commission_structure'!$A$1:$A$4,0),
MATCH(R$1, '2018_commission_structure'!$A$1:$I$1,0)), 0)</f>
        <v>0</v>
      </c>
      <c r="S593" s="11">
        <f t="shared" si="59"/>
        <v>0</v>
      </c>
      <c r="T593" s="11" cm="1">
        <f t="array" ref="T593">SUM(E593+O593:Q593)</f>
        <v>355338</v>
      </c>
    </row>
    <row r="594" spans="1:20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 xml:space="preserve"> COUNTIF(deals_closed!D:D,A594)</f>
        <v>21</v>
      </c>
      <c r="G594" s="5">
        <f>SUMIF(deals_closed!D:D, calculations!A594, deals_closed!C:C)</f>
        <v>745518</v>
      </c>
      <c r="H594" s="5">
        <f>VLOOKUP(D594,'2018_commission_structure'!$A$2:$I$4,9,FALSE)</f>
        <v>750000</v>
      </c>
      <c r="I594" s="9">
        <f t="shared" si="54"/>
        <v>937500</v>
      </c>
      <c r="J594" s="8">
        <f t="shared" si="55"/>
        <v>1125000</v>
      </c>
      <c r="K594" s="9">
        <f t="shared" si="56"/>
        <v>1500000</v>
      </c>
      <c r="L594" s="10">
        <f t="shared" si="57"/>
        <v>0.99402400000000002</v>
      </c>
      <c r="M594" t="str">
        <f t="shared" si="58"/>
        <v>0-100%</v>
      </c>
      <c r="N594" s="9">
        <f>MIN(H594, G594)*INDEX('2018_commission_structure'!$A$1:$I$4,
MATCH($D594, '2018_commission_structure'!$A$1:$A$4,0),
MATCH(N$1, '2018_commission_structure'!$A$1:$I$1,0))</f>
        <v>111827.7</v>
      </c>
      <c r="O594" s="11">
        <f>IF(G594&gt;H594, MIN(G594-H594, I594-H594)*
INDEX('2018_commission_structure'!$A$1:$I$4,
MATCH($D594, '2018_commission_structure'!$A$1:$A$4, 0),
MATCH(O$1, '2018_commission_structure'!$A$1:$I$1, 0)), 0)</f>
        <v>0</v>
      </c>
      <c r="P594" s="11">
        <f>IF(G594&gt;H594, MIN(G594-H594, J594-H594)*
INDEX('2018_commission_structure'!$A$1:$I$4,
MATCH($D594, '2018_commission_structure'!$A$1:$A$4, 0),
MATCH(O$1, '2018_commission_structure'!$A$1:$I$1, 0)), 0)</f>
        <v>0</v>
      </c>
      <c r="Q594" s="11">
        <f>IF(G594&gt;H594, MIN(G594-H594, I594-H594)*
INDEX('2018_commission_structure'!$A$1:$I$4,
MATCH($D594, '2018_commission_structure'!$A$1:$A$4, 0),
MATCH(P$1, '2018_commission_structure'!$A$1:$I$1, 0)), 0)</f>
        <v>0</v>
      </c>
      <c r="R594" s="11">
        <f>IF(G594&gt;K594, (G594-K594) *
INDEX('2018_commission_structure'!$A$1:$I$4,
MATCH($D594, '2018_commission_structure'!$A$1:$A$4,0),
MATCH(R$1, '2018_commission_structure'!$A$1:$I$1,0)), 0)</f>
        <v>0</v>
      </c>
      <c r="S594" s="11">
        <f t="shared" si="59"/>
        <v>0</v>
      </c>
      <c r="T594" s="11" cm="1">
        <f t="array" ref="T594">SUM(E594+O594:Q594)</f>
        <v>325335</v>
      </c>
    </row>
    <row r="595" spans="1:20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 xml:space="preserve"> COUNTIF(deals_closed!D:D,A595)</f>
        <v>19</v>
      </c>
      <c r="G595" s="5">
        <f>SUMIF(deals_closed!D:D, calculations!A595, deals_closed!C:C)</f>
        <v>694245</v>
      </c>
      <c r="H595" s="5">
        <f>VLOOKUP(D595,'2018_commission_structure'!$A$2:$I$4,9,FALSE)</f>
        <v>600000</v>
      </c>
      <c r="I595" s="9">
        <f t="shared" si="54"/>
        <v>750000</v>
      </c>
      <c r="J595" s="8">
        <f t="shared" si="55"/>
        <v>900000</v>
      </c>
      <c r="K595" s="9">
        <f t="shared" si="56"/>
        <v>1200000</v>
      </c>
      <c r="L595" s="10">
        <f t="shared" si="57"/>
        <v>1.1570750000000001</v>
      </c>
      <c r="M595" t="str">
        <f t="shared" si="58"/>
        <v>100-125%</v>
      </c>
      <c r="N595" s="9">
        <f>MIN(H595, G595)*INDEX('2018_commission_structure'!$A$1:$I$4,
MATCH($D595, '2018_commission_structure'!$A$1:$A$4,0),
MATCH(N$1, '2018_commission_structure'!$A$1:$I$1,0))</f>
        <v>78000</v>
      </c>
      <c r="O595" s="11">
        <f>IF(G595&gt;H595, MIN(G595-H595, I595-H595)*
INDEX('2018_commission_structure'!$A$1:$I$4,
MATCH($D595, '2018_commission_structure'!$A$1:$A$4, 0),
MATCH(O$1, '2018_commission_structure'!$A$1:$I$1, 0)), 0)</f>
        <v>16021.650000000001</v>
      </c>
      <c r="P595" s="11">
        <f>IF(G595&gt;H595, MIN(G595-H595, J595-H595)*
INDEX('2018_commission_structure'!$A$1:$I$4,
MATCH($D595, '2018_commission_structure'!$A$1:$A$4, 0),
MATCH(O$1, '2018_commission_structure'!$A$1:$I$1, 0)), 0)</f>
        <v>16021.650000000001</v>
      </c>
      <c r="Q595" s="11">
        <f>IF(G595&gt;H595, MIN(G595-H595, I595-H595)*
INDEX('2018_commission_structure'!$A$1:$I$4,
MATCH($D595, '2018_commission_structure'!$A$1:$A$4, 0),
MATCH(P$1, '2018_commission_structure'!$A$1:$I$1, 0)), 0)</f>
        <v>19791.45</v>
      </c>
      <c r="R595" s="11">
        <f>IF(G595&gt;K595, (G595-K595) *
INDEX('2018_commission_structure'!$A$1:$I$4,
MATCH($D595, '2018_commission_structure'!$A$1:$A$4,0),
MATCH(R$1, '2018_commission_structure'!$A$1:$I$1,0)), 0)</f>
        <v>0</v>
      </c>
      <c r="S595" s="11">
        <f t="shared" si="59"/>
        <v>51834.75</v>
      </c>
      <c r="T595" s="11" cm="1">
        <f t="array" ref="T595">SUM(E595+O595:Q595)</f>
        <v>291108.75</v>
      </c>
    </row>
    <row r="596" spans="1:20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 xml:space="preserve"> COUNTIF(deals_closed!D:D,A596)</f>
        <v>21</v>
      </c>
      <c r="G596" s="5">
        <f>SUMIF(deals_closed!D:D, calculations!A596, deals_closed!C:C)</f>
        <v>760550</v>
      </c>
      <c r="H596" s="5">
        <f>VLOOKUP(D596,'2018_commission_structure'!$A$2:$I$4,9,FALSE)</f>
        <v>600000</v>
      </c>
      <c r="I596" s="9">
        <f t="shared" si="54"/>
        <v>750000</v>
      </c>
      <c r="J596" s="8">
        <f t="shared" si="55"/>
        <v>900000</v>
      </c>
      <c r="K596" s="9">
        <f t="shared" si="56"/>
        <v>1200000</v>
      </c>
      <c r="L596" s="10">
        <f t="shared" si="57"/>
        <v>1.2675833333333333</v>
      </c>
      <c r="M596" t="str">
        <f t="shared" si="58"/>
        <v>125-150%</v>
      </c>
      <c r="N596" s="9">
        <f>MIN(H596, G596)*INDEX('2018_commission_structure'!$A$1:$I$4,
MATCH($D596, '2018_commission_structure'!$A$1:$A$4,0),
MATCH(N$1, '2018_commission_structure'!$A$1:$I$1,0))</f>
        <v>78000</v>
      </c>
      <c r="O596" s="11">
        <f>IF(G596&gt;H596, MIN(G596-H596, I596-H596)*
INDEX('2018_commission_structure'!$A$1:$I$4,
MATCH($D596, '2018_commission_structure'!$A$1:$A$4, 0),
MATCH(O$1, '2018_commission_structure'!$A$1:$I$1, 0)), 0)</f>
        <v>25500.000000000004</v>
      </c>
      <c r="P596" s="11">
        <f>IF(G596&gt;H596, MIN(G596-H596, J596-H596)*
INDEX('2018_commission_structure'!$A$1:$I$4,
MATCH($D596, '2018_commission_structure'!$A$1:$A$4, 0),
MATCH(O$1, '2018_commission_structure'!$A$1:$I$1, 0)), 0)</f>
        <v>27293.500000000004</v>
      </c>
      <c r="Q596" s="11">
        <f>IF(G596&gt;H596, MIN(G596-H596, I596-H596)*
INDEX('2018_commission_structure'!$A$1:$I$4,
MATCH($D596, '2018_commission_structure'!$A$1:$A$4, 0),
MATCH(P$1, '2018_commission_structure'!$A$1:$I$1, 0)), 0)</f>
        <v>31500</v>
      </c>
      <c r="R596" s="11">
        <f>IF(G596&gt;K596, (G596-K596) *
INDEX('2018_commission_structure'!$A$1:$I$4,
MATCH($D596, '2018_commission_structure'!$A$1:$A$4,0),
MATCH(R$1, '2018_commission_structure'!$A$1:$I$1,0)), 0)</f>
        <v>0</v>
      </c>
      <c r="S596" s="11">
        <f t="shared" si="59"/>
        <v>84293.5</v>
      </c>
      <c r="T596" s="11" cm="1">
        <f t="array" ref="T596">SUM(E596+O596:Q596)</f>
        <v>324242.5</v>
      </c>
    </row>
    <row r="597" spans="1:20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 xml:space="preserve"> COUNTIF(deals_closed!D:D,A597)</f>
        <v>16</v>
      </c>
      <c r="G597" s="5">
        <f>SUMIF(deals_closed!D:D, calculations!A597, deals_closed!C:C)</f>
        <v>542971</v>
      </c>
      <c r="H597" s="5">
        <f>VLOOKUP(D597,'2018_commission_structure'!$A$2:$I$4,9,FALSE)</f>
        <v>500000</v>
      </c>
      <c r="I597" s="9">
        <f t="shared" si="54"/>
        <v>625000</v>
      </c>
      <c r="J597" s="8">
        <f t="shared" si="55"/>
        <v>750000</v>
      </c>
      <c r="K597" s="9">
        <f t="shared" si="56"/>
        <v>1000000</v>
      </c>
      <c r="L597" s="10">
        <f t="shared" si="57"/>
        <v>1.085942</v>
      </c>
      <c r="M597" t="str">
        <f t="shared" si="58"/>
        <v>100-125%</v>
      </c>
      <c r="N597" s="9">
        <f>MIN(H597, G597)*INDEX('2018_commission_structure'!$A$1:$I$4,
MATCH($D597, '2018_commission_structure'!$A$1:$A$4,0),
MATCH(N$1, '2018_commission_structure'!$A$1:$I$1,0))</f>
        <v>50000</v>
      </c>
      <c r="O597" s="11">
        <f>IF(G597&gt;H597, MIN(G597-H597, I597-H597)*
INDEX('2018_commission_structure'!$A$1:$I$4,
MATCH($D597, '2018_commission_structure'!$A$1:$A$4, 0),
MATCH(O$1, '2018_commission_structure'!$A$1:$I$1, 0)), 0)</f>
        <v>6445.65</v>
      </c>
      <c r="P597" s="11">
        <f>IF(G597&gt;H597, MIN(G597-H597, J597-H597)*
INDEX('2018_commission_structure'!$A$1:$I$4,
MATCH($D597, '2018_commission_structure'!$A$1:$A$4, 0),
MATCH(O$1, '2018_commission_structure'!$A$1:$I$1, 0)), 0)</f>
        <v>6445.65</v>
      </c>
      <c r="Q597" s="11">
        <f>IF(G597&gt;H597, MIN(G597-H597, I597-H597)*
INDEX('2018_commission_structure'!$A$1:$I$4,
MATCH($D597, '2018_commission_structure'!$A$1:$A$4, 0),
MATCH(P$1, '2018_commission_structure'!$A$1:$I$1, 0)), 0)</f>
        <v>7734.78</v>
      </c>
      <c r="R597" s="11">
        <f>IF(G597&gt;K597, (G597-K597) *
INDEX('2018_commission_structure'!$A$1:$I$4,
MATCH($D597, '2018_commission_structure'!$A$1:$A$4,0),
MATCH(R$1, '2018_commission_structure'!$A$1:$I$1,0)), 0)</f>
        <v>0</v>
      </c>
      <c r="S597" s="11">
        <f t="shared" si="59"/>
        <v>20626.079999999998</v>
      </c>
      <c r="T597" s="11" cm="1">
        <f t="array" ref="T597">SUM(E597+O597:Q597)</f>
        <v>152476.08000000002</v>
      </c>
    </row>
    <row r="598" spans="1:20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 xml:space="preserve"> COUNTIF(deals_closed!D:D,A598)</f>
        <v>26</v>
      </c>
      <c r="G598" s="5">
        <f>SUMIF(deals_closed!D:D, calculations!A598, deals_closed!C:C)</f>
        <v>961682</v>
      </c>
      <c r="H598" s="5">
        <f>VLOOKUP(D598,'2018_commission_structure'!$A$2:$I$4,9,FALSE)</f>
        <v>750000</v>
      </c>
      <c r="I598" s="9">
        <f t="shared" si="54"/>
        <v>937500</v>
      </c>
      <c r="J598" s="8">
        <f t="shared" si="55"/>
        <v>1125000</v>
      </c>
      <c r="K598" s="9">
        <f t="shared" si="56"/>
        <v>1500000</v>
      </c>
      <c r="L598" s="10">
        <f t="shared" si="57"/>
        <v>1.2822426666666666</v>
      </c>
      <c r="M598" t="str">
        <f t="shared" si="58"/>
        <v>125-150%</v>
      </c>
      <c r="N598" s="9">
        <f>MIN(H598, G598)*INDEX('2018_commission_structure'!$A$1:$I$4,
MATCH($D598, '2018_commission_structure'!$A$1:$A$4,0),
MATCH(N$1, '2018_commission_structure'!$A$1:$I$1,0))</f>
        <v>112500</v>
      </c>
      <c r="O598" s="11">
        <f>IF(G598&gt;H598, MIN(G598-H598, I598-H598)*
INDEX('2018_commission_structure'!$A$1:$I$4,
MATCH($D598, '2018_commission_structure'!$A$1:$A$4, 0),
MATCH(O$1, '2018_commission_structure'!$A$1:$I$1, 0)), 0)</f>
        <v>35625</v>
      </c>
      <c r="P598" s="11">
        <f>IF(G598&gt;H598, MIN(G598-H598, J598-H598)*
INDEX('2018_commission_structure'!$A$1:$I$4,
MATCH($D598, '2018_commission_structure'!$A$1:$A$4, 0),
MATCH(O$1, '2018_commission_structure'!$A$1:$I$1, 0)), 0)</f>
        <v>40219.58</v>
      </c>
      <c r="Q598" s="11">
        <f>IF(G598&gt;H598, MIN(G598-H598, I598-H598)*
INDEX('2018_commission_structure'!$A$1:$I$4,
MATCH($D598, '2018_commission_structure'!$A$1:$A$4, 0),
MATCH(P$1, '2018_commission_structure'!$A$1:$I$1, 0)), 0)</f>
        <v>43125</v>
      </c>
      <c r="R598" s="11">
        <f>IF(G598&gt;K598, (G598-K598) *
INDEX('2018_commission_structure'!$A$1:$I$4,
MATCH($D598, '2018_commission_structure'!$A$1:$A$4,0),
MATCH(R$1, '2018_commission_structure'!$A$1:$I$1,0)), 0)</f>
        <v>0</v>
      </c>
      <c r="S598" s="11">
        <f t="shared" si="59"/>
        <v>118969.58</v>
      </c>
      <c r="T598" s="11" cm="1">
        <f t="array" ref="T598">SUM(E598+O598:Q598)</f>
        <v>464923.58</v>
      </c>
    </row>
    <row r="599" spans="1:20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 xml:space="preserve"> COUNTIF(deals_closed!D:D,A599)</f>
        <v>24</v>
      </c>
      <c r="G599" s="5">
        <f>SUMIF(deals_closed!D:D, calculations!A599, deals_closed!C:C)</f>
        <v>861253</v>
      </c>
      <c r="H599" s="5">
        <f>VLOOKUP(D599,'2018_commission_structure'!$A$2:$I$4,9,FALSE)</f>
        <v>750000</v>
      </c>
      <c r="I599" s="9">
        <f t="shared" si="54"/>
        <v>937500</v>
      </c>
      <c r="J599" s="8">
        <f t="shared" si="55"/>
        <v>1125000</v>
      </c>
      <c r="K599" s="9">
        <f t="shared" si="56"/>
        <v>1500000</v>
      </c>
      <c r="L599" s="10">
        <f t="shared" si="57"/>
        <v>1.1483373333333333</v>
      </c>
      <c r="M599" t="str">
        <f t="shared" si="58"/>
        <v>100-125%</v>
      </c>
      <c r="N599" s="9">
        <f>MIN(H599, G599)*INDEX('2018_commission_structure'!$A$1:$I$4,
MATCH($D599, '2018_commission_structure'!$A$1:$A$4,0),
MATCH(N$1, '2018_commission_structure'!$A$1:$I$1,0))</f>
        <v>112500</v>
      </c>
      <c r="O599" s="11">
        <f>IF(G599&gt;H599, MIN(G599-H599, I599-H599)*
INDEX('2018_commission_structure'!$A$1:$I$4,
MATCH($D599, '2018_commission_structure'!$A$1:$A$4, 0),
MATCH(O$1, '2018_commission_structure'!$A$1:$I$1, 0)), 0)</f>
        <v>21138.07</v>
      </c>
      <c r="P599" s="11">
        <f>IF(G599&gt;H599, MIN(G599-H599, J599-H599)*
INDEX('2018_commission_structure'!$A$1:$I$4,
MATCH($D599, '2018_commission_structure'!$A$1:$A$4, 0),
MATCH(O$1, '2018_commission_structure'!$A$1:$I$1, 0)), 0)</f>
        <v>21138.07</v>
      </c>
      <c r="Q599" s="11">
        <f>IF(G599&gt;H599, MIN(G599-H599, I599-H599)*
INDEX('2018_commission_structure'!$A$1:$I$4,
MATCH($D599, '2018_commission_structure'!$A$1:$A$4, 0),
MATCH(P$1, '2018_commission_structure'!$A$1:$I$1, 0)), 0)</f>
        <v>25588.190000000002</v>
      </c>
      <c r="R599" s="11">
        <f>IF(G599&gt;K599, (G599-K599) *
INDEX('2018_commission_structure'!$A$1:$I$4,
MATCH($D599, '2018_commission_structure'!$A$1:$A$4,0),
MATCH(R$1, '2018_commission_structure'!$A$1:$I$1,0)), 0)</f>
        <v>0</v>
      </c>
      <c r="S599" s="11">
        <f t="shared" si="59"/>
        <v>67864.33</v>
      </c>
      <c r="T599" s="11" cm="1">
        <f t="array" ref="T599">SUM(E599+O599:Q599)</f>
        <v>404275.33</v>
      </c>
    </row>
    <row r="600" spans="1:20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 xml:space="preserve"> COUNTIF(deals_closed!D:D,A600)</f>
        <v>18</v>
      </c>
      <c r="G600" s="5">
        <f>SUMIF(deals_closed!D:D, calculations!A600, deals_closed!C:C)</f>
        <v>589906</v>
      </c>
      <c r="H600" s="5">
        <f>VLOOKUP(D600,'2018_commission_structure'!$A$2:$I$4,9,FALSE)</f>
        <v>500000</v>
      </c>
      <c r="I600" s="9">
        <f t="shared" si="54"/>
        <v>625000</v>
      </c>
      <c r="J600" s="8">
        <f t="shared" si="55"/>
        <v>750000</v>
      </c>
      <c r="K600" s="9">
        <f t="shared" si="56"/>
        <v>1000000</v>
      </c>
      <c r="L600" s="10">
        <f t="shared" si="57"/>
        <v>1.1798120000000001</v>
      </c>
      <c r="M600" t="str">
        <f t="shared" si="58"/>
        <v>100-125%</v>
      </c>
      <c r="N600" s="9">
        <f>MIN(H600, G600)*INDEX('2018_commission_structure'!$A$1:$I$4,
MATCH($D600, '2018_commission_structure'!$A$1:$A$4,0),
MATCH(N$1, '2018_commission_structure'!$A$1:$I$1,0))</f>
        <v>50000</v>
      </c>
      <c r="O600" s="11">
        <f>IF(G600&gt;H600, MIN(G600-H600, I600-H600)*
INDEX('2018_commission_structure'!$A$1:$I$4,
MATCH($D600, '2018_commission_structure'!$A$1:$A$4, 0),
MATCH(O$1, '2018_commission_structure'!$A$1:$I$1, 0)), 0)</f>
        <v>13485.9</v>
      </c>
      <c r="P600" s="11">
        <f>IF(G600&gt;H600, MIN(G600-H600, J600-H600)*
INDEX('2018_commission_structure'!$A$1:$I$4,
MATCH($D600, '2018_commission_structure'!$A$1:$A$4, 0),
MATCH(O$1, '2018_commission_structure'!$A$1:$I$1, 0)), 0)</f>
        <v>13485.9</v>
      </c>
      <c r="Q600" s="11">
        <f>IF(G600&gt;H600, MIN(G600-H600, I600-H600)*
INDEX('2018_commission_structure'!$A$1:$I$4,
MATCH($D600, '2018_commission_structure'!$A$1:$A$4, 0),
MATCH(P$1, '2018_commission_structure'!$A$1:$I$1, 0)), 0)</f>
        <v>16183.08</v>
      </c>
      <c r="R600" s="11">
        <f>IF(G600&gt;K600, (G600-K600) *
INDEX('2018_commission_structure'!$A$1:$I$4,
MATCH($D600, '2018_commission_structure'!$A$1:$A$4,0),
MATCH(R$1, '2018_commission_structure'!$A$1:$I$1,0)), 0)</f>
        <v>0</v>
      </c>
      <c r="S600" s="11">
        <f t="shared" si="59"/>
        <v>43154.879999999997</v>
      </c>
      <c r="T600" s="11" cm="1">
        <f t="array" ref="T600">SUM(E600+O600:Q600)</f>
        <v>159257.88</v>
      </c>
    </row>
    <row r="601" spans="1:20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 xml:space="preserve"> COUNTIF(deals_closed!D:D,A601)</f>
        <v>25</v>
      </c>
      <c r="G601" s="5">
        <f>SUMIF(deals_closed!D:D, calculations!A601, deals_closed!C:C)</f>
        <v>833615</v>
      </c>
      <c r="H601" s="5">
        <f>VLOOKUP(D601,'2018_commission_structure'!$A$2:$I$4,9,FALSE)</f>
        <v>750000</v>
      </c>
      <c r="I601" s="9">
        <f t="shared" si="54"/>
        <v>937500</v>
      </c>
      <c r="J601" s="8">
        <f t="shared" si="55"/>
        <v>1125000</v>
      </c>
      <c r="K601" s="9">
        <f t="shared" si="56"/>
        <v>1500000</v>
      </c>
      <c r="L601" s="10">
        <f t="shared" si="57"/>
        <v>1.1114866666666667</v>
      </c>
      <c r="M601" t="str">
        <f t="shared" si="58"/>
        <v>100-125%</v>
      </c>
      <c r="N601" s="9">
        <f>MIN(H601, G601)*INDEX('2018_commission_structure'!$A$1:$I$4,
MATCH($D601, '2018_commission_structure'!$A$1:$A$4,0),
MATCH(N$1, '2018_commission_structure'!$A$1:$I$1,0))</f>
        <v>112500</v>
      </c>
      <c r="O601" s="11">
        <f>IF(G601&gt;H601, MIN(G601-H601, I601-H601)*
INDEX('2018_commission_structure'!$A$1:$I$4,
MATCH($D601, '2018_commission_structure'!$A$1:$A$4, 0),
MATCH(O$1, '2018_commission_structure'!$A$1:$I$1, 0)), 0)</f>
        <v>15886.85</v>
      </c>
      <c r="P601" s="11">
        <f>IF(G601&gt;H601, MIN(G601-H601, J601-H601)*
INDEX('2018_commission_structure'!$A$1:$I$4,
MATCH($D601, '2018_commission_structure'!$A$1:$A$4, 0),
MATCH(O$1, '2018_commission_structure'!$A$1:$I$1, 0)), 0)</f>
        <v>15886.85</v>
      </c>
      <c r="Q601" s="11">
        <f>IF(G601&gt;H601, MIN(G601-H601, I601-H601)*
INDEX('2018_commission_structure'!$A$1:$I$4,
MATCH($D601, '2018_commission_structure'!$A$1:$A$4, 0),
MATCH(P$1, '2018_commission_structure'!$A$1:$I$1, 0)), 0)</f>
        <v>19231.45</v>
      </c>
      <c r="R601" s="11">
        <f>IF(G601&gt;K601, (G601-K601) *
INDEX('2018_commission_structure'!$A$1:$I$4,
MATCH($D601, '2018_commission_structure'!$A$1:$A$4,0),
MATCH(R$1, '2018_commission_structure'!$A$1:$I$1,0)), 0)</f>
        <v>0</v>
      </c>
      <c r="S601" s="11">
        <f t="shared" si="59"/>
        <v>51005.15</v>
      </c>
      <c r="T601" s="11" cm="1">
        <f t="array" ref="T601">SUM(E601+O601:Q601)</f>
        <v>417545.15</v>
      </c>
    </row>
    <row r="602" spans="1:20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 xml:space="preserve"> COUNTIF(deals_closed!D:D,A602)</f>
        <v>31</v>
      </c>
      <c r="G602" s="5">
        <f>SUMIF(deals_closed!D:D, calculations!A602, deals_closed!C:C)</f>
        <v>1005303</v>
      </c>
      <c r="H602" s="5">
        <f>VLOOKUP(D602,'2018_commission_structure'!$A$2:$I$4,9,FALSE)</f>
        <v>600000</v>
      </c>
      <c r="I602" s="9">
        <f t="shared" si="54"/>
        <v>750000</v>
      </c>
      <c r="J602" s="8">
        <f t="shared" si="55"/>
        <v>900000</v>
      </c>
      <c r="K602" s="9">
        <f t="shared" si="56"/>
        <v>1200000</v>
      </c>
      <c r="L602" s="10">
        <f t="shared" si="57"/>
        <v>1.675505</v>
      </c>
      <c r="M602" t="str">
        <f t="shared" si="58"/>
        <v>150-200%</v>
      </c>
      <c r="N602" s="9">
        <f>MIN(H602, G602)*INDEX('2018_commission_structure'!$A$1:$I$4,
MATCH($D602, '2018_commission_structure'!$A$1:$A$4,0),
MATCH(N$1, '2018_commission_structure'!$A$1:$I$1,0))</f>
        <v>78000</v>
      </c>
      <c r="O602" s="11">
        <f>IF(G602&gt;H602, MIN(G602-H602, I602-H602)*
INDEX('2018_commission_structure'!$A$1:$I$4,
MATCH($D602, '2018_commission_structure'!$A$1:$A$4, 0),
MATCH(O$1, '2018_commission_structure'!$A$1:$I$1, 0)), 0)</f>
        <v>25500.000000000004</v>
      </c>
      <c r="P602" s="11">
        <f>IF(G602&gt;H602, MIN(G602-H602, J602-H602)*
INDEX('2018_commission_structure'!$A$1:$I$4,
MATCH($D602, '2018_commission_structure'!$A$1:$A$4, 0),
MATCH(O$1, '2018_commission_structure'!$A$1:$I$1, 0)), 0)</f>
        <v>51000.000000000007</v>
      </c>
      <c r="Q602" s="11">
        <f>IF(G602&gt;H602, MIN(G602-H602, I602-H602)*
INDEX('2018_commission_structure'!$A$1:$I$4,
MATCH($D602, '2018_commission_structure'!$A$1:$A$4, 0),
MATCH(P$1, '2018_commission_structure'!$A$1:$I$1, 0)), 0)</f>
        <v>31500</v>
      </c>
      <c r="R602" s="11">
        <f>IF(G602&gt;K602, (G602-K602) *
INDEX('2018_commission_structure'!$A$1:$I$4,
MATCH($D602, '2018_commission_structure'!$A$1:$A$4,0),
MATCH(R$1, '2018_commission_structure'!$A$1:$I$1,0)), 0)</f>
        <v>0</v>
      </c>
      <c r="S602" s="11">
        <f t="shared" si="59"/>
        <v>108000.00000000001</v>
      </c>
      <c r="T602" s="11" cm="1">
        <f t="array" ref="T602">SUM(E602+O602:Q602)</f>
        <v>307101</v>
      </c>
    </row>
    <row r="603" spans="1:20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 xml:space="preserve"> COUNTIF(deals_closed!D:D,A603)</f>
        <v>19</v>
      </c>
      <c r="G603" s="5">
        <f>SUMIF(deals_closed!D:D, calculations!A603, deals_closed!C:C)</f>
        <v>626420</v>
      </c>
      <c r="H603" s="5">
        <f>VLOOKUP(D603,'2018_commission_structure'!$A$2:$I$4,9,FALSE)</f>
        <v>750000</v>
      </c>
      <c r="I603" s="9">
        <f t="shared" si="54"/>
        <v>937500</v>
      </c>
      <c r="J603" s="8">
        <f t="shared" si="55"/>
        <v>1125000</v>
      </c>
      <c r="K603" s="9">
        <f t="shared" si="56"/>
        <v>1500000</v>
      </c>
      <c r="L603" s="10">
        <f t="shared" si="57"/>
        <v>0.83522666666666667</v>
      </c>
      <c r="M603" t="str">
        <f t="shared" si="58"/>
        <v>0-100%</v>
      </c>
      <c r="N603" s="9">
        <f>MIN(H603, G603)*INDEX('2018_commission_structure'!$A$1:$I$4,
MATCH($D603, '2018_commission_structure'!$A$1:$A$4,0),
MATCH(N$1, '2018_commission_structure'!$A$1:$I$1,0))</f>
        <v>93963</v>
      </c>
      <c r="O603" s="11">
        <f>IF(G603&gt;H603, MIN(G603-H603, I603-H603)*
INDEX('2018_commission_structure'!$A$1:$I$4,
MATCH($D603, '2018_commission_structure'!$A$1:$A$4, 0),
MATCH(O$1, '2018_commission_structure'!$A$1:$I$1, 0)), 0)</f>
        <v>0</v>
      </c>
      <c r="P603" s="11">
        <f>IF(G603&gt;H603, MIN(G603-H603, J603-H603)*
INDEX('2018_commission_structure'!$A$1:$I$4,
MATCH($D603, '2018_commission_structure'!$A$1:$A$4, 0),
MATCH(O$1, '2018_commission_structure'!$A$1:$I$1, 0)), 0)</f>
        <v>0</v>
      </c>
      <c r="Q603" s="11">
        <f>IF(G603&gt;H603, MIN(G603-H603, I603-H603)*
INDEX('2018_commission_structure'!$A$1:$I$4,
MATCH($D603, '2018_commission_structure'!$A$1:$A$4, 0),
MATCH(P$1, '2018_commission_structure'!$A$1:$I$1, 0)), 0)</f>
        <v>0</v>
      </c>
      <c r="R603" s="11">
        <f>IF(G603&gt;K603, (G603-K603) *
INDEX('2018_commission_structure'!$A$1:$I$4,
MATCH($D603, '2018_commission_structure'!$A$1:$A$4,0),
MATCH(R$1, '2018_commission_structure'!$A$1:$I$1,0)), 0)</f>
        <v>0</v>
      </c>
      <c r="S603" s="11">
        <f t="shared" si="59"/>
        <v>0</v>
      </c>
      <c r="T603" s="11" cm="1">
        <f t="array" ref="T603">SUM(E603+O603:Q603)</f>
        <v>240135</v>
      </c>
    </row>
    <row r="604" spans="1:20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 xml:space="preserve"> COUNTIF(deals_closed!D:D,A604)</f>
        <v>15</v>
      </c>
      <c r="G604" s="5">
        <f>SUMIF(deals_closed!D:D, calculations!A604, deals_closed!C:C)</f>
        <v>500816</v>
      </c>
      <c r="H604" s="5">
        <f>VLOOKUP(D604,'2018_commission_structure'!$A$2:$I$4,9,FALSE)</f>
        <v>750000</v>
      </c>
      <c r="I604" s="9">
        <f t="shared" si="54"/>
        <v>937500</v>
      </c>
      <c r="J604" s="8">
        <f t="shared" si="55"/>
        <v>1125000</v>
      </c>
      <c r="K604" s="9">
        <f t="shared" si="56"/>
        <v>1500000</v>
      </c>
      <c r="L604" s="10">
        <f t="shared" si="57"/>
        <v>0.66775466666666672</v>
      </c>
      <c r="M604" t="str">
        <f t="shared" si="58"/>
        <v>0-100%</v>
      </c>
      <c r="N604" s="9">
        <f>MIN(H604, G604)*INDEX('2018_commission_structure'!$A$1:$I$4,
MATCH($D604, '2018_commission_structure'!$A$1:$A$4,0),
MATCH(N$1, '2018_commission_structure'!$A$1:$I$1,0))</f>
        <v>75122.399999999994</v>
      </c>
      <c r="O604" s="11">
        <f>IF(G604&gt;H604, MIN(G604-H604, I604-H604)*
INDEX('2018_commission_structure'!$A$1:$I$4,
MATCH($D604, '2018_commission_structure'!$A$1:$A$4, 0),
MATCH(O$1, '2018_commission_structure'!$A$1:$I$1, 0)), 0)</f>
        <v>0</v>
      </c>
      <c r="P604" s="11">
        <f>IF(G604&gt;H604, MIN(G604-H604, J604-H604)*
INDEX('2018_commission_structure'!$A$1:$I$4,
MATCH($D604, '2018_commission_structure'!$A$1:$A$4, 0),
MATCH(O$1, '2018_commission_structure'!$A$1:$I$1, 0)), 0)</f>
        <v>0</v>
      </c>
      <c r="Q604" s="11">
        <f>IF(G604&gt;H604, MIN(G604-H604, I604-H604)*
INDEX('2018_commission_structure'!$A$1:$I$4,
MATCH($D604, '2018_commission_structure'!$A$1:$A$4, 0),
MATCH(P$1, '2018_commission_structure'!$A$1:$I$1, 0)), 0)</f>
        <v>0</v>
      </c>
      <c r="R604" s="11">
        <f>IF(G604&gt;K604, (G604-K604) *
INDEX('2018_commission_structure'!$A$1:$I$4,
MATCH($D604, '2018_commission_structure'!$A$1:$A$4,0),
MATCH(R$1, '2018_commission_structure'!$A$1:$I$1,0)), 0)</f>
        <v>0</v>
      </c>
      <c r="S604" s="11">
        <f t="shared" si="59"/>
        <v>0</v>
      </c>
      <c r="T604" s="11" cm="1">
        <f t="array" ref="T604">SUM(E604+O604:Q604)</f>
        <v>344274</v>
      </c>
    </row>
    <row r="605" spans="1:20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 xml:space="preserve"> COUNTIF(deals_closed!D:D,A605)</f>
        <v>13</v>
      </c>
      <c r="G605" s="5">
        <f>SUMIF(deals_closed!D:D, calculations!A605, deals_closed!C:C)</f>
        <v>416927</v>
      </c>
      <c r="H605" s="5">
        <f>VLOOKUP(D605,'2018_commission_structure'!$A$2:$I$4,9,FALSE)</f>
        <v>500000</v>
      </c>
      <c r="I605" s="9">
        <f t="shared" si="54"/>
        <v>625000</v>
      </c>
      <c r="J605" s="8">
        <f t="shared" si="55"/>
        <v>750000</v>
      </c>
      <c r="K605" s="9">
        <f t="shared" si="56"/>
        <v>1000000</v>
      </c>
      <c r="L605" s="10">
        <f t="shared" si="57"/>
        <v>0.83385399999999998</v>
      </c>
      <c r="M605" t="str">
        <f t="shared" si="58"/>
        <v>0-100%</v>
      </c>
      <c r="N605" s="9">
        <f>MIN(H605, G605)*INDEX('2018_commission_structure'!$A$1:$I$4,
MATCH($D605, '2018_commission_structure'!$A$1:$A$4,0),
MATCH(N$1, '2018_commission_structure'!$A$1:$I$1,0))</f>
        <v>41692.700000000004</v>
      </c>
      <c r="O605" s="11">
        <f>IF(G605&gt;H605, MIN(G605-H605, I605-H605)*
INDEX('2018_commission_structure'!$A$1:$I$4,
MATCH($D605, '2018_commission_structure'!$A$1:$A$4, 0),
MATCH(O$1, '2018_commission_structure'!$A$1:$I$1, 0)), 0)</f>
        <v>0</v>
      </c>
      <c r="P605" s="11">
        <f>IF(G605&gt;H605, MIN(G605-H605, J605-H605)*
INDEX('2018_commission_structure'!$A$1:$I$4,
MATCH($D605, '2018_commission_structure'!$A$1:$A$4, 0),
MATCH(O$1, '2018_commission_structure'!$A$1:$I$1, 0)), 0)</f>
        <v>0</v>
      </c>
      <c r="Q605" s="11">
        <f>IF(G605&gt;H605, MIN(G605-H605, I605-H605)*
INDEX('2018_commission_structure'!$A$1:$I$4,
MATCH($D605, '2018_commission_structure'!$A$1:$A$4, 0),
MATCH(P$1, '2018_commission_structure'!$A$1:$I$1, 0)), 0)</f>
        <v>0</v>
      </c>
      <c r="R605" s="11">
        <f>IF(G605&gt;K605, (G605-K605) *
INDEX('2018_commission_structure'!$A$1:$I$4,
MATCH($D605, '2018_commission_structure'!$A$1:$A$4,0),
MATCH(R$1, '2018_commission_structure'!$A$1:$I$1,0)), 0)</f>
        <v>0</v>
      </c>
      <c r="S605" s="11">
        <f t="shared" si="59"/>
        <v>0</v>
      </c>
      <c r="T605" s="11" cm="1">
        <f t="array" ref="T605">SUM(E605+O605:Q605)</f>
        <v>187722</v>
      </c>
    </row>
    <row r="606" spans="1:20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 xml:space="preserve"> COUNTIF(deals_closed!D:D,A606)</f>
        <v>20</v>
      </c>
      <c r="G606" s="5">
        <f>SUMIF(deals_closed!D:D, calculations!A606, deals_closed!C:C)</f>
        <v>653236</v>
      </c>
      <c r="H606" s="5">
        <f>VLOOKUP(D606,'2018_commission_structure'!$A$2:$I$4,9,FALSE)</f>
        <v>600000</v>
      </c>
      <c r="I606" s="9">
        <f t="shared" si="54"/>
        <v>750000</v>
      </c>
      <c r="J606" s="8">
        <f t="shared" si="55"/>
        <v>900000</v>
      </c>
      <c r="K606" s="9">
        <f t="shared" si="56"/>
        <v>1200000</v>
      </c>
      <c r="L606" s="10">
        <f t="shared" si="57"/>
        <v>1.0887266666666666</v>
      </c>
      <c r="M606" t="str">
        <f t="shared" si="58"/>
        <v>100-125%</v>
      </c>
      <c r="N606" s="9">
        <f>MIN(H606, G606)*INDEX('2018_commission_structure'!$A$1:$I$4,
MATCH($D606, '2018_commission_structure'!$A$1:$A$4,0),
MATCH(N$1, '2018_commission_structure'!$A$1:$I$1,0))</f>
        <v>78000</v>
      </c>
      <c r="O606" s="11">
        <f>IF(G606&gt;H606, MIN(G606-H606, I606-H606)*
INDEX('2018_commission_structure'!$A$1:$I$4,
MATCH($D606, '2018_commission_structure'!$A$1:$A$4, 0),
MATCH(O$1, '2018_commission_structure'!$A$1:$I$1, 0)), 0)</f>
        <v>9050.1200000000008</v>
      </c>
      <c r="P606" s="11">
        <f>IF(G606&gt;H606, MIN(G606-H606, J606-H606)*
INDEX('2018_commission_structure'!$A$1:$I$4,
MATCH($D606, '2018_commission_structure'!$A$1:$A$4, 0),
MATCH(O$1, '2018_commission_structure'!$A$1:$I$1, 0)), 0)</f>
        <v>9050.1200000000008</v>
      </c>
      <c r="Q606" s="11">
        <f>IF(G606&gt;H606, MIN(G606-H606, I606-H606)*
INDEX('2018_commission_structure'!$A$1:$I$4,
MATCH($D606, '2018_commission_structure'!$A$1:$A$4, 0),
MATCH(P$1, '2018_commission_structure'!$A$1:$I$1, 0)), 0)</f>
        <v>11179.56</v>
      </c>
      <c r="R606" s="11">
        <f>IF(G606&gt;K606, (G606-K606) *
INDEX('2018_commission_structure'!$A$1:$I$4,
MATCH($D606, '2018_commission_structure'!$A$1:$A$4,0),
MATCH(R$1, '2018_commission_structure'!$A$1:$I$1,0)), 0)</f>
        <v>0</v>
      </c>
      <c r="S606" s="11">
        <f t="shared" si="59"/>
        <v>29279.800000000003</v>
      </c>
      <c r="T606" s="11" cm="1">
        <f t="array" ref="T606">SUM(E606+O606:Q606)</f>
        <v>242660.8</v>
      </c>
    </row>
    <row r="607" spans="1:20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 xml:space="preserve"> COUNTIF(deals_closed!D:D,A607)</f>
        <v>21</v>
      </c>
      <c r="G607" s="5">
        <f>SUMIF(deals_closed!D:D, calculations!A607, deals_closed!C:C)</f>
        <v>731557</v>
      </c>
      <c r="H607" s="5">
        <f>VLOOKUP(D607,'2018_commission_structure'!$A$2:$I$4,9,FALSE)</f>
        <v>750000</v>
      </c>
      <c r="I607" s="9">
        <f t="shared" si="54"/>
        <v>937500</v>
      </c>
      <c r="J607" s="8">
        <f t="shared" si="55"/>
        <v>1125000</v>
      </c>
      <c r="K607" s="9">
        <f t="shared" si="56"/>
        <v>1500000</v>
      </c>
      <c r="L607" s="10">
        <f t="shared" si="57"/>
        <v>0.97540933333333335</v>
      </c>
      <c r="M607" t="str">
        <f t="shared" si="58"/>
        <v>0-100%</v>
      </c>
      <c r="N607" s="9">
        <f>MIN(H607, G607)*INDEX('2018_commission_structure'!$A$1:$I$4,
MATCH($D607, '2018_commission_structure'!$A$1:$A$4,0),
MATCH(N$1, '2018_commission_structure'!$A$1:$I$1,0))</f>
        <v>109733.55</v>
      </c>
      <c r="O607" s="11">
        <f>IF(G607&gt;H607, MIN(G607-H607, I607-H607)*
INDEX('2018_commission_structure'!$A$1:$I$4,
MATCH($D607, '2018_commission_structure'!$A$1:$A$4, 0),
MATCH(O$1, '2018_commission_structure'!$A$1:$I$1, 0)), 0)</f>
        <v>0</v>
      </c>
      <c r="P607" s="11">
        <f>IF(G607&gt;H607, MIN(G607-H607, J607-H607)*
INDEX('2018_commission_structure'!$A$1:$I$4,
MATCH($D607, '2018_commission_structure'!$A$1:$A$4, 0),
MATCH(O$1, '2018_commission_structure'!$A$1:$I$1, 0)), 0)</f>
        <v>0</v>
      </c>
      <c r="Q607" s="11">
        <f>IF(G607&gt;H607, MIN(G607-H607, I607-H607)*
INDEX('2018_commission_structure'!$A$1:$I$4,
MATCH($D607, '2018_commission_structure'!$A$1:$A$4, 0),
MATCH(P$1, '2018_commission_structure'!$A$1:$I$1, 0)), 0)</f>
        <v>0</v>
      </c>
      <c r="R607" s="11">
        <f>IF(G607&gt;K607, (G607-K607) *
INDEX('2018_commission_structure'!$A$1:$I$4,
MATCH($D607, '2018_commission_structure'!$A$1:$A$4,0),
MATCH(R$1, '2018_commission_structure'!$A$1:$I$1,0)), 0)</f>
        <v>0</v>
      </c>
      <c r="S607" s="11">
        <f t="shared" si="59"/>
        <v>0</v>
      </c>
      <c r="T607" s="11" cm="1">
        <f t="array" ref="T607">SUM(E607+O607:Q607)</f>
        <v>249741</v>
      </c>
    </row>
    <row r="608" spans="1:20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 xml:space="preserve"> COUNTIF(deals_closed!D:D,A608)</f>
        <v>15</v>
      </c>
      <c r="G608" s="5">
        <f>SUMIF(deals_closed!D:D, calculations!A608, deals_closed!C:C)</f>
        <v>563423</v>
      </c>
      <c r="H608" s="5">
        <f>VLOOKUP(D608,'2018_commission_structure'!$A$2:$I$4,9,FALSE)</f>
        <v>750000</v>
      </c>
      <c r="I608" s="9">
        <f t="shared" si="54"/>
        <v>937500</v>
      </c>
      <c r="J608" s="8">
        <f t="shared" si="55"/>
        <v>1125000</v>
      </c>
      <c r="K608" s="9">
        <f t="shared" si="56"/>
        <v>1500000</v>
      </c>
      <c r="L608" s="10">
        <f t="shared" si="57"/>
        <v>0.75123066666666671</v>
      </c>
      <c r="M608" t="str">
        <f t="shared" si="58"/>
        <v>0-100%</v>
      </c>
      <c r="N608" s="9">
        <f>MIN(H608, G608)*INDEX('2018_commission_structure'!$A$1:$I$4,
MATCH($D608, '2018_commission_structure'!$A$1:$A$4,0),
MATCH(N$1, '2018_commission_structure'!$A$1:$I$1,0))</f>
        <v>84513.45</v>
      </c>
      <c r="O608" s="11">
        <f>IF(G608&gt;H608, MIN(G608-H608, I608-H608)*
INDEX('2018_commission_structure'!$A$1:$I$4,
MATCH($D608, '2018_commission_structure'!$A$1:$A$4, 0),
MATCH(O$1, '2018_commission_structure'!$A$1:$I$1, 0)), 0)</f>
        <v>0</v>
      </c>
      <c r="P608" s="11">
        <f>IF(G608&gt;H608, MIN(G608-H608, J608-H608)*
INDEX('2018_commission_structure'!$A$1:$I$4,
MATCH($D608, '2018_commission_structure'!$A$1:$A$4, 0),
MATCH(O$1, '2018_commission_structure'!$A$1:$I$1, 0)), 0)</f>
        <v>0</v>
      </c>
      <c r="Q608" s="11">
        <f>IF(G608&gt;H608, MIN(G608-H608, I608-H608)*
INDEX('2018_commission_structure'!$A$1:$I$4,
MATCH($D608, '2018_commission_structure'!$A$1:$A$4, 0),
MATCH(P$1, '2018_commission_structure'!$A$1:$I$1, 0)), 0)</f>
        <v>0</v>
      </c>
      <c r="R608" s="11">
        <f>IF(G608&gt;K608, (G608-K608) *
INDEX('2018_commission_structure'!$A$1:$I$4,
MATCH($D608, '2018_commission_structure'!$A$1:$A$4,0),
MATCH(R$1, '2018_commission_structure'!$A$1:$I$1,0)), 0)</f>
        <v>0</v>
      </c>
      <c r="S608" s="11">
        <f t="shared" si="59"/>
        <v>0</v>
      </c>
      <c r="T608" s="11" cm="1">
        <f t="array" ref="T608">SUM(E608+O608:Q608)</f>
        <v>350427</v>
      </c>
    </row>
    <row r="609" spans="1:20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 xml:space="preserve"> COUNTIF(deals_closed!D:D,A609)</f>
        <v>19</v>
      </c>
      <c r="G609" s="5">
        <f>SUMIF(deals_closed!D:D, calculations!A609, deals_closed!C:C)</f>
        <v>739687</v>
      </c>
      <c r="H609" s="5">
        <f>VLOOKUP(D609,'2018_commission_structure'!$A$2:$I$4,9,FALSE)</f>
        <v>750000</v>
      </c>
      <c r="I609" s="9">
        <f t="shared" si="54"/>
        <v>937500</v>
      </c>
      <c r="J609" s="8">
        <f t="shared" si="55"/>
        <v>1125000</v>
      </c>
      <c r="K609" s="9">
        <f t="shared" si="56"/>
        <v>1500000</v>
      </c>
      <c r="L609" s="10">
        <f t="shared" si="57"/>
        <v>0.98624933333333331</v>
      </c>
      <c r="M609" t="str">
        <f t="shared" si="58"/>
        <v>0-100%</v>
      </c>
      <c r="N609" s="9">
        <f>MIN(H609, G609)*INDEX('2018_commission_structure'!$A$1:$I$4,
MATCH($D609, '2018_commission_structure'!$A$1:$A$4,0),
MATCH(N$1, '2018_commission_structure'!$A$1:$I$1,0))</f>
        <v>110953.05</v>
      </c>
      <c r="O609" s="11">
        <f>IF(G609&gt;H609, MIN(G609-H609, I609-H609)*
INDEX('2018_commission_structure'!$A$1:$I$4,
MATCH($D609, '2018_commission_structure'!$A$1:$A$4, 0),
MATCH(O$1, '2018_commission_structure'!$A$1:$I$1, 0)), 0)</f>
        <v>0</v>
      </c>
      <c r="P609" s="11">
        <f>IF(G609&gt;H609, MIN(G609-H609, J609-H609)*
INDEX('2018_commission_structure'!$A$1:$I$4,
MATCH($D609, '2018_commission_structure'!$A$1:$A$4, 0),
MATCH(O$1, '2018_commission_structure'!$A$1:$I$1, 0)), 0)</f>
        <v>0</v>
      </c>
      <c r="Q609" s="11">
        <f>IF(G609&gt;H609, MIN(G609-H609, I609-H609)*
INDEX('2018_commission_structure'!$A$1:$I$4,
MATCH($D609, '2018_commission_structure'!$A$1:$A$4, 0),
MATCH(P$1, '2018_commission_structure'!$A$1:$I$1, 0)), 0)</f>
        <v>0</v>
      </c>
      <c r="R609" s="11">
        <f>IF(G609&gt;K609, (G609-K609) *
INDEX('2018_commission_structure'!$A$1:$I$4,
MATCH($D609, '2018_commission_structure'!$A$1:$A$4,0),
MATCH(R$1, '2018_commission_structure'!$A$1:$I$1,0)), 0)</f>
        <v>0</v>
      </c>
      <c r="S609" s="11">
        <f t="shared" si="59"/>
        <v>0</v>
      </c>
      <c r="T609" s="11" cm="1">
        <f t="array" ref="T609">SUM(E609+O609:Q609)</f>
        <v>251445</v>
      </c>
    </row>
    <row r="610" spans="1:20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 xml:space="preserve"> COUNTIF(deals_closed!D:D,A610)</f>
        <v>18</v>
      </c>
      <c r="G610" s="5">
        <f>SUMIF(deals_closed!D:D, calculations!A610, deals_closed!C:C)</f>
        <v>580833</v>
      </c>
      <c r="H610" s="5">
        <f>VLOOKUP(D610,'2018_commission_structure'!$A$2:$I$4,9,FALSE)</f>
        <v>750000</v>
      </c>
      <c r="I610" s="9">
        <f t="shared" si="54"/>
        <v>937500</v>
      </c>
      <c r="J610" s="8">
        <f t="shared" si="55"/>
        <v>1125000</v>
      </c>
      <c r="K610" s="9">
        <f t="shared" si="56"/>
        <v>1500000</v>
      </c>
      <c r="L610" s="10">
        <f t="shared" si="57"/>
        <v>0.77444400000000002</v>
      </c>
      <c r="M610" t="str">
        <f t="shared" si="58"/>
        <v>0-100%</v>
      </c>
      <c r="N610" s="9">
        <f>MIN(H610, G610)*INDEX('2018_commission_structure'!$A$1:$I$4,
MATCH($D610, '2018_commission_structure'!$A$1:$A$4,0),
MATCH(N$1, '2018_commission_structure'!$A$1:$I$1,0))</f>
        <v>87124.95</v>
      </c>
      <c r="O610" s="11">
        <f>IF(G610&gt;H610, MIN(G610-H610, I610-H610)*
INDEX('2018_commission_structure'!$A$1:$I$4,
MATCH($D610, '2018_commission_structure'!$A$1:$A$4, 0),
MATCH(O$1, '2018_commission_structure'!$A$1:$I$1, 0)), 0)</f>
        <v>0</v>
      </c>
      <c r="P610" s="11">
        <f>IF(G610&gt;H610, MIN(G610-H610, J610-H610)*
INDEX('2018_commission_structure'!$A$1:$I$4,
MATCH($D610, '2018_commission_structure'!$A$1:$A$4, 0),
MATCH(O$1, '2018_commission_structure'!$A$1:$I$1, 0)), 0)</f>
        <v>0</v>
      </c>
      <c r="Q610" s="11">
        <f>IF(G610&gt;H610, MIN(G610-H610, I610-H610)*
INDEX('2018_commission_structure'!$A$1:$I$4,
MATCH($D610, '2018_commission_structure'!$A$1:$A$4, 0),
MATCH(P$1, '2018_commission_structure'!$A$1:$I$1, 0)), 0)</f>
        <v>0</v>
      </c>
      <c r="R610" s="11">
        <f>IF(G610&gt;K610, (G610-K610) *
INDEX('2018_commission_structure'!$A$1:$I$4,
MATCH($D610, '2018_commission_structure'!$A$1:$A$4,0),
MATCH(R$1, '2018_commission_structure'!$A$1:$I$1,0)), 0)</f>
        <v>0</v>
      </c>
      <c r="S610" s="11">
        <f t="shared" si="59"/>
        <v>0</v>
      </c>
      <c r="T610" s="11" cm="1">
        <f t="array" ref="T610">SUM(E610+O610:Q610)</f>
        <v>302577</v>
      </c>
    </row>
    <row r="611" spans="1:20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 xml:space="preserve"> COUNTIF(deals_closed!D:D,A611)</f>
        <v>17</v>
      </c>
      <c r="G611" s="5">
        <f>SUMIF(deals_closed!D:D, calculations!A611, deals_closed!C:C)</f>
        <v>599910</v>
      </c>
      <c r="H611" s="5">
        <f>VLOOKUP(D611,'2018_commission_structure'!$A$2:$I$4,9,FALSE)</f>
        <v>500000</v>
      </c>
      <c r="I611" s="9">
        <f t="shared" si="54"/>
        <v>625000</v>
      </c>
      <c r="J611" s="8">
        <f t="shared" si="55"/>
        <v>750000</v>
      </c>
      <c r="K611" s="9">
        <f t="shared" si="56"/>
        <v>1000000</v>
      </c>
      <c r="L611" s="10">
        <f t="shared" si="57"/>
        <v>1.1998200000000001</v>
      </c>
      <c r="M611" t="str">
        <f t="shared" si="58"/>
        <v>100-125%</v>
      </c>
      <c r="N611" s="9">
        <f>MIN(H611, G611)*INDEX('2018_commission_structure'!$A$1:$I$4,
MATCH($D611, '2018_commission_structure'!$A$1:$A$4,0),
MATCH(N$1, '2018_commission_structure'!$A$1:$I$1,0))</f>
        <v>50000</v>
      </c>
      <c r="O611" s="11">
        <f>IF(G611&gt;H611, MIN(G611-H611, I611-H611)*
INDEX('2018_commission_structure'!$A$1:$I$4,
MATCH($D611, '2018_commission_structure'!$A$1:$A$4, 0),
MATCH(O$1, '2018_commission_structure'!$A$1:$I$1, 0)), 0)</f>
        <v>14986.5</v>
      </c>
      <c r="P611" s="11">
        <f>IF(G611&gt;H611, MIN(G611-H611, J611-H611)*
INDEX('2018_commission_structure'!$A$1:$I$4,
MATCH($D611, '2018_commission_structure'!$A$1:$A$4, 0),
MATCH(O$1, '2018_commission_structure'!$A$1:$I$1, 0)), 0)</f>
        <v>14986.5</v>
      </c>
      <c r="Q611" s="11">
        <f>IF(G611&gt;H611, MIN(G611-H611, I611-H611)*
INDEX('2018_commission_structure'!$A$1:$I$4,
MATCH($D611, '2018_commission_structure'!$A$1:$A$4, 0),
MATCH(P$1, '2018_commission_structure'!$A$1:$I$1, 0)), 0)</f>
        <v>17983.8</v>
      </c>
      <c r="R611" s="11">
        <f>IF(G611&gt;K611, (G611-K611) *
INDEX('2018_commission_structure'!$A$1:$I$4,
MATCH($D611, '2018_commission_structure'!$A$1:$A$4,0),
MATCH(R$1, '2018_commission_structure'!$A$1:$I$1,0)), 0)</f>
        <v>0</v>
      </c>
      <c r="S611" s="11">
        <f t="shared" si="59"/>
        <v>47956.800000000003</v>
      </c>
      <c r="T611" s="11" cm="1">
        <f t="array" ref="T611">SUM(E611+O611:Q611)</f>
        <v>205963.8</v>
      </c>
    </row>
    <row r="612" spans="1:20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 xml:space="preserve"> COUNTIF(deals_closed!D:D,A612)</f>
        <v>16</v>
      </c>
      <c r="G612" s="5">
        <f>SUMIF(deals_closed!D:D, calculations!A612, deals_closed!C:C)</f>
        <v>492886</v>
      </c>
      <c r="H612" s="5">
        <f>VLOOKUP(D612,'2018_commission_structure'!$A$2:$I$4,9,FALSE)</f>
        <v>500000</v>
      </c>
      <c r="I612" s="9">
        <f t="shared" si="54"/>
        <v>625000</v>
      </c>
      <c r="J612" s="8">
        <f t="shared" si="55"/>
        <v>750000</v>
      </c>
      <c r="K612" s="9">
        <f t="shared" si="56"/>
        <v>1000000</v>
      </c>
      <c r="L612" s="10">
        <f t="shared" si="57"/>
        <v>0.98577199999999998</v>
      </c>
      <c r="M612" t="str">
        <f t="shared" si="58"/>
        <v>0-100%</v>
      </c>
      <c r="N612" s="9">
        <f>MIN(H612, G612)*INDEX('2018_commission_structure'!$A$1:$I$4,
MATCH($D612, '2018_commission_structure'!$A$1:$A$4,0),
MATCH(N$1, '2018_commission_structure'!$A$1:$I$1,0))</f>
        <v>49288.600000000006</v>
      </c>
      <c r="O612" s="11">
        <f>IF(G612&gt;H612, MIN(G612-H612, I612-H612)*
INDEX('2018_commission_structure'!$A$1:$I$4,
MATCH($D612, '2018_commission_structure'!$A$1:$A$4, 0),
MATCH(O$1, '2018_commission_structure'!$A$1:$I$1, 0)), 0)</f>
        <v>0</v>
      </c>
      <c r="P612" s="11">
        <f>IF(G612&gt;H612, MIN(G612-H612, J612-H612)*
INDEX('2018_commission_structure'!$A$1:$I$4,
MATCH($D612, '2018_commission_structure'!$A$1:$A$4, 0),
MATCH(O$1, '2018_commission_structure'!$A$1:$I$1, 0)), 0)</f>
        <v>0</v>
      </c>
      <c r="Q612" s="11">
        <f>IF(G612&gt;H612, MIN(G612-H612, I612-H612)*
INDEX('2018_commission_structure'!$A$1:$I$4,
MATCH($D612, '2018_commission_structure'!$A$1:$A$4, 0),
MATCH(P$1, '2018_commission_structure'!$A$1:$I$1, 0)), 0)</f>
        <v>0</v>
      </c>
      <c r="R612" s="11">
        <f>IF(G612&gt;K612, (G612-K612) *
INDEX('2018_commission_structure'!$A$1:$I$4,
MATCH($D612, '2018_commission_structure'!$A$1:$A$4,0),
MATCH(R$1, '2018_commission_structure'!$A$1:$I$1,0)), 0)</f>
        <v>0</v>
      </c>
      <c r="S612" s="11">
        <f t="shared" si="59"/>
        <v>0</v>
      </c>
      <c r="T612" s="11" cm="1">
        <f t="array" ref="T612">SUM(E612+O612:Q612)</f>
        <v>144045</v>
      </c>
    </row>
    <row r="613" spans="1:20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 xml:space="preserve"> COUNTIF(deals_closed!D:D,A613)</f>
        <v>19</v>
      </c>
      <c r="G613" s="5">
        <f>SUMIF(deals_closed!D:D, calculations!A613, deals_closed!C:C)</f>
        <v>648303</v>
      </c>
      <c r="H613" s="5">
        <f>VLOOKUP(D613,'2018_commission_structure'!$A$2:$I$4,9,FALSE)</f>
        <v>750000</v>
      </c>
      <c r="I613" s="9">
        <f t="shared" si="54"/>
        <v>937500</v>
      </c>
      <c r="J613" s="8">
        <f t="shared" si="55"/>
        <v>1125000</v>
      </c>
      <c r="K613" s="9">
        <f t="shared" si="56"/>
        <v>1500000</v>
      </c>
      <c r="L613" s="10">
        <f t="shared" si="57"/>
        <v>0.86440399999999995</v>
      </c>
      <c r="M613" t="str">
        <f t="shared" si="58"/>
        <v>0-100%</v>
      </c>
      <c r="N613" s="9">
        <f>MIN(H613, G613)*INDEX('2018_commission_structure'!$A$1:$I$4,
MATCH($D613, '2018_commission_structure'!$A$1:$A$4,0),
MATCH(N$1, '2018_commission_structure'!$A$1:$I$1,0))</f>
        <v>97245.45</v>
      </c>
      <c r="O613" s="11">
        <f>IF(G613&gt;H613, MIN(G613-H613, I613-H613)*
INDEX('2018_commission_structure'!$A$1:$I$4,
MATCH($D613, '2018_commission_structure'!$A$1:$A$4, 0),
MATCH(O$1, '2018_commission_structure'!$A$1:$I$1, 0)), 0)</f>
        <v>0</v>
      </c>
      <c r="P613" s="11">
        <f>IF(G613&gt;H613, MIN(G613-H613, J613-H613)*
INDEX('2018_commission_structure'!$A$1:$I$4,
MATCH($D613, '2018_commission_structure'!$A$1:$A$4, 0),
MATCH(O$1, '2018_commission_structure'!$A$1:$I$1, 0)), 0)</f>
        <v>0</v>
      </c>
      <c r="Q613" s="11">
        <f>IF(G613&gt;H613, MIN(G613-H613, I613-H613)*
INDEX('2018_commission_structure'!$A$1:$I$4,
MATCH($D613, '2018_commission_structure'!$A$1:$A$4, 0),
MATCH(P$1, '2018_commission_structure'!$A$1:$I$1, 0)), 0)</f>
        <v>0</v>
      </c>
      <c r="R613" s="11">
        <f>IF(G613&gt;K613, (G613-K613) *
INDEX('2018_commission_structure'!$A$1:$I$4,
MATCH($D613, '2018_commission_structure'!$A$1:$A$4,0),
MATCH(R$1, '2018_commission_structure'!$A$1:$I$1,0)), 0)</f>
        <v>0</v>
      </c>
      <c r="S613" s="11">
        <f t="shared" si="59"/>
        <v>0</v>
      </c>
      <c r="T613" s="11" cm="1">
        <f t="array" ref="T613">SUM(E613+O613:Q613)</f>
        <v>341040</v>
      </c>
    </row>
    <row r="614" spans="1:20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 xml:space="preserve"> COUNTIF(deals_closed!D:D,A614)</f>
        <v>16</v>
      </c>
      <c r="G614" s="5">
        <f>SUMIF(deals_closed!D:D, calculations!A614, deals_closed!C:C)</f>
        <v>605237</v>
      </c>
      <c r="H614" s="5">
        <f>VLOOKUP(D614,'2018_commission_structure'!$A$2:$I$4,9,FALSE)</f>
        <v>600000</v>
      </c>
      <c r="I614" s="9">
        <f t="shared" si="54"/>
        <v>750000</v>
      </c>
      <c r="J614" s="8">
        <f t="shared" si="55"/>
        <v>900000</v>
      </c>
      <c r="K614" s="9">
        <f t="shared" si="56"/>
        <v>1200000</v>
      </c>
      <c r="L614" s="10">
        <f t="shared" si="57"/>
        <v>1.0087283333333332</v>
      </c>
      <c r="M614" t="str">
        <f t="shared" si="58"/>
        <v>100-125%</v>
      </c>
      <c r="N614" s="9">
        <f>MIN(H614, G614)*INDEX('2018_commission_structure'!$A$1:$I$4,
MATCH($D614, '2018_commission_structure'!$A$1:$A$4,0),
MATCH(N$1, '2018_commission_structure'!$A$1:$I$1,0))</f>
        <v>78000</v>
      </c>
      <c r="O614" s="11">
        <f>IF(G614&gt;H614, MIN(G614-H614, I614-H614)*
INDEX('2018_commission_structure'!$A$1:$I$4,
MATCH($D614, '2018_commission_structure'!$A$1:$A$4, 0),
MATCH(O$1, '2018_commission_structure'!$A$1:$I$1, 0)), 0)</f>
        <v>890.29000000000008</v>
      </c>
      <c r="P614" s="11">
        <f>IF(G614&gt;H614, MIN(G614-H614, J614-H614)*
INDEX('2018_commission_structure'!$A$1:$I$4,
MATCH($D614, '2018_commission_structure'!$A$1:$A$4, 0),
MATCH(O$1, '2018_commission_structure'!$A$1:$I$1, 0)), 0)</f>
        <v>890.29000000000008</v>
      </c>
      <c r="Q614" s="11">
        <f>IF(G614&gt;H614, MIN(G614-H614, I614-H614)*
INDEX('2018_commission_structure'!$A$1:$I$4,
MATCH($D614, '2018_commission_structure'!$A$1:$A$4, 0),
MATCH(P$1, '2018_commission_structure'!$A$1:$I$1, 0)), 0)</f>
        <v>1099.77</v>
      </c>
      <c r="R614" s="11">
        <f>IF(G614&gt;K614, (G614-K614) *
INDEX('2018_commission_structure'!$A$1:$I$4,
MATCH($D614, '2018_commission_structure'!$A$1:$A$4,0),
MATCH(R$1, '2018_commission_structure'!$A$1:$I$1,0)), 0)</f>
        <v>0</v>
      </c>
      <c r="S614" s="11">
        <f t="shared" si="59"/>
        <v>2880.3500000000004</v>
      </c>
      <c r="T614" s="11" cm="1">
        <f t="array" ref="T614">SUM(E614+O614:Q614)</f>
        <v>226194.34999999998</v>
      </c>
    </row>
    <row r="615" spans="1:20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 xml:space="preserve"> COUNTIF(deals_closed!D:D,A615)</f>
        <v>21</v>
      </c>
      <c r="G615" s="5">
        <f>SUMIF(deals_closed!D:D, calculations!A615, deals_closed!C:C)</f>
        <v>733491</v>
      </c>
      <c r="H615" s="5">
        <f>VLOOKUP(D615,'2018_commission_structure'!$A$2:$I$4,9,FALSE)</f>
        <v>750000</v>
      </c>
      <c r="I615" s="9">
        <f t="shared" si="54"/>
        <v>937500</v>
      </c>
      <c r="J615" s="8">
        <f t="shared" si="55"/>
        <v>1125000</v>
      </c>
      <c r="K615" s="9">
        <f t="shared" si="56"/>
        <v>1500000</v>
      </c>
      <c r="L615" s="10">
        <f t="shared" si="57"/>
        <v>0.97798799999999997</v>
      </c>
      <c r="M615" t="str">
        <f t="shared" si="58"/>
        <v>0-100%</v>
      </c>
      <c r="N615" s="9">
        <f>MIN(H615, G615)*INDEX('2018_commission_structure'!$A$1:$I$4,
MATCH($D615, '2018_commission_structure'!$A$1:$A$4,0),
MATCH(N$1, '2018_commission_structure'!$A$1:$I$1,0))</f>
        <v>110023.65</v>
      </c>
      <c r="O615" s="11">
        <f>IF(G615&gt;H615, MIN(G615-H615, I615-H615)*
INDEX('2018_commission_structure'!$A$1:$I$4,
MATCH($D615, '2018_commission_structure'!$A$1:$A$4, 0),
MATCH(O$1, '2018_commission_structure'!$A$1:$I$1, 0)), 0)</f>
        <v>0</v>
      </c>
      <c r="P615" s="11">
        <f>IF(G615&gt;H615, MIN(G615-H615, J615-H615)*
INDEX('2018_commission_structure'!$A$1:$I$4,
MATCH($D615, '2018_commission_structure'!$A$1:$A$4, 0),
MATCH(O$1, '2018_commission_structure'!$A$1:$I$1, 0)), 0)</f>
        <v>0</v>
      </c>
      <c r="Q615" s="11">
        <f>IF(G615&gt;H615, MIN(G615-H615, I615-H615)*
INDEX('2018_commission_structure'!$A$1:$I$4,
MATCH($D615, '2018_commission_structure'!$A$1:$A$4, 0),
MATCH(P$1, '2018_commission_structure'!$A$1:$I$1, 0)), 0)</f>
        <v>0</v>
      </c>
      <c r="R615" s="11">
        <f>IF(G615&gt;K615, (G615-K615) *
INDEX('2018_commission_structure'!$A$1:$I$4,
MATCH($D615, '2018_commission_structure'!$A$1:$A$4,0),
MATCH(R$1, '2018_commission_structure'!$A$1:$I$1,0)), 0)</f>
        <v>0</v>
      </c>
      <c r="S615" s="11">
        <f t="shared" si="59"/>
        <v>0</v>
      </c>
      <c r="T615" s="11" cm="1">
        <f t="array" ref="T615">SUM(E615+O615:Q615)</f>
        <v>361119</v>
      </c>
    </row>
    <row r="616" spans="1:20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 xml:space="preserve"> COUNTIF(deals_closed!D:D,A616)</f>
        <v>20</v>
      </c>
      <c r="G616" s="5">
        <f>SUMIF(deals_closed!D:D, calculations!A616, deals_closed!C:C)</f>
        <v>601807</v>
      </c>
      <c r="H616" s="5">
        <f>VLOOKUP(D616,'2018_commission_structure'!$A$2:$I$4,9,FALSE)</f>
        <v>600000</v>
      </c>
      <c r="I616" s="9">
        <f t="shared" si="54"/>
        <v>750000</v>
      </c>
      <c r="J616" s="8">
        <f t="shared" si="55"/>
        <v>900000</v>
      </c>
      <c r="K616" s="9">
        <f t="shared" si="56"/>
        <v>1200000</v>
      </c>
      <c r="L616" s="10">
        <f t="shared" si="57"/>
        <v>1.0030116666666666</v>
      </c>
      <c r="M616" t="str">
        <f t="shared" si="58"/>
        <v>100-125%</v>
      </c>
      <c r="N616" s="9">
        <f>MIN(H616, G616)*INDEX('2018_commission_structure'!$A$1:$I$4,
MATCH($D616, '2018_commission_structure'!$A$1:$A$4,0),
MATCH(N$1, '2018_commission_structure'!$A$1:$I$1,0))</f>
        <v>78000</v>
      </c>
      <c r="O616" s="11">
        <f>IF(G616&gt;H616, MIN(G616-H616, I616-H616)*
INDEX('2018_commission_structure'!$A$1:$I$4,
MATCH($D616, '2018_commission_structure'!$A$1:$A$4, 0),
MATCH(O$1, '2018_commission_structure'!$A$1:$I$1, 0)), 0)</f>
        <v>307.19</v>
      </c>
      <c r="P616" s="11">
        <f>IF(G616&gt;H616, MIN(G616-H616, J616-H616)*
INDEX('2018_commission_structure'!$A$1:$I$4,
MATCH($D616, '2018_commission_structure'!$A$1:$A$4, 0),
MATCH(O$1, '2018_commission_structure'!$A$1:$I$1, 0)), 0)</f>
        <v>307.19</v>
      </c>
      <c r="Q616" s="11">
        <f>IF(G616&gt;H616, MIN(G616-H616, I616-H616)*
INDEX('2018_commission_structure'!$A$1:$I$4,
MATCH($D616, '2018_commission_structure'!$A$1:$A$4, 0),
MATCH(P$1, '2018_commission_structure'!$A$1:$I$1, 0)), 0)</f>
        <v>379.46999999999997</v>
      </c>
      <c r="R616" s="11">
        <f>IF(G616&gt;K616, (G616-K616) *
INDEX('2018_commission_structure'!$A$1:$I$4,
MATCH($D616, '2018_commission_structure'!$A$1:$A$4,0),
MATCH(R$1, '2018_commission_structure'!$A$1:$I$1,0)), 0)</f>
        <v>0</v>
      </c>
      <c r="S616" s="11">
        <f t="shared" si="59"/>
        <v>993.84999999999991</v>
      </c>
      <c r="T616" s="11" cm="1">
        <f t="array" ref="T616">SUM(E616+O616:Q616)</f>
        <v>164169.85</v>
      </c>
    </row>
    <row r="617" spans="1:20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 xml:space="preserve"> COUNTIF(deals_closed!D:D,A617)</f>
        <v>28</v>
      </c>
      <c r="G617" s="5">
        <f>SUMIF(deals_closed!D:D, calculations!A617, deals_closed!C:C)</f>
        <v>982350</v>
      </c>
      <c r="H617" s="5">
        <f>VLOOKUP(D617,'2018_commission_structure'!$A$2:$I$4,9,FALSE)</f>
        <v>750000</v>
      </c>
      <c r="I617" s="9">
        <f t="shared" si="54"/>
        <v>937500</v>
      </c>
      <c r="J617" s="8">
        <f t="shared" si="55"/>
        <v>1125000</v>
      </c>
      <c r="K617" s="9">
        <f t="shared" si="56"/>
        <v>1500000</v>
      </c>
      <c r="L617" s="10">
        <f t="shared" si="57"/>
        <v>1.3098000000000001</v>
      </c>
      <c r="M617" t="str">
        <f t="shared" si="58"/>
        <v>125-150%</v>
      </c>
      <c r="N617" s="9">
        <f>MIN(H617, G617)*INDEX('2018_commission_structure'!$A$1:$I$4,
MATCH($D617, '2018_commission_structure'!$A$1:$A$4,0),
MATCH(N$1, '2018_commission_structure'!$A$1:$I$1,0))</f>
        <v>112500</v>
      </c>
      <c r="O617" s="11">
        <f>IF(G617&gt;H617, MIN(G617-H617, I617-H617)*
INDEX('2018_commission_structure'!$A$1:$I$4,
MATCH($D617, '2018_commission_structure'!$A$1:$A$4, 0),
MATCH(O$1, '2018_commission_structure'!$A$1:$I$1, 0)), 0)</f>
        <v>35625</v>
      </c>
      <c r="P617" s="11">
        <f>IF(G617&gt;H617, MIN(G617-H617, J617-H617)*
INDEX('2018_commission_structure'!$A$1:$I$4,
MATCH($D617, '2018_commission_structure'!$A$1:$A$4, 0),
MATCH(O$1, '2018_commission_structure'!$A$1:$I$1, 0)), 0)</f>
        <v>44146.5</v>
      </c>
      <c r="Q617" s="11">
        <f>IF(G617&gt;H617, MIN(G617-H617, I617-H617)*
INDEX('2018_commission_structure'!$A$1:$I$4,
MATCH($D617, '2018_commission_structure'!$A$1:$A$4, 0),
MATCH(P$1, '2018_commission_structure'!$A$1:$I$1, 0)), 0)</f>
        <v>43125</v>
      </c>
      <c r="R617" s="11">
        <f>IF(G617&gt;K617, (G617-K617) *
INDEX('2018_commission_structure'!$A$1:$I$4,
MATCH($D617, '2018_commission_structure'!$A$1:$A$4,0),
MATCH(R$1, '2018_commission_structure'!$A$1:$I$1,0)), 0)</f>
        <v>0</v>
      </c>
      <c r="S617" s="11">
        <f t="shared" si="59"/>
        <v>122896.5</v>
      </c>
      <c r="T617" s="11" cm="1">
        <f t="array" ref="T617">SUM(E617+O617:Q617)</f>
        <v>392515.5</v>
      </c>
    </row>
    <row r="618" spans="1:20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 xml:space="preserve"> COUNTIF(deals_closed!D:D,A618)</f>
        <v>22</v>
      </c>
      <c r="G618" s="5">
        <f>SUMIF(deals_closed!D:D, calculations!A618, deals_closed!C:C)</f>
        <v>713140</v>
      </c>
      <c r="H618" s="5">
        <f>VLOOKUP(D618,'2018_commission_structure'!$A$2:$I$4,9,FALSE)</f>
        <v>500000</v>
      </c>
      <c r="I618" s="9">
        <f t="shared" si="54"/>
        <v>625000</v>
      </c>
      <c r="J618" s="8">
        <f t="shared" si="55"/>
        <v>750000</v>
      </c>
      <c r="K618" s="9">
        <f t="shared" si="56"/>
        <v>1000000</v>
      </c>
      <c r="L618" s="10">
        <f t="shared" si="57"/>
        <v>1.42628</v>
      </c>
      <c r="M618" t="str">
        <f t="shared" si="58"/>
        <v>125-150%</v>
      </c>
      <c r="N618" s="9">
        <f>MIN(H618, G618)*INDEX('2018_commission_structure'!$A$1:$I$4,
MATCH($D618, '2018_commission_structure'!$A$1:$A$4,0),
MATCH(N$1, '2018_commission_structure'!$A$1:$I$1,0))</f>
        <v>50000</v>
      </c>
      <c r="O618" s="11">
        <f>IF(G618&gt;H618, MIN(G618-H618, I618-H618)*
INDEX('2018_commission_structure'!$A$1:$I$4,
MATCH($D618, '2018_commission_structure'!$A$1:$A$4, 0),
MATCH(O$1, '2018_commission_structure'!$A$1:$I$1, 0)), 0)</f>
        <v>18750</v>
      </c>
      <c r="P618" s="11">
        <f>IF(G618&gt;H618, MIN(G618-H618, J618-H618)*
INDEX('2018_commission_structure'!$A$1:$I$4,
MATCH($D618, '2018_commission_structure'!$A$1:$A$4, 0),
MATCH(O$1, '2018_commission_structure'!$A$1:$I$1, 0)), 0)</f>
        <v>31971</v>
      </c>
      <c r="Q618" s="11">
        <f>IF(G618&gt;H618, MIN(G618-H618, I618-H618)*
INDEX('2018_commission_structure'!$A$1:$I$4,
MATCH($D618, '2018_commission_structure'!$A$1:$A$4, 0),
MATCH(P$1, '2018_commission_structure'!$A$1:$I$1, 0)), 0)</f>
        <v>22500</v>
      </c>
      <c r="R618" s="11">
        <f>IF(G618&gt;K618, (G618-K618) *
INDEX('2018_commission_structure'!$A$1:$I$4,
MATCH($D618, '2018_commission_structure'!$A$1:$A$4,0),
MATCH(R$1, '2018_commission_structure'!$A$1:$I$1,0)), 0)</f>
        <v>0</v>
      </c>
      <c r="S618" s="11">
        <f t="shared" si="59"/>
        <v>73221</v>
      </c>
      <c r="T618" s="11" cm="1">
        <f t="array" ref="T618">SUM(E618+O618:Q618)</f>
        <v>219159</v>
      </c>
    </row>
    <row r="619" spans="1:20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 xml:space="preserve"> COUNTIF(deals_closed!D:D,A619)</f>
        <v>21</v>
      </c>
      <c r="G619" s="5">
        <f>SUMIF(deals_closed!D:D, calculations!A619, deals_closed!C:C)</f>
        <v>762478</v>
      </c>
      <c r="H619" s="5">
        <f>VLOOKUP(D619,'2018_commission_structure'!$A$2:$I$4,9,FALSE)</f>
        <v>600000</v>
      </c>
      <c r="I619" s="9">
        <f t="shared" si="54"/>
        <v>750000</v>
      </c>
      <c r="J619" s="8">
        <f t="shared" si="55"/>
        <v>900000</v>
      </c>
      <c r="K619" s="9">
        <f t="shared" si="56"/>
        <v>1200000</v>
      </c>
      <c r="L619" s="10">
        <f t="shared" si="57"/>
        <v>1.2707966666666666</v>
      </c>
      <c r="M619" t="str">
        <f t="shared" si="58"/>
        <v>125-150%</v>
      </c>
      <c r="N619" s="9">
        <f>MIN(H619, G619)*INDEX('2018_commission_structure'!$A$1:$I$4,
MATCH($D619, '2018_commission_structure'!$A$1:$A$4,0),
MATCH(N$1, '2018_commission_structure'!$A$1:$I$1,0))</f>
        <v>78000</v>
      </c>
      <c r="O619" s="11">
        <f>IF(G619&gt;H619, MIN(G619-H619, I619-H619)*
INDEX('2018_commission_structure'!$A$1:$I$4,
MATCH($D619, '2018_commission_structure'!$A$1:$A$4, 0),
MATCH(O$1, '2018_commission_structure'!$A$1:$I$1, 0)), 0)</f>
        <v>25500.000000000004</v>
      </c>
      <c r="P619" s="11">
        <f>IF(G619&gt;H619, MIN(G619-H619, J619-H619)*
INDEX('2018_commission_structure'!$A$1:$I$4,
MATCH($D619, '2018_commission_structure'!$A$1:$A$4, 0),
MATCH(O$1, '2018_commission_structure'!$A$1:$I$1, 0)), 0)</f>
        <v>27621.260000000002</v>
      </c>
      <c r="Q619" s="11">
        <f>IF(G619&gt;H619, MIN(G619-H619, I619-H619)*
INDEX('2018_commission_structure'!$A$1:$I$4,
MATCH($D619, '2018_commission_structure'!$A$1:$A$4, 0),
MATCH(P$1, '2018_commission_structure'!$A$1:$I$1, 0)), 0)</f>
        <v>31500</v>
      </c>
      <c r="R619" s="11">
        <f>IF(G619&gt;K619, (G619-K619) *
INDEX('2018_commission_structure'!$A$1:$I$4,
MATCH($D619, '2018_commission_structure'!$A$1:$A$4,0),
MATCH(R$1, '2018_commission_structure'!$A$1:$I$1,0)), 0)</f>
        <v>0</v>
      </c>
      <c r="S619" s="11">
        <f t="shared" si="59"/>
        <v>84621.260000000009</v>
      </c>
      <c r="T619" s="11" cm="1">
        <f t="array" ref="T619">SUM(E619+O619:Q619)</f>
        <v>282129.26</v>
      </c>
    </row>
    <row r="620" spans="1:20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 xml:space="preserve"> COUNTIF(deals_closed!D:D,A620)</f>
        <v>17</v>
      </c>
      <c r="G620" s="5">
        <f>SUMIF(deals_closed!D:D, calculations!A620, deals_closed!C:C)</f>
        <v>680087</v>
      </c>
      <c r="H620" s="5">
        <f>VLOOKUP(D620,'2018_commission_structure'!$A$2:$I$4,9,FALSE)</f>
        <v>600000</v>
      </c>
      <c r="I620" s="9">
        <f t="shared" si="54"/>
        <v>750000</v>
      </c>
      <c r="J620" s="8">
        <f t="shared" si="55"/>
        <v>900000</v>
      </c>
      <c r="K620" s="9">
        <f t="shared" si="56"/>
        <v>1200000</v>
      </c>
      <c r="L620" s="10">
        <f t="shared" si="57"/>
        <v>1.1334783333333334</v>
      </c>
      <c r="M620" t="str">
        <f t="shared" si="58"/>
        <v>100-125%</v>
      </c>
      <c r="N620" s="9">
        <f>MIN(H620, G620)*INDEX('2018_commission_structure'!$A$1:$I$4,
MATCH($D620, '2018_commission_structure'!$A$1:$A$4,0),
MATCH(N$1, '2018_commission_structure'!$A$1:$I$1,0))</f>
        <v>78000</v>
      </c>
      <c r="O620" s="11">
        <f>IF(G620&gt;H620, MIN(G620-H620, I620-H620)*
INDEX('2018_commission_structure'!$A$1:$I$4,
MATCH($D620, '2018_commission_structure'!$A$1:$A$4, 0),
MATCH(O$1, '2018_commission_structure'!$A$1:$I$1, 0)), 0)</f>
        <v>13614.79</v>
      </c>
      <c r="P620" s="11">
        <f>IF(G620&gt;H620, MIN(G620-H620, J620-H620)*
INDEX('2018_commission_structure'!$A$1:$I$4,
MATCH($D620, '2018_commission_structure'!$A$1:$A$4, 0),
MATCH(O$1, '2018_commission_structure'!$A$1:$I$1, 0)), 0)</f>
        <v>13614.79</v>
      </c>
      <c r="Q620" s="11">
        <f>IF(G620&gt;H620, MIN(G620-H620, I620-H620)*
INDEX('2018_commission_structure'!$A$1:$I$4,
MATCH($D620, '2018_commission_structure'!$A$1:$A$4, 0),
MATCH(P$1, '2018_commission_structure'!$A$1:$I$1, 0)), 0)</f>
        <v>16818.27</v>
      </c>
      <c r="R620" s="11">
        <f>IF(G620&gt;K620, (G620-K620) *
INDEX('2018_commission_structure'!$A$1:$I$4,
MATCH($D620, '2018_commission_structure'!$A$1:$A$4,0),
MATCH(R$1, '2018_commission_structure'!$A$1:$I$1,0)), 0)</f>
        <v>0</v>
      </c>
      <c r="S620" s="11">
        <f t="shared" si="59"/>
        <v>44047.850000000006</v>
      </c>
      <c r="T620" s="11" cm="1">
        <f t="array" ref="T620">SUM(E620+O620:Q620)</f>
        <v>281407.85000000003</v>
      </c>
    </row>
    <row r="621" spans="1:20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 xml:space="preserve"> COUNTIF(deals_closed!D:D,A621)</f>
        <v>19</v>
      </c>
      <c r="G621" s="5">
        <f>SUMIF(deals_closed!D:D, calculations!A621, deals_closed!C:C)</f>
        <v>749434</v>
      </c>
      <c r="H621" s="5">
        <f>VLOOKUP(D621,'2018_commission_structure'!$A$2:$I$4,9,FALSE)</f>
        <v>600000</v>
      </c>
      <c r="I621" s="9">
        <f t="shared" si="54"/>
        <v>750000</v>
      </c>
      <c r="J621" s="8">
        <f t="shared" si="55"/>
        <v>900000</v>
      </c>
      <c r="K621" s="9">
        <f t="shared" si="56"/>
        <v>1200000</v>
      </c>
      <c r="L621" s="10">
        <f t="shared" si="57"/>
        <v>1.2490566666666667</v>
      </c>
      <c r="M621" t="str">
        <f t="shared" si="58"/>
        <v>100-125%</v>
      </c>
      <c r="N621" s="9">
        <f>MIN(H621, G621)*INDEX('2018_commission_structure'!$A$1:$I$4,
MATCH($D621, '2018_commission_structure'!$A$1:$A$4,0),
MATCH(N$1, '2018_commission_structure'!$A$1:$I$1,0))</f>
        <v>78000</v>
      </c>
      <c r="O621" s="11">
        <f>IF(G621&gt;H621, MIN(G621-H621, I621-H621)*
INDEX('2018_commission_structure'!$A$1:$I$4,
MATCH($D621, '2018_commission_structure'!$A$1:$A$4, 0),
MATCH(O$1, '2018_commission_structure'!$A$1:$I$1, 0)), 0)</f>
        <v>25403.780000000002</v>
      </c>
      <c r="P621" s="11">
        <f>IF(G621&gt;H621, MIN(G621-H621, J621-H621)*
INDEX('2018_commission_structure'!$A$1:$I$4,
MATCH($D621, '2018_commission_structure'!$A$1:$A$4, 0),
MATCH(O$1, '2018_commission_structure'!$A$1:$I$1, 0)), 0)</f>
        <v>25403.780000000002</v>
      </c>
      <c r="Q621" s="11">
        <f>IF(G621&gt;H621, MIN(G621-H621, I621-H621)*
INDEX('2018_commission_structure'!$A$1:$I$4,
MATCH($D621, '2018_commission_structure'!$A$1:$A$4, 0),
MATCH(P$1, '2018_commission_structure'!$A$1:$I$1, 0)), 0)</f>
        <v>31381.14</v>
      </c>
      <c r="R621" s="11">
        <f>IF(G621&gt;K621, (G621-K621) *
INDEX('2018_commission_structure'!$A$1:$I$4,
MATCH($D621, '2018_commission_structure'!$A$1:$A$4,0),
MATCH(R$1, '2018_commission_structure'!$A$1:$I$1,0)), 0)</f>
        <v>0</v>
      </c>
      <c r="S621" s="11">
        <f t="shared" si="59"/>
        <v>82188.700000000012</v>
      </c>
      <c r="T621" s="11" cm="1">
        <f t="array" ref="T621">SUM(E621+O621:Q621)</f>
        <v>289341.7</v>
      </c>
    </row>
    <row r="622" spans="1:20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 xml:space="preserve"> COUNTIF(deals_closed!D:D,A622)</f>
        <v>24</v>
      </c>
      <c r="G622" s="5">
        <f>SUMIF(deals_closed!D:D, calculations!A622, deals_closed!C:C)</f>
        <v>819368</v>
      </c>
      <c r="H622" s="5">
        <f>VLOOKUP(D622,'2018_commission_structure'!$A$2:$I$4,9,FALSE)</f>
        <v>750000</v>
      </c>
      <c r="I622" s="9">
        <f t="shared" si="54"/>
        <v>937500</v>
      </c>
      <c r="J622" s="8">
        <f t="shared" si="55"/>
        <v>1125000</v>
      </c>
      <c r="K622" s="9">
        <f t="shared" si="56"/>
        <v>1500000</v>
      </c>
      <c r="L622" s="10">
        <f t="shared" si="57"/>
        <v>1.0924906666666667</v>
      </c>
      <c r="M622" t="str">
        <f t="shared" si="58"/>
        <v>100-125%</v>
      </c>
      <c r="N622" s="9">
        <f>MIN(H622, G622)*INDEX('2018_commission_structure'!$A$1:$I$4,
MATCH($D622, '2018_commission_structure'!$A$1:$A$4,0),
MATCH(N$1, '2018_commission_structure'!$A$1:$I$1,0))</f>
        <v>112500</v>
      </c>
      <c r="O622" s="11">
        <f>IF(G622&gt;H622, MIN(G622-H622, I622-H622)*
INDEX('2018_commission_structure'!$A$1:$I$4,
MATCH($D622, '2018_commission_structure'!$A$1:$A$4, 0),
MATCH(O$1, '2018_commission_structure'!$A$1:$I$1, 0)), 0)</f>
        <v>13179.92</v>
      </c>
      <c r="P622" s="11">
        <f>IF(G622&gt;H622, MIN(G622-H622, J622-H622)*
INDEX('2018_commission_structure'!$A$1:$I$4,
MATCH($D622, '2018_commission_structure'!$A$1:$A$4, 0),
MATCH(O$1, '2018_commission_structure'!$A$1:$I$1, 0)), 0)</f>
        <v>13179.92</v>
      </c>
      <c r="Q622" s="11">
        <f>IF(G622&gt;H622, MIN(G622-H622, I622-H622)*
INDEX('2018_commission_structure'!$A$1:$I$4,
MATCH($D622, '2018_commission_structure'!$A$1:$A$4, 0),
MATCH(P$1, '2018_commission_structure'!$A$1:$I$1, 0)), 0)</f>
        <v>15954.640000000001</v>
      </c>
      <c r="R622" s="11">
        <f>IF(G622&gt;K622, (G622-K622) *
INDEX('2018_commission_structure'!$A$1:$I$4,
MATCH($D622, '2018_commission_structure'!$A$1:$A$4,0),
MATCH(R$1, '2018_commission_structure'!$A$1:$I$1,0)), 0)</f>
        <v>0</v>
      </c>
      <c r="S622" s="11">
        <f t="shared" si="59"/>
        <v>42314.48</v>
      </c>
      <c r="T622" s="11" cm="1">
        <f t="array" ref="T622">SUM(E622+O622:Q622)</f>
        <v>385703.48</v>
      </c>
    </row>
    <row r="623" spans="1:20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 xml:space="preserve"> COUNTIF(deals_closed!D:D,A623)</f>
        <v>22</v>
      </c>
      <c r="G623" s="5">
        <f>SUMIF(deals_closed!D:D, calculations!A623, deals_closed!C:C)</f>
        <v>817155</v>
      </c>
      <c r="H623" s="5">
        <f>VLOOKUP(D623,'2018_commission_structure'!$A$2:$I$4,9,FALSE)</f>
        <v>750000</v>
      </c>
      <c r="I623" s="9">
        <f t="shared" si="54"/>
        <v>937500</v>
      </c>
      <c r="J623" s="8">
        <f t="shared" si="55"/>
        <v>1125000</v>
      </c>
      <c r="K623" s="9">
        <f t="shared" si="56"/>
        <v>1500000</v>
      </c>
      <c r="L623" s="10">
        <f t="shared" si="57"/>
        <v>1.08954</v>
      </c>
      <c r="M623" t="str">
        <f t="shared" si="58"/>
        <v>100-125%</v>
      </c>
      <c r="N623" s="9">
        <f>MIN(H623, G623)*INDEX('2018_commission_structure'!$A$1:$I$4,
MATCH($D623, '2018_commission_structure'!$A$1:$A$4,0),
MATCH(N$1, '2018_commission_structure'!$A$1:$I$1,0))</f>
        <v>112500</v>
      </c>
      <c r="O623" s="11">
        <f>IF(G623&gt;H623, MIN(G623-H623, I623-H623)*
INDEX('2018_commission_structure'!$A$1:$I$4,
MATCH($D623, '2018_commission_structure'!$A$1:$A$4, 0),
MATCH(O$1, '2018_commission_structure'!$A$1:$I$1, 0)), 0)</f>
        <v>12759.45</v>
      </c>
      <c r="P623" s="11">
        <f>IF(G623&gt;H623, MIN(G623-H623, J623-H623)*
INDEX('2018_commission_structure'!$A$1:$I$4,
MATCH($D623, '2018_commission_structure'!$A$1:$A$4, 0),
MATCH(O$1, '2018_commission_structure'!$A$1:$I$1, 0)), 0)</f>
        <v>12759.45</v>
      </c>
      <c r="Q623" s="11">
        <f>IF(G623&gt;H623, MIN(G623-H623, I623-H623)*
INDEX('2018_commission_structure'!$A$1:$I$4,
MATCH($D623, '2018_commission_structure'!$A$1:$A$4, 0),
MATCH(P$1, '2018_commission_structure'!$A$1:$I$1, 0)), 0)</f>
        <v>15445.650000000001</v>
      </c>
      <c r="R623" s="11">
        <f>IF(G623&gt;K623, (G623-K623) *
INDEX('2018_commission_structure'!$A$1:$I$4,
MATCH($D623, '2018_commission_structure'!$A$1:$A$4,0),
MATCH(R$1, '2018_commission_structure'!$A$1:$I$1,0)), 0)</f>
        <v>0</v>
      </c>
      <c r="S623" s="11">
        <f t="shared" si="59"/>
        <v>40964.550000000003</v>
      </c>
      <c r="T623" s="11" cm="1">
        <f t="array" ref="T623">SUM(E623+O623:Q623)</f>
        <v>308492.55</v>
      </c>
    </row>
    <row r="624" spans="1:20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 xml:space="preserve"> COUNTIF(deals_closed!D:D,A624)</f>
        <v>25</v>
      </c>
      <c r="G624" s="5">
        <f>SUMIF(deals_closed!D:D, calculations!A624, deals_closed!C:C)</f>
        <v>739115</v>
      </c>
      <c r="H624" s="5">
        <f>VLOOKUP(D624,'2018_commission_structure'!$A$2:$I$4,9,FALSE)</f>
        <v>600000</v>
      </c>
      <c r="I624" s="9">
        <f t="shared" si="54"/>
        <v>750000</v>
      </c>
      <c r="J624" s="8">
        <f t="shared" si="55"/>
        <v>900000</v>
      </c>
      <c r="K624" s="9">
        <f t="shared" si="56"/>
        <v>1200000</v>
      </c>
      <c r="L624" s="10">
        <f t="shared" si="57"/>
        <v>1.2318583333333333</v>
      </c>
      <c r="M624" t="str">
        <f t="shared" si="58"/>
        <v>100-125%</v>
      </c>
      <c r="N624" s="9">
        <f>MIN(H624, G624)*INDEX('2018_commission_structure'!$A$1:$I$4,
MATCH($D624, '2018_commission_structure'!$A$1:$A$4,0),
MATCH(N$1, '2018_commission_structure'!$A$1:$I$1,0))</f>
        <v>78000</v>
      </c>
      <c r="O624" s="11">
        <f>IF(G624&gt;H624, MIN(G624-H624, I624-H624)*
INDEX('2018_commission_structure'!$A$1:$I$4,
MATCH($D624, '2018_commission_structure'!$A$1:$A$4, 0),
MATCH(O$1, '2018_commission_structure'!$A$1:$I$1, 0)), 0)</f>
        <v>23649.550000000003</v>
      </c>
      <c r="P624" s="11">
        <f>IF(G624&gt;H624, MIN(G624-H624, J624-H624)*
INDEX('2018_commission_structure'!$A$1:$I$4,
MATCH($D624, '2018_commission_structure'!$A$1:$A$4, 0),
MATCH(O$1, '2018_commission_structure'!$A$1:$I$1, 0)), 0)</f>
        <v>23649.550000000003</v>
      </c>
      <c r="Q624" s="11">
        <f>IF(G624&gt;H624, MIN(G624-H624, I624-H624)*
INDEX('2018_commission_structure'!$A$1:$I$4,
MATCH($D624, '2018_commission_structure'!$A$1:$A$4, 0),
MATCH(P$1, '2018_commission_structure'!$A$1:$I$1, 0)), 0)</f>
        <v>29214.149999999998</v>
      </c>
      <c r="R624" s="11">
        <f>IF(G624&gt;K624, (G624-K624) *
INDEX('2018_commission_structure'!$A$1:$I$4,
MATCH($D624, '2018_commission_structure'!$A$1:$A$4,0),
MATCH(R$1, '2018_commission_structure'!$A$1:$I$1,0)), 0)</f>
        <v>0</v>
      </c>
      <c r="S624" s="11">
        <f t="shared" si="59"/>
        <v>76513.25</v>
      </c>
      <c r="T624" s="11" cm="1">
        <f t="array" ref="T624">SUM(E624+O624:Q624)</f>
        <v>244798.25</v>
      </c>
    </row>
    <row r="625" spans="1:20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 xml:space="preserve"> COUNTIF(deals_closed!D:D,A625)</f>
        <v>18</v>
      </c>
      <c r="G625" s="5">
        <f>SUMIF(deals_closed!D:D, calculations!A625, deals_closed!C:C)</f>
        <v>585405</v>
      </c>
      <c r="H625" s="5">
        <f>VLOOKUP(D625,'2018_commission_structure'!$A$2:$I$4,9,FALSE)</f>
        <v>500000</v>
      </c>
      <c r="I625" s="9">
        <f t="shared" si="54"/>
        <v>625000</v>
      </c>
      <c r="J625" s="8">
        <f t="shared" si="55"/>
        <v>750000</v>
      </c>
      <c r="K625" s="9">
        <f t="shared" si="56"/>
        <v>1000000</v>
      </c>
      <c r="L625" s="10">
        <f t="shared" si="57"/>
        <v>1.1708099999999999</v>
      </c>
      <c r="M625" t="str">
        <f t="shared" si="58"/>
        <v>100-125%</v>
      </c>
      <c r="N625" s="9">
        <f>MIN(H625, G625)*INDEX('2018_commission_structure'!$A$1:$I$4,
MATCH($D625, '2018_commission_structure'!$A$1:$A$4,0),
MATCH(N$1, '2018_commission_structure'!$A$1:$I$1,0))</f>
        <v>50000</v>
      </c>
      <c r="O625" s="11">
        <f>IF(G625&gt;H625, MIN(G625-H625, I625-H625)*
INDEX('2018_commission_structure'!$A$1:$I$4,
MATCH($D625, '2018_commission_structure'!$A$1:$A$4, 0),
MATCH(O$1, '2018_commission_structure'!$A$1:$I$1, 0)), 0)</f>
        <v>12810.75</v>
      </c>
      <c r="P625" s="11">
        <f>IF(G625&gt;H625, MIN(G625-H625, J625-H625)*
INDEX('2018_commission_structure'!$A$1:$I$4,
MATCH($D625, '2018_commission_structure'!$A$1:$A$4, 0),
MATCH(O$1, '2018_commission_structure'!$A$1:$I$1, 0)), 0)</f>
        <v>12810.75</v>
      </c>
      <c r="Q625" s="11">
        <f>IF(G625&gt;H625, MIN(G625-H625, I625-H625)*
INDEX('2018_commission_structure'!$A$1:$I$4,
MATCH($D625, '2018_commission_structure'!$A$1:$A$4, 0),
MATCH(P$1, '2018_commission_structure'!$A$1:$I$1, 0)), 0)</f>
        <v>15372.9</v>
      </c>
      <c r="R625" s="11">
        <f>IF(G625&gt;K625, (G625-K625) *
INDEX('2018_commission_structure'!$A$1:$I$4,
MATCH($D625, '2018_commission_structure'!$A$1:$A$4,0),
MATCH(R$1, '2018_commission_structure'!$A$1:$I$1,0)), 0)</f>
        <v>0</v>
      </c>
      <c r="S625" s="11">
        <f t="shared" si="59"/>
        <v>40994.400000000001</v>
      </c>
      <c r="T625" s="11" cm="1">
        <f t="array" ref="T625">SUM(E625+O625:Q625)</f>
        <v>226118.39999999999</v>
      </c>
    </row>
    <row r="626" spans="1:20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 xml:space="preserve"> COUNTIF(deals_closed!D:D,A626)</f>
        <v>28</v>
      </c>
      <c r="G626" s="5">
        <f>SUMIF(deals_closed!D:D, calculations!A626, deals_closed!C:C)</f>
        <v>907833</v>
      </c>
      <c r="H626" s="5">
        <f>VLOOKUP(D626,'2018_commission_structure'!$A$2:$I$4,9,FALSE)</f>
        <v>600000</v>
      </c>
      <c r="I626" s="9">
        <f t="shared" si="54"/>
        <v>750000</v>
      </c>
      <c r="J626" s="8">
        <f t="shared" si="55"/>
        <v>900000</v>
      </c>
      <c r="K626" s="9">
        <f t="shared" si="56"/>
        <v>1200000</v>
      </c>
      <c r="L626" s="10">
        <f t="shared" si="57"/>
        <v>1.513055</v>
      </c>
      <c r="M626" t="str">
        <f t="shared" si="58"/>
        <v>150-200%</v>
      </c>
      <c r="N626" s="9">
        <f>MIN(H626, G626)*INDEX('2018_commission_structure'!$A$1:$I$4,
MATCH($D626, '2018_commission_structure'!$A$1:$A$4,0),
MATCH(N$1, '2018_commission_structure'!$A$1:$I$1,0))</f>
        <v>78000</v>
      </c>
      <c r="O626" s="11">
        <f>IF(G626&gt;H626, MIN(G626-H626, I626-H626)*
INDEX('2018_commission_structure'!$A$1:$I$4,
MATCH($D626, '2018_commission_structure'!$A$1:$A$4, 0),
MATCH(O$1, '2018_commission_structure'!$A$1:$I$1, 0)), 0)</f>
        <v>25500.000000000004</v>
      </c>
      <c r="P626" s="11">
        <f>IF(G626&gt;H626, MIN(G626-H626, J626-H626)*
INDEX('2018_commission_structure'!$A$1:$I$4,
MATCH($D626, '2018_commission_structure'!$A$1:$A$4, 0),
MATCH(O$1, '2018_commission_structure'!$A$1:$I$1, 0)), 0)</f>
        <v>51000.000000000007</v>
      </c>
      <c r="Q626" s="11">
        <f>IF(G626&gt;H626, MIN(G626-H626, I626-H626)*
INDEX('2018_commission_structure'!$A$1:$I$4,
MATCH($D626, '2018_commission_structure'!$A$1:$A$4, 0),
MATCH(P$1, '2018_commission_structure'!$A$1:$I$1, 0)), 0)</f>
        <v>31500</v>
      </c>
      <c r="R626" s="11">
        <f>IF(G626&gt;K626, (G626-K626) *
INDEX('2018_commission_structure'!$A$1:$I$4,
MATCH($D626, '2018_commission_structure'!$A$1:$A$4,0),
MATCH(R$1, '2018_commission_structure'!$A$1:$I$1,0)), 0)</f>
        <v>0</v>
      </c>
      <c r="S626" s="11">
        <f t="shared" si="59"/>
        <v>108000.00000000001</v>
      </c>
      <c r="T626" s="11" cm="1">
        <f t="array" ref="T626">SUM(E626+O626:Q626)</f>
        <v>294378</v>
      </c>
    </row>
    <row r="627" spans="1:20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 xml:space="preserve"> COUNTIF(deals_closed!D:D,A627)</f>
        <v>23</v>
      </c>
      <c r="G627" s="5">
        <f>SUMIF(deals_closed!D:D, calculations!A627, deals_closed!C:C)</f>
        <v>854317</v>
      </c>
      <c r="H627" s="5">
        <f>VLOOKUP(D627,'2018_commission_structure'!$A$2:$I$4,9,FALSE)</f>
        <v>600000</v>
      </c>
      <c r="I627" s="9">
        <f t="shared" si="54"/>
        <v>750000</v>
      </c>
      <c r="J627" s="8">
        <f t="shared" si="55"/>
        <v>900000</v>
      </c>
      <c r="K627" s="9">
        <f t="shared" si="56"/>
        <v>1200000</v>
      </c>
      <c r="L627" s="10">
        <f t="shared" si="57"/>
        <v>1.4238616666666666</v>
      </c>
      <c r="M627" t="str">
        <f t="shared" si="58"/>
        <v>125-150%</v>
      </c>
      <c r="N627" s="9">
        <f>MIN(H627, G627)*INDEX('2018_commission_structure'!$A$1:$I$4,
MATCH($D627, '2018_commission_structure'!$A$1:$A$4,0),
MATCH(N$1, '2018_commission_structure'!$A$1:$I$1,0))</f>
        <v>78000</v>
      </c>
      <c r="O627" s="11">
        <f>IF(G627&gt;H627, MIN(G627-H627, I627-H627)*
INDEX('2018_commission_structure'!$A$1:$I$4,
MATCH($D627, '2018_commission_structure'!$A$1:$A$4, 0),
MATCH(O$1, '2018_commission_structure'!$A$1:$I$1, 0)), 0)</f>
        <v>25500.000000000004</v>
      </c>
      <c r="P627" s="11">
        <f>IF(G627&gt;H627, MIN(G627-H627, J627-H627)*
INDEX('2018_commission_structure'!$A$1:$I$4,
MATCH($D627, '2018_commission_structure'!$A$1:$A$4, 0),
MATCH(O$1, '2018_commission_structure'!$A$1:$I$1, 0)), 0)</f>
        <v>43233.890000000007</v>
      </c>
      <c r="Q627" s="11">
        <f>IF(G627&gt;H627, MIN(G627-H627, I627-H627)*
INDEX('2018_commission_structure'!$A$1:$I$4,
MATCH($D627, '2018_commission_structure'!$A$1:$A$4, 0),
MATCH(P$1, '2018_commission_structure'!$A$1:$I$1, 0)), 0)</f>
        <v>31500</v>
      </c>
      <c r="R627" s="11">
        <f>IF(G627&gt;K627, (G627-K627) *
INDEX('2018_commission_structure'!$A$1:$I$4,
MATCH($D627, '2018_commission_structure'!$A$1:$A$4,0),
MATCH(R$1, '2018_commission_structure'!$A$1:$I$1,0)), 0)</f>
        <v>0</v>
      </c>
      <c r="S627" s="11">
        <f t="shared" si="59"/>
        <v>100233.89000000001</v>
      </c>
      <c r="T627" s="11" cm="1">
        <f t="array" ref="T627">SUM(E627+O627:Q627)</f>
        <v>329019.89</v>
      </c>
    </row>
    <row r="628" spans="1:20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 xml:space="preserve"> COUNTIF(deals_closed!D:D,A628)</f>
        <v>18</v>
      </c>
      <c r="G628" s="5">
        <f>SUMIF(deals_closed!D:D, calculations!A628, deals_closed!C:C)</f>
        <v>638085</v>
      </c>
      <c r="H628" s="5">
        <f>VLOOKUP(D628,'2018_commission_structure'!$A$2:$I$4,9,FALSE)</f>
        <v>500000</v>
      </c>
      <c r="I628" s="9">
        <f t="shared" si="54"/>
        <v>625000</v>
      </c>
      <c r="J628" s="8">
        <f t="shared" si="55"/>
        <v>750000</v>
      </c>
      <c r="K628" s="9">
        <f t="shared" si="56"/>
        <v>1000000</v>
      </c>
      <c r="L628" s="10">
        <f t="shared" si="57"/>
        <v>1.27617</v>
      </c>
      <c r="M628" t="str">
        <f t="shared" si="58"/>
        <v>125-150%</v>
      </c>
      <c r="N628" s="9">
        <f>MIN(H628, G628)*INDEX('2018_commission_structure'!$A$1:$I$4,
MATCH($D628, '2018_commission_structure'!$A$1:$A$4,0),
MATCH(N$1, '2018_commission_structure'!$A$1:$I$1,0))</f>
        <v>50000</v>
      </c>
      <c r="O628" s="11">
        <f>IF(G628&gt;H628, MIN(G628-H628, I628-H628)*
INDEX('2018_commission_structure'!$A$1:$I$4,
MATCH($D628, '2018_commission_structure'!$A$1:$A$4, 0),
MATCH(O$1, '2018_commission_structure'!$A$1:$I$1, 0)), 0)</f>
        <v>18750</v>
      </c>
      <c r="P628" s="11">
        <f>IF(G628&gt;H628, MIN(G628-H628, J628-H628)*
INDEX('2018_commission_structure'!$A$1:$I$4,
MATCH($D628, '2018_commission_structure'!$A$1:$A$4, 0),
MATCH(O$1, '2018_commission_structure'!$A$1:$I$1, 0)), 0)</f>
        <v>20712.75</v>
      </c>
      <c r="Q628" s="11">
        <f>IF(G628&gt;H628, MIN(G628-H628, I628-H628)*
INDEX('2018_commission_structure'!$A$1:$I$4,
MATCH($D628, '2018_commission_structure'!$A$1:$A$4, 0),
MATCH(P$1, '2018_commission_structure'!$A$1:$I$1, 0)), 0)</f>
        <v>22500</v>
      </c>
      <c r="R628" s="11">
        <f>IF(G628&gt;K628, (G628-K628) *
INDEX('2018_commission_structure'!$A$1:$I$4,
MATCH($D628, '2018_commission_structure'!$A$1:$A$4,0),
MATCH(R$1, '2018_commission_structure'!$A$1:$I$1,0)), 0)</f>
        <v>0</v>
      </c>
      <c r="S628" s="11">
        <f t="shared" si="59"/>
        <v>61962.75</v>
      </c>
      <c r="T628" s="11" cm="1">
        <f t="array" ref="T628">SUM(E628+O628:Q628)</f>
        <v>187746.75</v>
      </c>
    </row>
    <row r="629" spans="1:20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 xml:space="preserve"> COUNTIF(deals_closed!D:D,A629)</f>
        <v>21</v>
      </c>
      <c r="G629" s="5">
        <f>SUMIF(deals_closed!D:D, calculations!A629, deals_closed!C:C)</f>
        <v>772208</v>
      </c>
      <c r="H629" s="5">
        <f>VLOOKUP(D629,'2018_commission_structure'!$A$2:$I$4,9,FALSE)</f>
        <v>600000</v>
      </c>
      <c r="I629" s="9">
        <f t="shared" si="54"/>
        <v>750000</v>
      </c>
      <c r="J629" s="8">
        <f t="shared" si="55"/>
        <v>900000</v>
      </c>
      <c r="K629" s="9">
        <f t="shared" si="56"/>
        <v>1200000</v>
      </c>
      <c r="L629" s="10">
        <f t="shared" si="57"/>
        <v>1.2870133333333333</v>
      </c>
      <c r="M629" t="str">
        <f t="shared" si="58"/>
        <v>125-150%</v>
      </c>
      <c r="N629" s="9">
        <f>MIN(H629, G629)*INDEX('2018_commission_structure'!$A$1:$I$4,
MATCH($D629, '2018_commission_structure'!$A$1:$A$4,0),
MATCH(N$1, '2018_commission_structure'!$A$1:$I$1,0))</f>
        <v>78000</v>
      </c>
      <c r="O629" s="11">
        <f>IF(G629&gt;H629, MIN(G629-H629, I629-H629)*
INDEX('2018_commission_structure'!$A$1:$I$4,
MATCH($D629, '2018_commission_structure'!$A$1:$A$4, 0),
MATCH(O$1, '2018_commission_structure'!$A$1:$I$1, 0)), 0)</f>
        <v>25500.000000000004</v>
      </c>
      <c r="P629" s="11">
        <f>IF(G629&gt;H629, MIN(G629-H629, J629-H629)*
INDEX('2018_commission_structure'!$A$1:$I$4,
MATCH($D629, '2018_commission_structure'!$A$1:$A$4, 0),
MATCH(O$1, '2018_commission_structure'!$A$1:$I$1, 0)), 0)</f>
        <v>29275.360000000001</v>
      </c>
      <c r="Q629" s="11">
        <f>IF(G629&gt;H629, MIN(G629-H629, I629-H629)*
INDEX('2018_commission_structure'!$A$1:$I$4,
MATCH($D629, '2018_commission_structure'!$A$1:$A$4, 0),
MATCH(P$1, '2018_commission_structure'!$A$1:$I$1, 0)), 0)</f>
        <v>31500</v>
      </c>
      <c r="R629" s="11">
        <f>IF(G629&gt;K629, (G629-K629) *
INDEX('2018_commission_structure'!$A$1:$I$4,
MATCH($D629, '2018_commission_structure'!$A$1:$A$4,0),
MATCH(R$1, '2018_commission_structure'!$A$1:$I$1,0)), 0)</f>
        <v>0</v>
      </c>
      <c r="S629" s="11">
        <f t="shared" si="59"/>
        <v>86275.36</v>
      </c>
      <c r="T629" s="11" cm="1">
        <f t="array" ref="T629">SUM(E629+O629:Q629)</f>
        <v>305725.36</v>
      </c>
    </row>
    <row r="630" spans="1:20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 xml:space="preserve"> COUNTIF(deals_closed!D:D,A630)</f>
        <v>13</v>
      </c>
      <c r="G630" s="5">
        <f>SUMIF(deals_closed!D:D, calculations!A630, deals_closed!C:C)</f>
        <v>436976</v>
      </c>
      <c r="H630" s="5">
        <f>VLOOKUP(D630,'2018_commission_structure'!$A$2:$I$4,9,FALSE)</f>
        <v>500000</v>
      </c>
      <c r="I630" s="9">
        <f t="shared" si="54"/>
        <v>625000</v>
      </c>
      <c r="J630" s="8">
        <f t="shared" si="55"/>
        <v>750000</v>
      </c>
      <c r="K630" s="9">
        <f t="shared" si="56"/>
        <v>1000000</v>
      </c>
      <c r="L630" s="10">
        <f t="shared" si="57"/>
        <v>0.87395199999999995</v>
      </c>
      <c r="M630" t="str">
        <f t="shared" si="58"/>
        <v>0-100%</v>
      </c>
      <c r="N630" s="9">
        <f>MIN(H630, G630)*INDEX('2018_commission_structure'!$A$1:$I$4,
MATCH($D630, '2018_commission_structure'!$A$1:$A$4,0),
MATCH(N$1, '2018_commission_structure'!$A$1:$I$1,0))</f>
        <v>43697.600000000006</v>
      </c>
      <c r="O630" s="11">
        <f>IF(G630&gt;H630, MIN(G630-H630, I630-H630)*
INDEX('2018_commission_structure'!$A$1:$I$4,
MATCH($D630, '2018_commission_structure'!$A$1:$A$4, 0),
MATCH(O$1, '2018_commission_structure'!$A$1:$I$1, 0)), 0)</f>
        <v>0</v>
      </c>
      <c r="P630" s="11">
        <f>IF(G630&gt;H630, MIN(G630-H630, J630-H630)*
INDEX('2018_commission_structure'!$A$1:$I$4,
MATCH($D630, '2018_commission_structure'!$A$1:$A$4, 0),
MATCH(O$1, '2018_commission_structure'!$A$1:$I$1, 0)), 0)</f>
        <v>0</v>
      </c>
      <c r="Q630" s="11">
        <f>IF(G630&gt;H630, MIN(G630-H630, I630-H630)*
INDEX('2018_commission_structure'!$A$1:$I$4,
MATCH($D630, '2018_commission_structure'!$A$1:$A$4, 0),
MATCH(P$1, '2018_commission_structure'!$A$1:$I$1, 0)), 0)</f>
        <v>0</v>
      </c>
      <c r="R630" s="11">
        <f>IF(G630&gt;K630, (G630-K630) *
INDEX('2018_commission_structure'!$A$1:$I$4,
MATCH($D630, '2018_commission_structure'!$A$1:$A$4,0),
MATCH(R$1, '2018_commission_structure'!$A$1:$I$1,0)), 0)</f>
        <v>0</v>
      </c>
      <c r="S630" s="11">
        <f t="shared" si="59"/>
        <v>0</v>
      </c>
      <c r="T630" s="11" cm="1">
        <f t="array" ref="T630">SUM(E630+O630:Q630)</f>
        <v>144753</v>
      </c>
    </row>
    <row r="631" spans="1:20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 xml:space="preserve"> COUNTIF(deals_closed!D:D,A631)</f>
        <v>23</v>
      </c>
      <c r="G631" s="5">
        <f>SUMIF(deals_closed!D:D, calculations!A631, deals_closed!C:C)</f>
        <v>798230</v>
      </c>
      <c r="H631" s="5">
        <f>VLOOKUP(D631,'2018_commission_structure'!$A$2:$I$4,9,FALSE)</f>
        <v>500000</v>
      </c>
      <c r="I631" s="9">
        <f t="shared" si="54"/>
        <v>625000</v>
      </c>
      <c r="J631" s="8">
        <f t="shared" si="55"/>
        <v>750000</v>
      </c>
      <c r="K631" s="9">
        <f t="shared" si="56"/>
        <v>1000000</v>
      </c>
      <c r="L631" s="10">
        <f t="shared" si="57"/>
        <v>1.59646</v>
      </c>
      <c r="M631" t="str">
        <f t="shared" si="58"/>
        <v>150-200%</v>
      </c>
      <c r="N631" s="9">
        <f>MIN(H631, G631)*INDEX('2018_commission_structure'!$A$1:$I$4,
MATCH($D631, '2018_commission_structure'!$A$1:$A$4,0),
MATCH(N$1, '2018_commission_structure'!$A$1:$I$1,0))</f>
        <v>50000</v>
      </c>
      <c r="O631" s="11">
        <f>IF(G631&gt;H631, MIN(G631-H631, I631-H631)*
INDEX('2018_commission_structure'!$A$1:$I$4,
MATCH($D631, '2018_commission_structure'!$A$1:$A$4, 0),
MATCH(O$1, '2018_commission_structure'!$A$1:$I$1, 0)), 0)</f>
        <v>18750</v>
      </c>
      <c r="P631" s="11">
        <f>IF(G631&gt;H631, MIN(G631-H631, J631-H631)*
INDEX('2018_commission_structure'!$A$1:$I$4,
MATCH($D631, '2018_commission_structure'!$A$1:$A$4, 0),
MATCH(O$1, '2018_commission_structure'!$A$1:$I$1, 0)), 0)</f>
        <v>37500</v>
      </c>
      <c r="Q631" s="11">
        <f>IF(G631&gt;H631, MIN(G631-H631, I631-H631)*
INDEX('2018_commission_structure'!$A$1:$I$4,
MATCH($D631, '2018_commission_structure'!$A$1:$A$4, 0),
MATCH(P$1, '2018_commission_structure'!$A$1:$I$1, 0)), 0)</f>
        <v>22500</v>
      </c>
      <c r="R631" s="11">
        <f>IF(G631&gt;K631, (G631-K631) *
INDEX('2018_commission_structure'!$A$1:$I$4,
MATCH($D631, '2018_commission_structure'!$A$1:$A$4,0),
MATCH(R$1, '2018_commission_structure'!$A$1:$I$1,0)), 0)</f>
        <v>0</v>
      </c>
      <c r="S631" s="11">
        <f t="shared" si="59"/>
        <v>78750</v>
      </c>
      <c r="T631" s="11" cm="1">
        <f t="array" ref="T631">SUM(E631+O631:Q631)</f>
        <v>267246</v>
      </c>
    </row>
    <row r="632" spans="1:20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 xml:space="preserve"> COUNTIF(deals_closed!D:D,A632)</f>
        <v>19</v>
      </c>
      <c r="G632" s="5">
        <f>SUMIF(deals_closed!D:D, calculations!A632, deals_closed!C:C)</f>
        <v>689635</v>
      </c>
      <c r="H632" s="5">
        <f>VLOOKUP(D632,'2018_commission_structure'!$A$2:$I$4,9,FALSE)</f>
        <v>600000</v>
      </c>
      <c r="I632" s="9">
        <f t="shared" si="54"/>
        <v>750000</v>
      </c>
      <c r="J632" s="8">
        <f t="shared" si="55"/>
        <v>900000</v>
      </c>
      <c r="K632" s="9">
        <f t="shared" si="56"/>
        <v>1200000</v>
      </c>
      <c r="L632" s="10">
        <f t="shared" si="57"/>
        <v>1.1493916666666666</v>
      </c>
      <c r="M632" t="str">
        <f t="shared" si="58"/>
        <v>100-125%</v>
      </c>
      <c r="N632" s="9">
        <f>MIN(H632, G632)*INDEX('2018_commission_structure'!$A$1:$I$4,
MATCH($D632, '2018_commission_structure'!$A$1:$A$4,0),
MATCH(N$1, '2018_commission_structure'!$A$1:$I$1,0))</f>
        <v>78000</v>
      </c>
      <c r="O632" s="11">
        <f>IF(G632&gt;H632, MIN(G632-H632, I632-H632)*
INDEX('2018_commission_structure'!$A$1:$I$4,
MATCH($D632, '2018_commission_structure'!$A$1:$A$4, 0),
MATCH(O$1, '2018_commission_structure'!$A$1:$I$1, 0)), 0)</f>
        <v>15237.95</v>
      </c>
      <c r="P632" s="11">
        <f>IF(G632&gt;H632, MIN(G632-H632, J632-H632)*
INDEX('2018_commission_structure'!$A$1:$I$4,
MATCH($D632, '2018_commission_structure'!$A$1:$A$4, 0),
MATCH(O$1, '2018_commission_structure'!$A$1:$I$1, 0)), 0)</f>
        <v>15237.95</v>
      </c>
      <c r="Q632" s="11">
        <f>IF(G632&gt;H632, MIN(G632-H632, I632-H632)*
INDEX('2018_commission_structure'!$A$1:$I$4,
MATCH($D632, '2018_commission_structure'!$A$1:$A$4, 0),
MATCH(P$1, '2018_commission_structure'!$A$1:$I$1, 0)), 0)</f>
        <v>18823.349999999999</v>
      </c>
      <c r="R632" s="11">
        <f>IF(G632&gt;K632, (G632-K632) *
INDEX('2018_commission_structure'!$A$1:$I$4,
MATCH($D632, '2018_commission_structure'!$A$1:$A$4,0),
MATCH(R$1, '2018_commission_structure'!$A$1:$I$1,0)), 0)</f>
        <v>0</v>
      </c>
      <c r="S632" s="11">
        <f t="shared" si="59"/>
        <v>49299.25</v>
      </c>
      <c r="T632" s="11" cm="1">
        <f t="array" ref="T632">SUM(E632+O632:Q632)</f>
        <v>222201.25</v>
      </c>
    </row>
    <row r="633" spans="1:20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 xml:space="preserve"> COUNTIF(deals_closed!D:D,A633)</f>
        <v>22</v>
      </c>
      <c r="G633" s="5">
        <f>SUMIF(deals_closed!D:D, calculations!A633, deals_closed!C:C)</f>
        <v>780733</v>
      </c>
      <c r="H633" s="5">
        <f>VLOOKUP(D633,'2018_commission_structure'!$A$2:$I$4,9,FALSE)</f>
        <v>600000</v>
      </c>
      <c r="I633" s="9">
        <f t="shared" si="54"/>
        <v>750000</v>
      </c>
      <c r="J633" s="8">
        <f t="shared" si="55"/>
        <v>900000</v>
      </c>
      <c r="K633" s="9">
        <f t="shared" si="56"/>
        <v>1200000</v>
      </c>
      <c r="L633" s="10">
        <f t="shared" si="57"/>
        <v>1.3012216666666667</v>
      </c>
      <c r="M633" t="str">
        <f t="shared" si="58"/>
        <v>125-150%</v>
      </c>
      <c r="N633" s="9">
        <f>MIN(H633, G633)*INDEX('2018_commission_structure'!$A$1:$I$4,
MATCH($D633, '2018_commission_structure'!$A$1:$A$4,0),
MATCH(N$1, '2018_commission_structure'!$A$1:$I$1,0))</f>
        <v>78000</v>
      </c>
      <c r="O633" s="11">
        <f>IF(G633&gt;H633, MIN(G633-H633, I633-H633)*
INDEX('2018_commission_structure'!$A$1:$I$4,
MATCH($D633, '2018_commission_structure'!$A$1:$A$4, 0),
MATCH(O$1, '2018_commission_structure'!$A$1:$I$1, 0)), 0)</f>
        <v>25500.000000000004</v>
      </c>
      <c r="P633" s="11">
        <f>IF(G633&gt;H633, MIN(G633-H633, J633-H633)*
INDEX('2018_commission_structure'!$A$1:$I$4,
MATCH($D633, '2018_commission_structure'!$A$1:$A$4, 0),
MATCH(O$1, '2018_commission_structure'!$A$1:$I$1, 0)), 0)</f>
        <v>30724.61</v>
      </c>
      <c r="Q633" s="11">
        <f>IF(G633&gt;H633, MIN(G633-H633, I633-H633)*
INDEX('2018_commission_structure'!$A$1:$I$4,
MATCH($D633, '2018_commission_structure'!$A$1:$A$4, 0),
MATCH(P$1, '2018_commission_structure'!$A$1:$I$1, 0)), 0)</f>
        <v>31500</v>
      </c>
      <c r="R633" s="11">
        <f>IF(G633&gt;K633, (G633-K633) *
INDEX('2018_commission_structure'!$A$1:$I$4,
MATCH($D633, '2018_commission_structure'!$A$1:$A$4,0),
MATCH(R$1, '2018_commission_structure'!$A$1:$I$1,0)), 0)</f>
        <v>0</v>
      </c>
      <c r="S633" s="11">
        <f t="shared" si="59"/>
        <v>87724.61</v>
      </c>
      <c r="T633" s="11" cm="1">
        <f t="array" ref="T633">SUM(E633+O633:Q633)</f>
        <v>278557.61</v>
      </c>
    </row>
    <row r="634" spans="1:20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 xml:space="preserve"> COUNTIF(deals_closed!D:D,A634)</f>
        <v>21</v>
      </c>
      <c r="G634" s="5">
        <f>SUMIF(deals_closed!D:D, calculations!A634, deals_closed!C:C)</f>
        <v>685708</v>
      </c>
      <c r="H634" s="5">
        <f>VLOOKUP(D634,'2018_commission_structure'!$A$2:$I$4,9,FALSE)</f>
        <v>500000</v>
      </c>
      <c r="I634" s="9">
        <f t="shared" si="54"/>
        <v>625000</v>
      </c>
      <c r="J634" s="8">
        <f t="shared" si="55"/>
        <v>750000</v>
      </c>
      <c r="K634" s="9">
        <f t="shared" si="56"/>
        <v>1000000</v>
      </c>
      <c r="L634" s="10">
        <f t="shared" si="57"/>
        <v>1.371416</v>
      </c>
      <c r="M634" t="str">
        <f t="shared" si="58"/>
        <v>125-150%</v>
      </c>
      <c r="N634" s="9">
        <f>MIN(H634, G634)*INDEX('2018_commission_structure'!$A$1:$I$4,
MATCH($D634, '2018_commission_structure'!$A$1:$A$4,0),
MATCH(N$1, '2018_commission_structure'!$A$1:$I$1,0))</f>
        <v>50000</v>
      </c>
      <c r="O634" s="11">
        <f>IF(G634&gt;H634, MIN(G634-H634, I634-H634)*
INDEX('2018_commission_structure'!$A$1:$I$4,
MATCH($D634, '2018_commission_structure'!$A$1:$A$4, 0),
MATCH(O$1, '2018_commission_structure'!$A$1:$I$1, 0)), 0)</f>
        <v>18750</v>
      </c>
      <c r="P634" s="11">
        <f>IF(G634&gt;H634, MIN(G634-H634, J634-H634)*
INDEX('2018_commission_structure'!$A$1:$I$4,
MATCH($D634, '2018_commission_structure'!$A$1:$A$4, 0),
MATCH(O$1, '2018_commission_structure'!$A$1:$I$1, 0)), 0)</f>
        <v>27856.2</v>
      </c>
      <c r="Q634" s="11">
        <f>IF(G634&gt;H634, MIN(G634-H634, I634-H634)*
INDEX('2018_commission_structure'!$A$1:$I$4,
MATCH($D634, '2018_commission_structure'!$A$1:$A$4, 0),
MATCH(P$1, '2018_commission_structure'!$A$1:$I$1, 0)), 0)</f>
        <v>22500</v>
      </c>
      <c r="R634" s="11">
        <f>IF(G634&gt;K634, (G634-K634) *
INDEX('2018_commission_structure'!$A$1:$I$4,
MATCH($D634, '2018_commission_structure'!$A$1:$A$4,0),
MATCH(R$1, '2018_commission_structure'!$A$1:$I$1,0)), 0)</f>
        <v>0</v>
      </c>
      <c r="S634" s="11">
        <f t="shared" si="59"/>
        <v>69106.2</v>
      </c>
      <c r="T634" s="11" cm="1">
        <f t="array" ref="T634">SUM(E634+O634:Q634)</f>
        <v>195958.2</v>
      </c>
    </row>
    <row r="635" spans="1:20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 xml:space="preserve"> COUNTIF(deals_closed!D:D,A635)</f>
        <v>15</v>
      </c>
      <c r="G635" s="5">
        <f>SUMIF(deals_closed!D:D, calculations!A635, deals_closed!C:C)</f>
        <v>555207</v>
      </c>
      <c r="H635" s="5">
        <f>VLOOKUP(D635,'2018_commission_structure'!$A$2:$I$4,9,FALSE)</f>
        <v>500000</v>
      </c>
      <c r="I635" s="9">
        <f t="shared" si="54"/>
        <v>625000</v>
      </c>
      <c r="J635" s="8">
        <f t="shared" si="55"/>
        <v>750000</v>
      </c>
      <c r="K635" s="9">
        <f t="shared" si="56"/>
        <v>1000000</v>
      </c>
      <c r="L635" s="10">
        <f t="shared" si="57"/>
        <v>1.110414</v>
      </c>
      <c r="M635" t="str">
        <f t="shared" si="58"/>
        <v>100-125%</v>
      </c>
      <c r="N635" s="9">
        <f>MIN(H635, G635)*INDEX('2018_commission_structure'!$A$1:$I$4,
MATCH($D635, '2018_commission_structure'!$A$1:$A$4,0),
MATCH(N$1, '2018_commission_structure'!$A$1:$I$1,0))</f>
        <v>50000</v>
      </c>
      <c r="O635" s="11">
        <f>IF(G635&gt;H635, MIN(G635-H635, I635-H635)*
INDEX('2018_commission_structure'!$A$1:$I$4,
MATCH($D635, '2018_commission_structure'!$A$1:$A$4, 0),
MATCH(O$1, '2018_commission_structure'!$A$1:$I$1, 0)), 0)</f>
        <v>8281.0499999999993</v>
      </c>
      <c r="P635" s="11">
        <f>IF(G635&gt;H635, MIN(G635-H635, J635-H635)*
INDEX('2018_commission_structure'!$A$1:$I$4,
MATCH($D635, '2018_commission_structure'!$A$1:$A$4, 0),
MATCH(O$1, '2018_commission_structure'!$A$1:$I$1, 0)), 0)</f>
        <v>8281.0499999999993</v>
      </c>
      <c r="Q635" s="11">
        <f>IF(G635&gt;H635, MIN(G635-H635, I635-H635)*
INDEX('2018_commission_structure'!$A$1:$I$4,
MATCH($D635, '2018_commission_structure'!$A$1:$A$4, 0),
MATCH(P$1, '2018_commission_structure'!$A$1:$I$1, 0)), 0)</f>
        <v>9937.26</v>
      </c>
      <c r="R635" s="11">
        <f>IF(G635&gt;K635, (G635-K635) *
INDEX('2018_commission_structure'!$A$1:$I$4,
MATCH($D635, '2018_commission_structure'!$A$1:$A$4,0),
MATCH(R$1, '2018_commission_structure'!$A$1:$I$1,0)), 0)</f>
        <v>0</v>
      </c>
      <c r="S635" s="11">
        <f t="shared" si="59"/>
        <v>26499.360000000001</v>
      </c>
      <c r="T635" s="11" cm="1">
        <f t="array" ref="T635">SUM(E635+O635:Q635)</f>
        <v>136902.36000000002</v>
      </c>
    </row>
    <row r="636" spans="1:20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 xml:space="preserve"> COUNTIF(deals_closed!D:D,A636)</f>
        <v>24</v>
      </c>
      <c r="G636" s="5">
        <f>SUMIF(deals_closed!D:D, calculations!A636, deals_closed!C:C)</f>
        <v>818243</v>
      </c>
      <c r="H636" s="5">
        <f>VLOOKUP(D636,'2018_commission_structure'!$A$2:$I$4,9,FALSE)</f>
        <v>500000</v>
      </c>
      <c r="I636" s="9">
        <f t="shared" si="54"/>
        <v>625000</v>
      </c>
      <c r="J636" s="8">
        <f t="shared" si="55"/>
        <v>750000</v>
      </c>
      <c r="K636" s="9">
        <f t="shared" si="56"/>
        <v>1000000</v>
      </c>
      <c r="L636" s="10">
        <f t="shared" si="57"/>
        <v>1.6364860000000001</v>
      </c>
      <c r="M636" t="str">
        <f t="shared" si="58"/>
        <v>150-200%</v>
      </c>
      <c r="N636" s="9">
        <f>MIN(H636, G636)*INDEX('2018_commission_structure'!$A$1:$I$4,
MATCH($D636, '2018_commission_structure'!$A$1:$A$4,0),
MATCH(N$1, '2018_commission_structure'!$A$1:$I$1,0))</f>
        <v>50000</v>
      </c>
      <c r="O636" s="11">
        <f>IF(G636&gt;H636, MIN(G636-H636, I636-H636)*
INDEX('2018_commission_structure'!$A$1:$I$4,
MATCH($D636, '2018_commission_structure'!$A$1:$A$4, 0),
MATCH(O$1, '2018_commission_structure'!$A$1:$I$1, 0)), 0)</f>
        <v>18750</v>
      </c>
      <c r="P636" s="11">
        <f>IF(G636&gt;H636, MIN(G636-H636, J636-H636)*
INDEX('2018_commission_structure'!$A$1:$I$4,
MATCH($D636, '2018_commission_structure'!$A$1:$A$4, 0),
MATCH(O$1, '2018_commission_structure'!$A$1:$I$1, 0)), 0)</f>
        <v>37500</v>
      </c>
      <c r="Q636" s="11">
        <f>IF(G636&gt;H636, MIN(G636-H636, I636-H636)*
INDEX('2018_commission_structure'!$A$1:$I$4,
MATCH($D636, '2018_commission_structure'!$A$1:$A$4, 0),
MATCH(P$1, '2018_commission_structure'!$A$1:$I$1, 0)), 0)</f>
        <v>22500</v>
      </c>
      <c r="R636" s="11">
        <f>IF(G636&gt;K636, (G636-K636) *
INDEX('2018_commission_structure'!$A$1:$I$4,
MATCH($D636, '2018_commission_structure'!$A$1:$A$4,0),
MATCH(R$1, '2018_commission_structure'!$A$1:$I$1,0)), 0)</f>
        <v>0</v>
      </c>
      <c r="S636" s="11">
        <f t="shared" si="59"/>
        <v>78750</v>
      </c>
      <c r="T636" s="11" cm="1">
        <f t="array" ref="T636">SUM(E636+O636:Q636)</f>
        <v>185529</v>
      </c>
    </row>
    <row r="637" spans="1:20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 xml:space="preserve"> COUNTIF(deals_closed!D:D,A637)</f>
        <v>22</v>
      </c>
      <c r="G637" s="5">
        <f>SUMIF(deals_closed!D:D, calculations!A637, deals_closed!C:C)</f>
        <v>789839</v>
      </c>
      <c r="H637" s="5">
        <f>VLOOKUP(D637,'2018_commission_structure'!$A$2:$I$4,9,FALSE)</f>
        <v>500000</v>
      </c>
      <c r="I637" s="9">
        <f t="shared" si="54"/>
        <v>625000</v>
      </c>
      <c r="J637" s="8">
        <f t="shared" si="55"/>
        <v>750000</v>
      </c>
      <c r="K637" s="9">
        <f t="shared" si="56"/>
        <v>1000000</v>
      </c>
      <c r="L637" s="10">
        <f t="shared" si="57"/>
        <v>1.5796779999999999</v>
      </c>
      <c r="M637" t="str">
        <f t="shared" si="58"/>
        <v>150-200%</v>
      </c>
      <c r="N637" s="9">
        <f>MIN(H637, G637)*INDEX('2018_commission_structure'!$A$1:$I$4,
MATCH($D637, '2018_commission_structure'!$A$1:$A$4,0),
MATCH(N$1, '2018_commission_structure'!$A$1:$I$1,0))</f>
        <v>50000</v>
      </c>
      <c r="O637" s="11">
        <f>IF(G637&gt;H637, MIN(G637-H637, I637-H637)*
INDEX('2018_commission_structure'!$A$1:$I$4,
MATCH($D637, '2018_commission_structure'!$A$1:$A$4, 0),
MATCH(O$1, '2018_commission_structure'!$A$1:$I$1, 0)), 0)</f>
        <v>18750</v>
      </c>
      <c r="P637" s="11">
        <f>IF(G637&gt;H637, MIN(G637-H637, J637-H637)*
INDEX('2018_commission_structure'!$A$1:$I$4,
MATCH($D637, '2018_commission_structure'!$A$1:$A$4, 0),
MATCH(O$1, '2018_commission_structure'!$A$1:$I$1, 0)), 0)</f>
        <v>37500</v>
      </c>
      <c r="Q637" s="11">
        <f>IF(G637&gt;H637, MIN(G637-H637, I637-H637)*
INDEX('2018_commission_structure'!$A$1:$I$4,
MATCH($D637, '2018_commission_structure'!$A$1:$A$4, 0),
MATCH(P$1, '2018_commission_structure'!$A$1:$I$1, 0)), 0)</f>
        <v>22500</v>
      </c>
      <c r="R637" s="11">
        <f>IF(G637&gt;K637, (G637-K637) *
INDEX('2018_commission_structure'!$A$1:$I$4,
MATCH($D637, '2018_commission_structure'!$A$1:$A$4,0),
MATCH(R$1, '2018_commission_structure'!$A$1:$I$1,0)), 0)</f>
        <v>0</v>
      </c>
      <c r="S637" s="11">
        <f t="shared" si="59"/>
        <v>78750</v>
      </c>
      <c r="T637" s="11" cm="1">
        <f t="array" ref="T637">SUM(E637+O637:Q637)</f>
        <v>187836</v>
      </c>
    </row>
    <row r="638" spans="1:20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 xml:space="preserve"> COUNTIF(deals_closed!D:D,A638)</f>
        <v>16</v>
      </c>
      <c r="G638" s="5">
        <f>SUMIF(deals_closed!D:D, calculations!A638, deals_closed!C:C)</f>
        <v>633853</v>
      </c>
      <c r="H638" s="5">
        <f>VLOOKUP(D638,'2018_commission_structure'!$A$2:$I$4,9,FALSE)</f>
        <v>750000</v>
      </c>
      <c r="I638" s="9">
        <f t="shared" si="54"/>
        <v>937500</v>
      </c>
      <c r="J638" s="8">
        <f t="shared" si="55"/>
        <v>1125000</v>
      </c>
      <c r="K638" s="9">
        <f t="shared" si="56"/>
        <v>1500000</v>
      </c>
      <c r="L638" s="10">
        <f t="shared" si="57"/>
        <v>0.8451373333333333</v>
      </c>
      <c r="M638" t="str">
        <f t="shared" si="58"/>
        <v>0-100%</v>
      </c>
      <c r="N638" s="9">
        <f>MIN(H638, G638)*INDEX('2018_commission_structure'!$A$1:$I$4,
MATCH($D638, '2018_commission_structure'!$A$1:$A$4,0),
MATCH(N$1, '2018_commission_structure'!$A$1:$I$1,0))</f>
        <v>95077.95</v>
      </c>
      <c r="O638" s="11">
        <f>IF(G638&gt;H638, MIN(G638-H638, I638-H638)*
INDEX('2018_commission_structure'!$A$1:$I$4,
MATCH($D638, '2018_commission_structure'!$A$1:$A$4, 0),
MATCH(O$1, '2018_commission_structure'!$A$1:$I$1, 0)), 0)</f>
        <v>0</v>
      </c>
      <c r="P638" s="11">
        <f>IF(G638&gt;H638, MIN(G638-H638, J638-H638)*
INDEX('2018_commission_structure'!$A$1:$I$4,
MATCH($D638, '2018_commission_structure'!$A$1:$A$4, 0),
MATCH(O$1, '2018_commission_structure'!$A$1:$I$1, 0)), 0)</f>
        <v>0</v>
      </c>
      <c r="Q638" s="11">
        <f>IF(G638&gt;H638, MIN(G638-H638, I638-H638)*
INDEX('2018_commission_structure'!$A$1:$I$4,
MATCH($D638, '2018_commission_structure'!$A$1:$A$4, 0),
MATCH(P$1, '2018_commission_structure'!$A$1:$I$1, 0)), 0)</f>
        <v>0</v>
      </c>
      <c r="R638" s="11">
        <f>IF(G638&gt;K638, (G638-K638) *
INDEX('2018_commission_structure'!$A$1:$I$4,
MATCH($D638, '2018_commission_structure'!$A$1:$A$4,0),
MATCH(R$1, '2018_commission_structure'!$A$1:$I$1,0)), 0)</f>
        <v>0</v>
      </c>
      <c r="S638" s="11">
        <f t="shared" si="59"/>
        <v>0</v>
      </c>
      <c r="T638" s="11" cm="1">
        <f t="array" ref="T638">SUM(E638+O638:Q638)</f>
        <v>298038</v>
      </c>
    </row>
    <row r="639" spans="1:20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 xml:space="preserve"> COUNTIF(deals_closed!D:D,A639)</f>
        <v>15</v>
      </c>
      <c r="G639" s="5">
        <f>SUMIF(deals_closed!D:D, calculations!A639, deals_closed!C:C)</f>
        <v>505122</v>
      </c>
      <c r="H639" s="5">
        <f>VLOOKUP(D639,'2018_commission_structure'!$A$2:$I$4,9,FALSE)</f>
        <v>500000</v>
      </c>
      <c r="I639" s="9">
        <f t="shared" si="54"/>
        <v>625000</v>
      </c>
      <c r="J639" s="8">
        <f t="shared" si="55"/>
        <v>750000</v>
      </c>
      <c r="K639" s="9">
        <f t="shared" si="56"/>
        <v>1000000</v>
      </c>
      <c r="L639" s="10">
        <f t="shared" si="57"/>
        <v>1.0102439999999999</v>
      </c>
      <c r="M639" t="str">
        <f t="shared" si="58"/>
        <v>100-125%</v>
      </c>
      <c r="N639" s="9">
        <f>MIN(H639, G639)*INDEX('2018_commission_structure'!$A$1:$I$4,
MATCH($D639, '2018_commission_structure'!$A$1:$A$4,0),
MATCH(N$1, '2018_commission_structure'!$A$1:$I$1,0))</f>
        <v>50000</v>
      </c>
      <c r="O639" s="11">
        <f>IF(G639&gt;H639, MIN(G639-H639, I639-H639)*
INDEX('2018_commission_structure'!$A$1:$I$4,
MATCH($D639, '2018_commission_structure'!$A$1:$A$4, 0),
MATCH(O$1, '2018_commission_structure'!$A$1:$I$1, 0)), 0)</f>
        <v>768.3</v>
      </c>
      <c r="P639" s="11">
        <f>IF(G639&gt;H639, MIN(G639-H639, J639-H639)*
INDEX('2018_commission_structure'!$A$1:$I$4,
MATCH($D639, '2018_commission_structure'!$A$1:$A$4, 0),
MATCH(O$1, '2018_commission_structure'!$A$1:$I$1, 0)), 0)</f>
        <v>768.3</v>
      </c>
      <c r="Q639" s="11">
        <f>IF(G639&gt;H639, MIN(G639-H639, I639-H639)*
INDEX('2018_commission_structure'!$A$1:$I$4,
MATCH($D639, '2018_commission_structure'!$A$1:$A$4, 0),
MATCH(P$1, '2018_commission_structure'!$A$1:$I$1, 0)), 0)</f>
        <v>921.95999999999992</v>
      </c>
      <c r="R639" s="11">
        <f>IF(G639&gt;K639, (G639-K639) *
INDEX('2018_commission_structure'!$A$1:$I$4,
MATCH($D639, '2018_commission_structure'!$A$1:$A$4,0),
MATCH(R$1, '2018_commission_structure'!$A$1:$I$1,0)), 0)</f>
        <v>0</v>
      </c>
      <c r="S639" s="11">
        <f t="shared" si="59"/>
        <v>2458.56</v>
      </c>
      <c r="T639" s="11" cm="1">
        <f t="array" ref="T639">SUM(E639+O639:Q639)</f>
        <v>128896.56</v>
      </c>
    </row>
    <row r="640" spans="1:20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 xml:space="preserve"> COUNTIF(deals_closed!D:D,A640)</f>
        <v>27</v>
      </c>
      <c r="G640" s="5">
        <f>SUMIF(deals_closed!D:D, calculations!A640, deals_closed!C:C)</f>
        <v>899816</v>
      </c>
      <c r="H640" s="5">
        <f>VLOOKUP(D640,'2018_commission_structure'!$A$2:$I$4,9,FALSE)</f>
        <v>750000</v>
      </c>
      <c r="I640" s="9">
        <f t="shared" si="54"/>
        <v>937500</v>
      </c>
      <c r="J640" s="8">
        <f t="shared" si="55"/>
        <v>1125000</v>
      </c>
      <c r="K640" s="9">
        <f t="shared" si="56"/>
        <v>1500000</v>
      </c>
      <c r="L640" s="10">
        <f t="shared" si="57"/>
        <v>1.1997546666666667</v>
      </c>
      <c r="M640" t="str">
        <f t="shared" si="58"/>
        <v>100-125%</v>
      </c>
      <c r="N640" s="9">
        <f>MIN(H640, G640)*INDEX('2018_commission_structure'!$A$1:$I$4,
MATCH($D640, '2018_commission_structure'!$A$1:$A$4,0),
MATCH(N$1, '2018_commission_structure'!$A$1:$I$1,0))</f>
        <v>112500</v>
      </c>
      <c r="O640" s="11">
        <f>IF(G640&gt;H640, MIN(G640-H640, I640-H640)*
INDEX('2018_commission_structure'!$A$1:$I$4,
MATCH($D640, '2018_commission_structure'!$A$1:$A$4, 0),
MATCH(O$1, '2018_commission_structure'!$A$1:$I$1, 0)), 0)</f>
        <v>28465.040000000001</v>
      </c>
      <c r="P640" s="11">
        <f>IF(G640&gt;H640, MIN(G640-H640, J640-H640)*
INDEX('2018_commission_structure'!$A$1:$I$4,
MATCH($D640, '2018_commission_structure'!$A$1:$A$4, 0),
MATCH(O$1, '2018_commission_structure'!$A$1:$I$1, 0)), 0)</f>
        <v>28465.040000000001</v>
      </c>
      <c r="Q640" s="11">
        <f>IF(G640&gt;H640, MIN(G640-H640, I640-H640)*
INDEX('2018_commission_structure'!$A$1:$I$4,
MATCH($D640, '2018_commission_structure'!$A$1:$A$4, 0),
MATCH(P$1, '2018_commission_structure'!$A$1:$I$1, 0)), 0)</f>
        <v>34457.68</v>
      </c>
      <c r="R640" s="11">
        <f>IF(G640&gt;K640, (G640-K640) *
INDEX('2018_commission_structure'!$A$1:$I$4,
MATCH($D640, '2018_commission_structure'!$A$1:$A$4,0),
MATCH(R$1, '2018_commission_structure'!$A$1:$I$1,0)), 0)</f>
        <v>0</v>
      </c>
      <c r="S640" s="11">
        <f t="shared" si="59"/>
        <v>91387.760000000009</v>
      </c>
      <c r="T640" s="11" cm="1">
        <f t="array" ref="T640">SUM(E640+O640:Q640)</f>
        <v>390049.76</v>
      </c>
    </row>
    <row r="641" spans="1:20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 xml:space="preserve"> COUNTIF(deals_closed!D:D,A641)</f>
        <v>28</v>
      </c>
      <c r="G641" s="5">
        <f>SUMIF(deals_closed!D:D, calculations!A641, deals_closed!C:C)</f>
        <v>869554</v>
      </c>
      <c r="H641" s="5">
        <f>VLOOKUP(D641,'2018_commission_structure'!$A$2:$I$4,9,FALSE)</f>
        <v>750000</v>
      </c>
      <c r="I641" s="9">
        <f t="shared" si="54"/>
        <v>937500</v>
      </c>
      <c r="J641" s="8">
        <f t="shared" si="55"/>
        <v>1125000</v>
      </c>
      <c r="K641" s="9">
        <f t="shared" si="56"/>
        <v>1500000</v>
      </c>
      <c r="L641" s="10">
        <f t="shared" si="57"/>
        <v>1.1594053333333334</v>
      </c>
      <c r="M641" t="str">
        <f t="shared" si="58"/>
        <v>100-125%</v>
      </c>
      <c r="N641" s="9">
        <f>MIN(H641, G641)*INDEX('2018_commission_structure'!$A$1:$I$4,
MATCH($D641, '2018_commission_structure'!$A$1:$A$4,0),
MATCH(N$1, '2018_commission_structure'!$A$1:$I$1,0))</f>
        <v>112500</v>
      </c>
      <c r="O641" s="11">
        <f>IF(G641&gt;H641, MIN(G641-H641, I641-H641)*
INDEX('2018_commission_structure'!$A$1:$I$4,
MATCH($D641, '2018_commission_structure'!$A$1:$A$4, 0),
MATCH(O$1, '2018_commission_structure'!$A$1:$I$1, 0)), 0)</f>
        <v>22715.260000000002</v>
      </c>
      <c r="P641" s="11">
        <f>IF(G641&gt;H641, MIN(G641-H641, J641-H641)*
INDEX('2018_commission_structure'!$A$1:$I$4,
MATCH($D641, '2018_commission_structure'!$A$1:$A$4, 0),
MATCH(O$1, '2018_commission_structure'!$A$1:$I$1, 0)), 0)</f>
        <v>22715.260000000002</v>
      </c>
      <c r="Q641" s="11">
        <f>IF(G641&gt;H641, MIN(G641-H641, I641-H641)*
INDEX('2018_commission_structure'!$A$1:$I$4,
MATCH($D641, '2018_commission_structure'!$A$1:$A$4, 0),
MATCH(P$1, '2018_commission_structure'!$A$1:$I$1, 0)), 0)</f>
        <v>27497.420000000002</v>
      </c>
      <c r="R641" s="11">
        <f>IF(G641&gt;K641, (G641-K641) *
INDEX('2018_commission_structure'!$A$1:$I$4,
MATCH($D641, '2018_commission_structure'!$A$1:$A$4,0),
MATCH(R$1, '2018_commission_structure'!$A$1:$I$1,0)), 0)</f>
        <v>0</v>
      </c>
      <c r="S641" s="11">
        <f t="shared" si="59"/>
        <v>72927.94</v>
      </c>
      <c r="T641" s="11" cm="1">
        <f t="array" ref="T641">SUM(E641+O641:Q641)</f>
        <v>422091.94000000006</v>
      </c>
    </row>
    <row r="642" spans="1:20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 xml:space="preserve"> COUNTIF(deals_closed!D:D,A642)</f>
        <v>18</v>
      </c>
      <c r="G642" s="5">
        <f>SUMIF(deals_closed!D:D, calculations!A642, deals_closed!C:C)</f>
        <v>699755</v>
      </c>
      <c r="H642" s="5">
        <f>VLOOKUP(D642,'2018_commission_structure'!$A$2:$I$4,9,FALSE)</f>
        <v>750000</v>
      </c>
      <c r="I642" s="9">
        <f t="shared" si="54"/>
        <v>937500</v>
      </c>
      <c r="J642" s="8">
        <f t="shared" si="55"/>
        <v>1125000</v>
      </c>
      <c r="K642" s="9">
        <f t="shared" si="56"/>
        <v>1500000</v>
      </c>
      <c r="L642" s="10">
        <f t="shared" si="57"/>
        <v>0.93300666666666665</v>
      </c>
      <c r="M642" t="str">
        <f t="shared" si="58"/>
        <v>0-100%</v>
      </c>
      <c r="N642" s="9">
        <f>MIN(H642, G642)*INDEX('2018_commission_structure'!$A$1:$I$4,
MATCH($D642, '2018_commission_structure'!$A$1:$A$4,0),
MATCH(N$1, '2018_commission_structure'!$A$1:$I$1,0))</f>
        <v>104963.25</v>
      </c>
      <c r="O642" s="11">
        <f>IF(G642&gt;H642, MIN(G642-H642, I642-H642)*
INDEX('2018_commission_structure'!$A$1:$I$4,
MATCH($D642, '2018_commission_structure'!$A$1:$A$4, 0),
MATCH(O$1, '2018_commission_structure'!$A$1:$I$1, 0)), 0)</f>
        <v>0</v>
      </c>
      <c r="P642" s="11">
        <f>IF(G642&gt;H642, MIN(G642-H642, J642-H642)*
INDEX('2018_commission_structure'!$A$1:$I$4,
MATCH($D642, '2018_commission_structure'!$A$1:$A$4, 0),
MATCH(O$1, '2018_commission_structure'!$A$1:$I$1, 0)), 0)</f>
        <v>0</v>
      </c>
      <c r="Q642" s="11">
        <f>IF(G642&gt;H642, MIN(G642-H642, I642-H642)*
INDEX('2018_commission_structure'!$A$1:$I$4,
MATCH($D642, '2018_commission_structure'!$A$1:$A$4, 0),
MATCH(P$1, '2018_commission_structure'!$A$1:$I$1, 0)), 0)</f>
        <v>0</v>
      </c>
      <c r="R642" s="11">
        <f>IF(G642&gt;K642, (G642-K642) *
INDEX('2018_commission_structure'!$A$1:$I$4,
MATCH($D642, '2018_commission_structure'!$A$1:$A$4,0),
MATCH(R$1, '2018_commission_structure'!$A$1:$I$1,0)), 0)</f>
        <v>0</v>
      </c>
      <c r="S642" s="11">
        <f t="shared" si="59"/>
        <v>0</v>
      </c>
      <c r="T642" s="11" cm="1">
        <f t="array" ref="T642">SUM(E642+O642:Q642)</f>
        <v>294351</v>
      </c>
    </row>
    <row r="643" spans="1:20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 xml:space="preserve"> COUNTIF(deals_closed!D:D,A643)</f>
        <v>21</v>
      </c>
      <c r="G643" s="5">
        <f>SUMIF(deals_closed!D:D, calculations!A643, deals_closed!C:C)</f>
        <v>760093</v>
      </c>
      <c r="H643" s="5">
        <f>VLOOKUP(D643,'2018_commission_structure'!$A$2:$I$4,9,FALSE)</f>
        <v>600000</v>
      </c>
      <c r="I643" s="9">
        <f t="shared" ref="I643:I706" si="60">H643*1.25</f>
        <v>750000</v>
      </c>
      <c r="J643" s="8">
        <f t="shared" ref="J643:J706" si="61">H643*1.5</f>
        <v>900000</v>
      </c>
      <c r="K643" s="9">
        <f t="shared" ref="K643:K706" si="62">H643*2</f>
        <v>1200000</v>
      </c>
      <c r="L643" s="10">
        <f t="shared" ref="L643:L706" si="63">G643/H643</f>
        <v>1.2668216666666667</v>
      </c>
      <c r="M643" t="str">
        <f t="shared" ref="M643:M706" si="64">IF(L643&lt;=1, "0-100%",
IF(L643&lt;=1.25, "100-125%",
IF(L643&lt;=1.5, "125-150%",
IF(L643&lt;2, "150-200%", "&gt;200%"))))</f>
        <v>125-150%</v>
      </c>
      <c r="N643" s="9">
        <f>MIN(H643, G643)*INDEX('2018_commission_structure'!$A$1:$I$4,
MATCH($D643, '2018_commission_structure'!$A$1:$A$4,0),
MATCH(N$1, '2018_commission_structure'!$A$1:$I$1,0))</f>
        <v>78000</v>
      </c>
      <c r="O643" s="11">
        <f>IF(G643&gt;H643, MIN(G643-H643, I643-H643)*
INDEX('2018_commission_structure'!$A$1:$I$4,
MATCH($D643, '2018_commission_structure'!$A$1:$A$4, 0),
MATCH(O$1, '2018_commission_structure'!$A$1:$I$1, 0)), 0)</f>
        <v>25500.000000000004</v>
      </c>
      <c r="P643" s="11">
        <f>IF(G643&gt;H643, MIN(G643-H643, J643-H643)*
INDEX('2018_commission_structure'!$A$1:$I$4,
MATCH($D643, '2018_commission_structure'!$A$1:$A$4, 0),
MATCH(O$1, '2018_commission_structure'!$A$1:$I$1, 0)), 0)</f>
        <v>27215.81</v>
      </c>
      <c r="Q643" s="11">
        <f>IF(G643&gt;H643, MIN(G643-H643, I643-H643)*
INDEX('2018_commission_structure'!$A$1:$I$4,
MATCH($D643, '2018_commission_structure'!$A$1:$A$4, 0),
MATCH(P$1, '2018_commission_structure'!$A$1:$I$1, 0)), 0)</f>
        <v>31500</v>
      </c>
      <c r="R643" s="11">
        <f>IF(G643&gt;K643, (G643-K643) *
INDEX('2018_commission_structure'!$A$1:$I$4,
MATCH($D643, '2018_commission_structure'!$A$1:$A$4,0),
MATCH(R$1, '2018_commission_structure'!$A$1:$I$1,0)), 0)</f>
        <v>0</v>
      </c>
      <c r="S643" s="11">
        <f t="shared" ref="S643:S706" si="65">SUM(O643:Q643)</f>
        <v>84215.81</v>
      </c>
      <c r="T643" s="11" cm="1">
        <f t="array" ref="T643">SUM(E643+O643:Q643)</f>
        <v>312080.81</v>
      </c>
    </row>
    <row r="644" spans="1:20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 xml:space="preserve"> COUNTIF(deals_closed!D:D,A644)</f>
        <v>18</v>
      </c>
      <c r="G644" s="5">
        <f>SUMIF(deals_closed!D:D, calculations!A644, deals_closed!C:C)</f>
        <v>580079</v>
      </c>
      <c r="H644" s="5">
        <f>VLOOKUP(D644,'2018_commission_structure'!$A$2:$I$4,9,FALSE)</f>
        <v>600000</v>
      </c>
      <c r="I644" s="9">
        <f t="shared" si="60"/>
        <v>750000</v>
      </c>
      <c r="J644" s="8">
        <f t="shared" si="61"/>
        <v>900000</v>
      </c>
      <c r="K644" s="9">
        <f t="shared" si="62"/>
        <v>1200000</v>
      </c>
      <c r="L644" s="10">
        <f t="shared" si="63"/>
        <v>0.96679833333333332</v>
      </c>
      <c r="M644" t="str">
        <f t="shared" si="64"/>
        <v>0-100%</v>
      </c>
      <c r="N644" s="9">
        <f>MIN(H644, G644)*INDEX('2018_commission_structure'!$A$1:$I$4,
MATCH($D644, '2018_commission_structure'!$A$1:$A$4,0),
MATCH(N$1, '2018_commission_structure'!$A$1:$I$1,0))</f>
        <v>75410.27</v>
      </c>
      <c r="O644" s="11">
        <f>IF(G644&gt;H644, MIN(G644-H644, I644-H644)*
INDEX('2018_commission_structure'!$A$1:$I$4,
MATCH($D644, '2018_commission_structure'!$A$1:$A$4, 0),
MATCH(O$1, '2018_commission_structure'!$A$1:$I$1, 0)), 0)</f>
        <v>0</v>
      </c>
      <c r="P644" s="11">
        <f>IF(G644&gt;H644, MIN(G644-H644, J644-H644)*
INDEX('2018_commission_structure'!$A$1:$I$4,
MATCH($D644, '2018_commission_structure'!$A$1:$A$4, 0),
MATCH(O$1, '2018_commission_structure'!$A$1:$I$1, 0)), 0)</f>
        <v>0</v>
      </c>
      <c r="Q644" s="11">
        <f>IF(G644&gt;H644, MIN(G644-H644, I644-H644)*
INDEX('2018_commission_structure'!$A$1:$I$4,
MATCH($D644, '2018_commission_structure'!$A$1:$A$4, 0),
MATCH(P$1, '2018_commission_structure'!$A$1:$I$1, 0)), 0)</f>
        <v>0</v>
      </c>
      <c r="R644" s="11">
        <f>IF(G644&gt;K644, (G644-K644) *
INDEX('2018_commission_structure'!$A$1:$I$4,
MATCH($D644, '2018_commission_structure'!$A$1:$A$4,0),
MATCH(R$1, '2018_commission_structure'!$A$1:$I$1,0)), 0)</f>
        <v>0</v>
      </c>
      <c r="S644" s="11">
        <f t="shared" si="65"/>
        <v>0</v>
      </c>
      <c r="T644" s="11" cm="1">
        <f t="array" ref="T644">SUM(E644+O644:Q644)</f>
        <v>218175</v>
      </c>
    </row>
    <row r="645" spans="1:20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 xml:space="preserve"> COUNTIF(deals_closed!D:D,A645)</f>
        <v>26</v>
      </c>
      <c r="G645" s="5">
        <f>SUMIF(deals_closed!D:D, calculations!A645, deals_closed!C:C)</f>
        <v>941410</v>
      </c>
      <c r="H645" s="5">
        <f>VLOOKUP(D645,'2018_commission_structure'!$A$2:$I$4,9,FALSE)</f>
        <v>600000</v>
      </c>
      <c r="I645" s="9">
        <f t="shared" si="60"/>
        <v>750000</v>
      </c>
      <c r="J645" s="8">
        <f t="shared" si="61"/>
        <v>900000</v>
      </c>
      <c r="K645" s="9">
        <f t="shared" si="62"/>
        <v>1200000</v>
      </c>
      <c r="L645" s="10">
        <f t="shared" si="63"/>
        <v>1.5690166666666667</v>
      </c>
      <c r="M645" t="str">
        <f t="shared" si="64"/>
        <v>150-200%</v>
      </c>
      <c r="N645" s="9">
        <f>MIN(H645, G645)*INDEX('2018_commission_structure'!$A$1:$I$4,
MATCH($D645, '2018_commission_structure'!$A$1:$A$4,0),
MATCH(N$1, '2018_commission_structure'!$A$1:$I$1,0))</f>
        <v>78000</v>
      </c>
      <c r="O645" s="11">
        <f>IF(G645&gt;H645, MIN(G645-H645, I645-H645)*
INDEX('2018_commission_structure'!$A$1:$I$4,
MATCH($D645, '2018_commission_structure'!$A$1:$A$4, 0),
MATCH(O$1, '2018_commission_structure'!$A$1:$I$1, 0)), 0)</f>
        <v>25500.000000000004</v>
      </c>
      <c r="P645" s="11">
        <f>IF(G645&gt;H645, MIN(G645-H645, J645-H645)*
INDEX('2018_commission_structure'!$A$1:$I$4,
MATCH($D645, '2018_commission_structure'!$A$1:$A$4, 0),
MATCH(O$1, '2018_commission_structure'!$A$1:$I$1, 0)), 0)</f>
        <v>51000.000000000007</v>
      </c>
      <c r="Q645" s="11">
        <f>IF(G645&gt;H645, MIN(G645-H645, I645-H645)*
INDEX('2018_commission_structure'!$A$1:$I$4,
MATCH($D645, '2018_commission_structure'!$A$1:$A$4, 0),
MATCH(P$1, '2018_commission_structure'!$A$1:$I$1, 0)), 0)</f>
        <v>31500</v>
      </c>
      <c r="R645" s="11">
        <f>IF(G645&gt;K645, (G645-K645) *
INDEX('2018_commission_structure'!$A$1:$I$4,
MATCH($D645, '2018_commission_structure'!$A$1:$A$4,0),
MATCH(R$1, '2018_commission_structure'!$A$1:$I$1,0)), 0)</f>
        <v>0</v>
      </c>
      <c r="S645" s="11">
        <f t="shared" si="65"/>
        <v>108000.00000000001</v>
      </c>
      <c r="T645" s="11" cm="1">
        <f t="array" ref="T645">SUM(E645+O645:Q645)</f>
        <v>310392</v>
      </c>
    </row>
    <row r="646" spans="1:20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 xml:space="preserve"> COUNTIF(deals_closed!D:D,A646)</f>
        <v>22</v>
      </c>
      <c r="G646" s="5">
        <f>SUMIF(deals_closed!D:D, calculations!A646, deals_closed!C:C)</f>
        <v>687722</v>
      </c>
      <c r="H646" s="5">
        <f>VLOOKUP(D646,'2018_commission_structure'!$A$2:$I$4,9,FALSE)</f>
        <v>600000</v>
      </c>
      <c r="I646" s="9">
        <f t="shared" si="60"/>
        <v>750000</v>
      </c>
      <c r="J646" s="8">
        <f t="shared" si="61"/>
        <v>900000</v>
      </c>
      <c r="K646" s="9">
        <f t="shared" si="62"/>
        <v>1200000</v>
      </c>
      <c r="L646" s="10">
        <f t="shared" si="63"/>
        <v>1.1462033333333332</v>
      </c>
      <c r="M646" t="str">
        <f t="shared" si="64"/>
        <v>100-125%</v>
      </c>
      <c r="N646" s="9">
        <f>MIN(H646, G646)*INDEX('2018_commission_structure'!$A$1:$I$4,
MATCH($D646, '2018_commission_structure'!$A$1:$A$4,0),
MATCH(N$1, '2018_commission_structure'!$A$1:$I$1,0))</f>
        <v>78000</v>
      </c>
      <c r="O646" s="11">
        <f>IF(G646&gt;H646, MIN(G646-H646, I646-H646)*
INDEX('2018_commission_structure'!$A$1:$I$4,
MATCH($D646, '2018_commission_structure'!$A$1:$A$4, 0),
MATCH(O$1, '2018_commission_structure'!$A$1:$I$1, 0)), 0)</f>
        <v>14912.740000000002</v>
      </c>
      <c r="P646" s="11">
        <f>IF(G646&gt;H646, MIN(G646-H646, J646-H646)*
INDEX('2018_commission_structure'!$A$1:$I$4,
MATCH($D646, '2018_commission_structure'!$A$1:$A$4, 0),
MATCH(O$1, '2018_commission_structure'!$A$1:$I$1, 0)), 0)</f>
        <v>14912.740000000002</v>
      </c>
      <c r="Q646" s="11">
        <f>IF(G646&gt;H646, MIN(G646-H646, I646-H646)*
INDEX('2018_commission_structure'!$A$1:$I$4,
MATCH($D646, '2018_commission_structure'!$A$1:$A$4, 0),
MATCH(P$1, '2018_commission_structure'!$A$1:$I$1, 0)), 0)</f>
        <v>18421.62</v>
      </c>
      <c r="R646" s="11">
        <f>IF(G646&gt;K646, (G646-K646) *
INDEX('2018_commission_structure'!$A$1:$I$4,
MATCH($D646, '2018_commission_structure'!$A$1:$A$4,0),
MATCH(R$1, '2018_commission_structure'!$A$1:$I$1,0)), 0)</f>
        <v>0</v>
      </c>
      <c r="S646" s="11">
        <f t="shared" si="65"/>
        <v>48247.100000000006</v>
      </c>
      <c r="T646" s="11" cm="1">
        <f t="array" ref="T646">SUM(E646+O646:Q646)</f>
        <v>245185.1</v>
      </c>
    </row>
    <row r="647" spans="1:20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 xml:space="preserve"> COUNTIF(deals_closed!D:D,A647)</f>
        <v>18</v>
      </c>
      <c r="G647" s="5">
        <f>SUMIF(deals_closed!D:D, calculations!A647, deals_closed!C:C)</f>
        <v>635587</v>
      </c>
      <c r="H647" s="5">
        <f>VLOOKUP(D647,'2018_commission_structure'!$A$2:$I$4,9,FALSE)</f>
        <v>500000</v>
      </c>
      <c r="I647" s="9">
        <f t="shared" si="60"/>
        <v>625000</v>
      </c>
      <c r="J647" s="8">
        <f t="shared" si="61"/>
        <v>750000</v>
      </c>
      <c r="K647" s="9">
        <f t="shared" si="62"/>
        <v>1000000</v>
      </c>
      <c r="L647" s="10">
        <f t="shared" si="63"/>
        <v>1.271174</v>
      </c>
      <c r="M647" t="str">
        <f t="shared" si="64"/>
        <v>125-150%</v>
      </c>
      <c r="N647" s="9">
        <f>MIN(H647, G647)*INDEX('2018_commission_structure'!$A$1:$I$4,
MATCH($D647, '2018_commission_structure'!$A$1:$A$4,0),
MATCH(N$1, '2018_commission_structure'!$A$1:$I$1,0))</f>
        <v>50000</v>
      </c>
      <c r="O647" s="11">
        <f>IF(G647&gt;H647, MIN(G647-H647, I647-H647)*
INDEX('2018_commission_structure'!$A$1:$I$4,
MATCH($D647, '2018_commission_structure'!$A$1:$A$4, 0),
MATCH(O$1, '2018_commission_structure'!$A$1:$I$1, 0)), 0)</f>
        <v>18750</v>
      </c>
      <c r="P647" s="11">
        <f>IF(G647&gt;H647, MIN(G647-H647, J647-H647)*
INDEX('2018_commission_structure'!$A$1:$I$4,
MATCH($D647, '2018_commission_structure'!$A$1:$A$4, 0),
MATCH(O$1, '2018_commission_structure'!$A$1:$I$1, 0)), 0)</f>
        <v>20338.05</v>
      </c>
      <c r="Q647" s="11">
        <f>IF(G647&gt;H647, MIN(G647-H647, I647-H647)*
INDEX('2018_commission_structure'!$A$1:$I$4,
MATCH($D647, '2018_commission_structure'!$A$1:$A$4, 0),
MATCH(P$1, '2018_commission_structure'!$A$1:$I$1, 0)), 0)</f>
        <v>22500</v>
      </c>
      <c r="R647" s="11">
        <f>IF(G647&gt;K647, (G647-K647) *
INDEX('2018_commission_structure'!$A$1:$I$4,
MATCH($D647, '2018_commission_structure'!$A$1:$A$4,0),
MATCH(R$1, '2018_commission_structure'!$A$1:$I$1,0)), 0)</f>
        <v>0</v>
      </c>
      <c r="S647" s="11">
        <f t="shared" si="65"/>
        <v>61588.05</v>
      </c>
      <c r="T647" s="11" cm="1">
        <f t="array" ref="T647">SUM(E647+O647:Q647)</f>
        <v>192169.05</v>
      </c>
    </row>
    <row r="648" spans="1:20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 xml:space="preserve"> COUNTIF(deals_closed!D:D,A648)</f>
        <v>17</v>
      </c>
      <c r="G648" s="5">
        <f>SUMIF(deals_closed!D:D, calculations!A648, deals_closed!C:C)</f>
        <v>629139</v>
      </c>
      <c r="H648" s="5">
        <f>VLOOKUP(D648,'2018_commission_structure'!$A$2:$I$4,9,FALSE)</f>
        <v>600000</v>
      </c>
      <c r="I648" s="9">
        <f t="shared" si="60"/>
        <v>750000</v>
      </c>
      <c r="J648" s="8">
        <f t="shared" si="61"/>
        <v>900000</v>
      </c>
      <c r="K648" s="9">
        <f t="shared" si="62"/>
        <v>1200000</v>
      </c>
      <c r="L648" s="10">
        <f t="shared" si="63"/>
        <v>1.048565</v>
      </c>
      <c r="M648" t="str">
        <f t="shared" si="64"/>
        <v>100-125%</v>
      </c>
      <c r="N648" s="9">
        <f>MIN(H648, G648)*INDEX('2018_commission_structure'!$A$1:$I$4,
MATCH($D648, '2018_commission_structure'!$A$1:$A$4,0),
MATCH(N$1, '2018_commission_structure'!$A$1:$I$1,0))</f>
        <v>78000</v>
      </c>
      <c r="O648" s="11">
        <f>IF(G648&gt;H648, MIN(G648-H648, I648-H648)*
INDEX('2018_commission_structure'!$A$1:$I$4,
MATCH($D648, '2018_commission_structure'!$A$1:$A$4, 0),
MATCH(O$1, '2018_commission_structure'!$A$1:$I$1, 0)), 0)</f>
        <v>4953.63</v>
      </c>
      <c r="P648" s="11">
        <f>IF(G648&gt;H648, MIN(G648-H648, J648-H648)*
INDEX('2018_commission_structure'!$A$1:$I$4,
MATCH($D648, '2018_commission_structure'!$A$1:$A$4, 0),
MATCH(O$1, '2018_commission_structure'!$A$1:$I$1, 0)), 0)</f>
        <v>4953.63</v>
      </c>
      <c r="Q648" s="11">
        <f>IF(G648&gt;H648, MIN(G648-H648, I648-H648)*
INDEX('2018_commission_structure'!$A$1:$I$4,
MATCH($D648, '2018_commission_structure'!$A$1:$A$4, 0),
MATCH(P$1, '2018_commission_structure'!$A$1:$I$1, 0)), 0)</f>
        <v>6119.19</v>
      </c>
      <c r="R648" s="11">
        <f>IF(G648&gt;K648, (G648-K648) *
INDEX('2018_commission_structure'!$A$1:$I$4,
MATCH($D648, '2018_commission_structure'!$A$1:$A$4,0),
MATCH(R$1, '2018_commission_structure'!$A$1:$I$1,0)), 0)</f>
        <v>0</v>
      </c>
      <c r="S648" s="11">
        <f t="shared" si="65"/>
        <v>16026.45</v>
      </c>
      <c r="T648" s="11" cm="1">
        <f t="array" ref="T648">SUM(E648+O648:Q648)</f>
        <v>191916.45</v>
      </c>
    </row>
    <row r="649" spans="1:20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 xml:space="preserve"> COUNTIF(deals_closed!D:D,A649)</f>
        <v>14</v>
      </c>
      <c r="G649" s="5">
        <f>SUMIF(deals_closed!D:D, calculations!A649, deals_closed!C:C)</f>
        <v>595107</v>
      </c>
      <c r="H649" s="5">
        <f>VLOOKUP(D649,'2018_commission_structure'!$A$2:$I$4,9,FALSE)</f>
        <v>750000</v>
      </c>
      <c r="I649" s="9">
        <f t="shared" si="60"/>
        <v>937500</v>
      </c>
      <c r="J649" s="8">
        <f t="shared" si="61"/>
        <v>1125000</v>
      </c>
      <c r="K649" s="9">
        <f t="shared" si="62"/>
        <v>1500000</v>
      </c>
      <c r="L649" s="10">
        <f t="shared" si="63"/>
        <v>0.79347599999999996</v>
      </c>
      <c r="M649" t="str">
        <f t="shared" si="64"/>
        <v>0-100%</v>
      </c>
      <c r="N649" s="9">
        <f>MIN(H649, G649)*INDEX('2018_commission_structure'!$A$1:$I$4,
MATCH($D649, '2018_commission_structure'!$A$1:$A$4,0),
MATCH(N$1, '2018_commission_structure'!$A$1:$I$1,0))</f>
        <v>89266.05</v>
      </c>
      <c r="O649" s="11">
        <f>IF(G649&gt;H649, MIN(G649-H649, I649-H649)*
INDEX('2018_commission_structure'!$A$1:$I$4,
MATCH($D649, '2018_commission_structure'!$A$1:$A$4, 0),
MATCH(O$1, '2018_commission_structure'!$A$1:$I$1, 0)), 0)</f>
        <v>0</v>
      </c>
      <c r="P649" s="11">
        <f>IF(G649&gt;H649, MIN(G649-H649, J649-H649)*
INDEX('2018_commission_structure'!$A$1:$I$4,
MATCH($D649, '2018_commission_structure'!$A$1:$A$4, 0),
MATCH(O$1, '2018_commission_structure'!$A$1:$I$1, 0)), 0)</f>
        <v>0</v>
      </c>
      <c r="Q649" s="11">
        <f>IF(G649&gt;H649, MIN(G649-H649, I649-H649)*
INDEX('2018_commission_structure'!$A$1:$I$4,
MATCH($D649, '2018_commission_structure'!$A$1:$A$4, 0),
MATCH(P$1, '2018_commission_structure'!$A$1:$I$1, 0)), 0)</f>
        <v>0</v>
      </c>
      <c r="R649" s="11">
        <f>IF(G649&gt;K649, (G649-K649) *
INDEX('2018_commission_structure'!$A$1:$I$4,
MATCH($D649, '2018_commission_structure'!$A$1:$A$4,0),
MATCH(R$1, '2018_commission_structure'!$A$1:$I$1,0)), 0)</f>
        <v>0</v>
      </c>
      <c r="S649" s="11">
        <f t="shared" si="65"/>
        <v>0</v>
      </c>
      <c r="T649" s="11" cm="1">
        <f t="array" ref="T649">SUM(E649+O649:Q649)</f>
        <v>351588</v>
      </c>
    </row>
    <row r="650" spans="1:20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 xml:space="preserve"> COUNTIF(deals_closed!D:D,A650)</f>
        <v>21</v>
      </c>
      <c r="G650" s="5">
        <f>SUMIF(deals_closed!D:D, calculations!A650, deals_closed!C:C)</f>
        <v>839903</v>
      </c>
      <c r="H650" s="5">
        <f>VLOOKUP(D650,'2018_commission_structure'!$A$2:$I$4,9,FALSE)</f>
        <v>600000</v>
      </c>
      <c r="I650" s="9">
        <f t="shared" si="60"/>
        <v>750000</v>
      </c>
      <c r="J650" s="8">
        <f t="shared" si="61"/>
        <v>900000</v>
      </c>
      <c r="K650" s="9">
        <f t="shared" si="62"/>
        <v>1200000</v>
      </c>
      <c r="L650" s="10">
        <f t="shared" si="63"/>
        <v>1.3998383333333333</v>
      </c>
      <c r="M650" t="str">
        <f t="shared" si="64"/>
        <v>125-150%</v>
      </c>
      <c r="N650" s="9">
        <f>MIN(H650, G650)*INDEX('2018_commission_structure'!$A$1:$I$4,
MATCH($D650, '2018_commission_structure'!$A$1:$A$4,0),
MATCH(N$1, '2018_commission_structure'!$A$1:$I$1,0))</f>
        <v>78000</v>
      </c>
      <c r="O650" s="11">
        <f>IF(G650&gt;H650, MIN(G650-H650, I650-H650)*
INDEX('2018_commission_structure'!$A$1:$I$4,
MATCH($D650, '2018_commission_structure'!$A$1:$A$4, 0),
MATCH(O$1, '2018_commission_structure'!$A$1:$I$1, 0)), 0)</f>
        <v>25500.000000000004</v>
      </c>
      <c r="P650" s="11">
        <f>IF(G650&gt;H650, MIN(G650-H650, J650-H650)*
INDEX('2018_commission_structure'!$A$1:$I$4,
MATCH($D650, '2018_commission_structure'!$A$1:$A$4, 0),
MATCH(O$1, '2018_commission_structure'!$A$1:$I$1, 0)), 0)</f>
        <v>40783.51</v>
      </c>
      <c r="Q650" s="11">
        <f>IF(G650&gt;H650, MIN(G650-H650, I650-H650)*
INDEX('2018_commission_structure'!$A$1:$I$4,
MATCH($D650, '2018_commission_structure'!$A$1:$A$4, 0),
MATCH(P$1, '2018_commission_structure'!$A$1:$I$1, 0)), 0)</f>
        <v>31500</v>
      </c>
      <c r="R650" s="11">
        <f>IF(G650&gt;K650, (G650-K650) *
INDEX('2018_commission_structure'!$A$1:$I$4,
MATCH($D650, '2018_commission_structure'!$A$1:$A$4,0),
MATCH(R$1, '2018_commission_structure'!$A$1:$I$1,0)), 0)</f>
        <v>0</v>
      </c>
      <c r="S650" s="11">
        <f t="shared" si="65"/>
        <v>97783.510000000009</v>
      </c>
      <c r="T650" s="11" cm="1">
        <f t="array" ref="T650">SUM(E650+O650:Q650)</f>
        <v>306955.51</v>
      </c>
    </row>
    <row r="651" spans="1:20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 xml:space="preserve"> COUNTIF(deals_closed!D:D,A651)</f>
        <v>26</v>
      </c>
      <c r="G651" s="5">
        <f>SUMIF(deals_closed!D:D, calculations!A651, deals_closed!C:C)</f>
        <v>956782</v>
      </c>
      <c r="H651" s="5">
        <f>VLOOKUP(D651,'2018_commission_structure'!$A$2:$I$4,9,FALSE)</f>
        <v>750000</v>
      </c>
      <c r="I651" s="9">
        <f t="shared" si="60"/>
        <v>937500</v>
      </c>
      <c r="J651" s="8">
        <f t="shared" si="61"/>
        <v>1125000</v>
      </c>
      <c r="K651" s="9">
        <f t="shared" si="62"/>
        <v>1500000</v>
      </c>
      <c r="L651" s="10">
        <f t="shared" si="63"/>
        <v>1.2757093333333334</v>
      </c>
      <c r="M651" t="str">
        <f t="shared" si="64"/>
        <v>125-150%</v>
      </c>
      <c r="N651" s="9">
        <f>MIN(H651, G651)*INDEX('2018_commission_structure'!$A$1:$I$4,
MATCH($D651, '2018_commission_structure'!$A$1:$A$4,0),
MATCH(N$1, '2018_commission_structure'!$A$1:$I$1,0))</f>
        <v>112500</v>
      </c>
      <c r="O651" s="11">
        <f>IF(G651&gt;H651, MIN(G651-H651, I651-H651)*
INDEX('2018_commission_structure'!$A$1:$I$4,
MATCH($D651, '2018_commission_structure'!$A$1:$A$4, 0),
MATCH(O$1, '2018_commission_structure'!$A$1:$I$1, 0)), 0)</f>
        <v>35625</v>
      </c>
      <c r="P651" s="11">
        <f>IF(G651&gt;H651, MIN(G651-H651, J651-H651)*
INDEX('2018_commission_structure'!$A$1:$I$4,
MATCH($D651, '2018_commission_structure'!$A$1:$A$4, 0),
MATCH(O$1, '2018_commission_structure'!$A$1:$I$1, 0)), 0)</f>
        <v>39288.58</v>
      </c>
      <c r="Q651" s="11">
        <f>IF(G651&gt;H651, MIN(G651-H651, I651-H651)*
INDEX('2018_commission_structure'!$A$1:$I$4,
MATCH($D651, '2018_commission_structure'!$A$1:$A$4, 0),
MATCH(P$1, '2018_commission_structure'!$A$1:$I$1, 0)), 0)</f>
        <v>43125</v>
      </c>
      <c r="R651" s="11">
        <f>IF(G651&gt;K651, (G651-K651) *
INDEX('2018_commission_structure'!$A$1:$I$4,
MATCH($D651, '2018_commission_structure'!$A$1:$A$4,0),
MATCH(R$1, '2018_commission_structure'!$A$1:$I$1,0)), 0)</f>
        <v>0</v>
      </c>
      <c r="S651" s="11">
        <f t="shared" si="65"/>
        <v>118038.58</v>
      </c>
      <c r="T651" s="11" cm="1">
        <f t="array" ref="T651">SUM(E651+O651:Q651)</f>
        <v>480498.58</v>
      </c>
    </row>
    <row r="652" spans="1:20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 xml:space="preserve"> COUNTIF(deals_closed!D:D,A652)</f>
        <v>18</v>
      </c>
      <c r="G652" s="5">
        <f>SUMIF(deals_closed!D:D, calculations!A652, deals_closed!C:C)</f>
        <v>732828</v>
      </c>
      <c r="H652" s="5">
        <f>VLOOKUP(D652,'2018_commission_structure'!$A$2:$I$4,9,FALSE)</f>
        <v>600000</v>
      </c>
      <c r="I652" s="9">
        <f t="shared" si="60"/>
        <v>750000</v>
      </c>
      <c r="J652" s="8">
        <f t="shared" si="61"/>
        <v>900000</v>
      </c>
      <c r="K652" s="9">
        <f t="shared" si="62"/>
        <v>1200000</v>
      </c>
      <c r="L652" s="10">
        <f t="shared" si="63"/>
        <v>1.2213799999999999</v>
      </c>
      <c r="M652" t="str">
        <f t="shared" si="64"/>
        <v>100-125%</v>
      </c>
      <c r="N652" s="9">
        <f>MIN(H652, G652)*INDEX('2018_commission_structure'!$A$1:$I$4,
MATCH($D652, '2018_commission_structure'!$A$1:$A$4,0),
MATCH(N$1, '2018_commission_structure'!$A$1:$I$1,0))</f>
        <v>78000</v>
      </c>
      <c r="O652" s="11">
        <f>IF(G652&gt;H652, MIN(G652-H652, I652-H652)*
INDEX('2018_commission_structure'!$A$1:$I$4,
MATCH($D652, '2018_commission_structure'!$A$1:$A$4, 0),
MATCH(O$1, '2018_commission_structure'!$A$1:$I$1, 0)), 0)</f>
        <v>22580.760000000002</v>
      </c>
      <c r="P652" s="11">
        <f>IF(G652&gt;H652, MIN(G652-H652, J652-H652)*
INDEX('2018_commission_structure'!$A$1:$I$4,
MATCH($D652, '2018_commission_structure'!$A$1:$A$4, 0),
MATCH(O$1, '2018_commission_structure'!$A$1:$I$1, 0)), 0)</f>
        <v>22580.760000000002</v>
      </c>
      <c r="Q652" s="11">
        <f>IF(G652&gt;H652, MIN(G652-H652, I652-H652)*
INDEX('2018_commission_structure'!$A$1:$I$4,
MATCH($D652, '2018_commission_structure'!$A$1:$A$4, 0),
MATCH(P$1, '2018_commission_structure'!$A$1:$I$1, 0)), 0)</f>
        <v>27893.879999999997</v>
      </c>
      <c r="R652" s="11">
        <f>IF(G652&gt;K652, (G652-K652) *
INDEX('2018_commission_structure'!$A$1:$I$4,
MATCH($D652, '2018_commission_structure'!$A$1:$A$4,0),
MATCH(R$1, '2018_commission_structure'!$A$1:$I$1,0)), 0)</f>
        <v>0</v>
      </c>
      <c r="S652" s="11">
        <f t="shared" si="65"/>
        <v>73055.399999999994</v>
      </c>
      <c r="T652" s="11" cm="1">
        <f t="array" ref="T652">SUM(E652+O652:Q652)</f>
        <v>308069.40000000002</v>
      </c>
    </row>
    <row r="653" spans="1:20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 xml:space="preserve"> COUNTIF(deals_closed!D:D,A653)</f>
        <v>22</v>
      </c>
      <c r="G653" s="5">
        <f>SUMIF(deals_closed!D:D, calculations!A653, deals_closed!C:C)</f>
        <v>854591</v>
      </c>
      <c r="H653" s="5">
        <f>VLOOKUP(D653,'2018_commission_structure'!$A$2:$I$4,9,FALSE)</f>
        <v>750000</v>
      </c>
      <c r="I653" s="9">
        <f t="shared" si="60"/>
        <v>937500</v>
      </c>
      <c r="J653" s="8">
        <f t="shared" si="61"/>
        <v>1125000</v>
      </c>
      <c r="K653" s="9">
        <f t="shared" si="62"/>
        <v>1500000</v>
      </c>
      <c r="L653" s="10">
        <f t="shared" si="63"/>
        <v>1.1394546666666667</v>
      </c>
      <c r="M653" t="str">
        <f t="shared" si="64"/>
        <v>100-125%</v>
      </c>
      <c r="N653" s="9">
        <f>MIN(H653, G653)*INDEX('2018_commission_structure'!$A$1:$I$4,
MATCH($D653, '2018_commission_structure'!$A$1:$A$4,0),
MATCH(N$1, '2018_commission_structure'!$A$1:$I$1,0))</f>
        <v>112500</v>
      </c>
      <c r="O653" s="11">
        <f>IF(G653&gt;H653, MIN(G653-H653, I653-H653)*
INDEX('2018_commission_structure'!$A$1:$I$4,
MATCH($D653, '2018_commission_structure'!$A$1:$A$4, 0),
MATCH(O$1, '2018_commission_structure'!$A$1:$I$1, 0)), 0)</f>
        <v>19872.29</v>
      </c>
      <c r="P653" s="11">
        <f>IF(G653&gt;H653, MIN(G653-H653, J653-H653)*
INDEX('2018_commission_structure'!$A$1:$I$4,
MATCH($D653, '2018_commission_structure'!$A$1:$A$4, 0),
MATCH(O$1, '2018_commission_structure'!$A$1:$I$1, 0)), 0)</f>
        <v>19872.29</v>
      </c>
      <c r="Q653" s="11">
        <f>IF(G653&gt;H653, MIN(G653-H653, I653-H653)*
INDEX('2018_commission_structure'!$A$1:$I$4,
MATCH($D653, '2018_commission_structure'!$A$1:$A$4, 0),
MATCH(P$1, '2018_commission_structure'!$A$1:$I$1, 0)), 0)</f>
        <v>24055.93</v>
      </c>
      <c r="R653" s="11">
        <f>IF(G653&gt;K653, (G653-K653) *
INDEX('2018_commission_structure'!$A$1:$I$4,
MATCH($D653, '2018_commission_structure'!$A$1:$A$4,0),
MATCH(R$1, '2018_commission_structure'!$A$1:$I$1,0)), 0)</f>
        <v>0</v>
      </c>
      <c r="S653" s="11">
        <f t="shared" si="65"/>
        <v>63800.51</v>
      </c>
      <c r="T653" s="11" cm="1">
        <f t="array" ref="T653">SUM(E653+O653:Q653)</f>
        <v>432353.51</v>
      </c>
    </row>
    <row r="654" spans="1:20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 xml:space="preserve"> COUNTIF(deals_closed!D:D,A654)</f>
        <v>15</v>
      </c>
      <c r="G654" s="5">
        <f>SUMIF(deals_closed!D:D, calculations!A654, deals_closed!C:C)</f>
        <v>588871</v>
      </c>
      <c r="H654" s="5">
        <f>VLOOKUP(D654,'2018_commission_structure'!$A$2:$I$4,9,FALSE)</f>
        <v>500000</v>
      </c>
      <c r="I654" s="9">
        <f t="shared" si="60"/>
        <v>625000</v>
      </c>
      <c r="J654" s="8">
        <f t="shared" si="61"/>
        <v>750000</v>
      </c>
      <c r="K654" s="9">
        <f t="shared" si="62"/>
        <v>1000000</v>
      </c>
      <c r="L654" s="10">
        <f t="shared" si="63"/>
        <v>1.1777420000000001</v>
      </c>
      <c r="M654" t="str">
        <f t="shared" si="64"/>
        <v>100-125%</v>
      </c>
      <c r="N654" s="9">
        <f>MIN(H654, G654)*INDEX('2018_commission_structure'!$A$1:$I$4,
MATCH($D654, '2018_commission_structure'!$A$1:$A$4,0),
MATCH(N$1, '2018_commission_structure'!$A$1:$I$1,0))</f>
        <v>50000</v>
      </c>
      <c r="O654" s="11">
        <f>IF(G654&gt;H654, MIN(G654-H654, I654-H654)*
INDEX('2018_commission_structure'!$A$1:$I$4,
MATCH($D654, '2018_commission_structure'!$A$1:$A$4, 0),
MATCH(O$1, '2018_commission_structure'!$A$1:$I$1, 0)), 0)</f>
        <v>13330.65</v>
      </c>
      <c r="P654" s="11">
        <f>IF(G654&gt;H654, MIN(G654-H654, J654-H654)*
INDEX('2018_commission_structure'!$A$1:$I$4,
MATCH($D654, '2018_commission_structure'!$A$1:$A$4, 0),
MATCH(O$1, '2018_commission_structure'!$A$1:$I$1, 0)), 0)</f>
        <v>13330.65</v>
      </c>
      <c r="Q654" s="11">
        <f>IF(G654&gt;H654, MIN(G654-H654, I654-H654)*
INDEX('2018_commission_structure'!$A$1:$I$4,
MATCH($D654, '2018_commission_structure'!$A$1:$A$4, 0),
MATCH(P$1, '2018_commission_structure'!$A$1:$I$1, 0)), 0)</f>
        <v>15996.779999999999</v>
      </c>
      <c r="R654" s="11">
        <f>IF(G654&gt;K654, (G654-K654) *
INDEX('2018_commission_structure'!$A$1:$I$4,
MATCH($D654, '2018_commission_structure'!$A$1:$A$4,0),
MATCH(R$1, '2018_commission_structure'!$A$1:$I$1,0)), 0)</f>
        <v>0</v>
      </c>
      <c r="S654" s="11">
        <f t="shared" si="65"/>
        <v>42658.080000000002</v>
      </c>
      <c r="T654" s="11" cm="1">
        <f t="array" ref="T654">SUM(E654+O654:Q654)</f>
        <v>177430.08000000002</v>
      </c>
    </row>
    <row r="655" spans="1:20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 xml:space="preserve"> COUNTIF(deals_closed!D:D,A655)</f>
        <v>27</v>
      </c>
      <c r="G655" s="5">
        <f>SUMIF(deals_closed!D:D, calculations!A655, deals_closed!C:C)</f>
        <v>981577</v>
      </c>
      <c r="H655" s="5">
        <f>VLOOKUP(D655,'2018_commission_structure'!$A$2:$I$4,9,FALSE)</f>
        <v>600000</v>
      </c>
      <c r="I655" s="9">
        <f t="shared" si="60"/>
        <v>750000</v>
      </c>
      <c r="J655" s="8">
        <f t="shared" si="61"/>
        <v>900000</v>
      </c>
      <c r="K655" s="9">
        <f t="shared" si="62"/>
        <v>1200000</v>
      </c>
      <c r="L655" s="10">
        <f t="shared" si="63"/>
        <v>1.6359616666666668</v>
      </c>
      <c r="M655" t="str">
        <f t="shared" si="64"/>
        <v>150-200%</v>
      </c>
      <c r="N655" s="9">
        <f>MIN(H655, G655)*INDEX('2018_commission_structure'!$A$1:$I$4,
MATCH($D655, '2018_commission_structure'!$A$1:$A$4,0),
MATCH(N$1, '2018_commission_structure'!$A$1:$I$1,0))</f>
        <v>78000</v>
      </c>
      <c r="O655" s="11">
        <f>IF(G655&gt;H655, MIN(G655-H655, I655-H655)*
INDEX('2018_commission_structure'!$A$1:$I$4,
MATCH($D655, '2018_commission_structure'!$A$1:$A$4, 0),
MATCH(O$1, '2018_commission_structure'!$A$1:$I$1, 0)), 0)</f>
        <v>25500.000000000004</v>
      </c>
      <c r="P655" s="11">
        <f>IF(G655&gt;H655, MIN(G655-H655, J655-H655)*
INDEX('2018_commission_structure'!$A$1:$I$4,
MATCH($D655, '2018_commission_structure'!$A$1:$A$4, 0),
MATCH(O$1, '2018_commission_structure'!$A$1:$I$1, 0)), 0)</f>
        <v>51000.000000000007</v>
      </c>
      <c r="Q655" s="11">
        <f>IF(G655&gt;H655, MIN(G655-H655, I655-H655)*
INDEX('2018_commission_structure'!$A$1:$I$4,
MATCH($D655, '2018_commission_structure'!$A$1:$A$4, 0),
MATCH(P$1, '2018_commission_structure'!$A$1:$I$1, 0)), 0)</f>
        <v>31500</v>
      </c>
      <c r="R655" s="11">
        <f>IF(G655&gt;K655, (G655-K655) *
INDEX('2018_commission_structure'!$A$1:$I$4,
MATCH($D655, '2018_commission_structure'!$A$1:$A$4,0),
MATCH(R$1, '2018_commission_structure'!$A$1:$I$1,0)), 0)</f>
        <v>0</v>
      </c>
      <c r="S655" s="11">
        <f t="shared" si="65"/>
        <v>108000.00000000001</v>
      </c>
      <c r="T655" s="11" cm="1">
        <f t="array" ref="T655">SUM(E655+O655:Q655)</f>
        <v>294429</v>
      </c>
    </row>
    <row r="656" spans="1:20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 xml:space="preserve"> COUNTIF(deals_closed!D:D,A656)</f>
        <v>23</v>
      </c>
      <c r="G656" s="5">
        <f>SUMIF(deals_closed!D:D, calculations!A656, deals_closed!C:C)</f>
        <v>835659</v>
      </c>
      <c r="H656" s="5">
        <f>VLOOKUP(D656,'2018_commission_structure'!$A$2:$I$4,9,FALSE)</f>
        <v>500000</v>
      </c>
      <c r="I656" s="9">
        <f t="shared" si="60"/>
        <v>625000</v>
      </c>
      <c r="J656" s="8">
        <f t="shared" si="61"/>
        <v>750000</v>
      </c>
      <c r="K656" s="9">
        <f t="shared" si="62"/>
        <v>1000000</v>
      </c>
      <c r="L656" s="10">
        <f t="shared" si="63"/>
        <v>1.6713180000000001</v>
      </c>
      <c r="M656" t="str">
        <f t="shared" si="64"/>
        <v>150-200%</v>
      </c>
      <c r="N656" s="9">
        <f>MIN(H656, G656)*INDEX('2018_commission_structure'!$A$1:$I$4,
MATCH($D656, '2018_commission_structure'!$A$1:$A$4,0),
MATCH(N$1, '2018_commission_structure'!$A$1:$I$1,0))</f>
        <v>50000</v>
      </c>
      <c r="O656" s="11">
        <f>IF(G656&gt;H656, MIN(G656-H656, I656-H656)*
INDEX('2018_commission_structure'!$A$1:$I$4,
MATCH($D656, '2018_commission_structure'!$A$1:$A$4, 0),
MATCH(O$1, '2018_commission_structure'!$A$1:$I$1, 0)), 0)</f>
        <v>18750</v>
      </c>
      <c r="P656" s="11">
        <f>IF(G656&gt;H656, MIN(G656-H656, J656-H656)*
INDEX('2018_commission_structure'!$A$1:$I$4,
MATCH($D656, '2018_commission_structure'!$A$1:$A$4, 0),
MATCH(O$1, '2018_commission_structure'!$A$1:$I$1, 0)), 0)</f>
        <v>37500</v>
      </c>
      <c r="Q656" s="11">
        <f>IF(G656&gt;H656, MIN(G656-H656, I656-H656)*
INDEX('2018_commission_structure'!$A$1:$I$4,
MATCH($D656, '2018_commission_structure'!$A$1:$A$4, 0),
MATCH(P$1, '2018_commission_structure'!$A$1:$I$1, 0)), 0)</f>
        <v>22500</v>
      </c>
      <c r="R656" s="11">
        <f>IF(G656&gt;K656, (G656-K656) *
INDEX('2018_commission_structure'!$A$1:$I$4,
MATCH($D656, '2018_commission_structure'!$A$1:$A$4,0),
MATCH(R$1, '2018_commission_structure'!$A$1:$I$1,0)), 0)</f>
        <v>0</v>
      </c>
      <c r="S656" s="11">
        <f t="shared" si="65"/>
        <v>78750</v>
      </c>
      <c r="T656" s="11" cm="1">
        <f t="array" ref="T656">SUM(E656+O656:Q656)</f>
        <v>221784</v>
      </c>
    </row>
    <row r="657" spans="1:20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 xml:space="preserve"> COUNTIF(deals_closed!D:D,A657)</f>
        <v>19</v>
      </c>
      <c r="G657" s="5">
        <f>SUMIF(deals_closed!D:D, calculations!A657, deals_closed!C:C)</f>
        <v>722389</v>
      </c>
      <c r="H657" s="5">
        <f>VLOOKUP(D657,'2018_commission_structure'!$A$2:$I$4,9,FALSE)</f>
        <v>500000</v>
      </c>
      <c r="I657" s="9">
        <f t="shared" si="60"/>
        <v>625000</v>
      </c>
      <c r="J657" s="8">
        <f t="shared" si="61"/>
        <v>750000</v>
      </c>
      <c r="K657" s="9">
        <f t="shared" si="62"/>
        <v>1000000</v>
      </c>
      <c r="L657" s="10">
        <f t="shared" si="63"/>
        <v>1.4447779999999999</v>
      </c>
      <c r="M657" t="str">
        <f t="shared" si="64"/>
        <v>125-150%</v>
      </c>
      <c r="N657" s="9">
        <f>MIN(H657, G657)*INDEX('2018_commission_structure'!$A$1:$I$4,
MATCH($D657, '2018_commission_structure'!$A$1:$A$4,0),
MATCH(N$1, '2018_commission_structure'!$A$1:$I$1,0))</f>
        <v>50000</v>
      </c>
      <c r="O657" s="11">
        <f>IF(G657&gt;H657, MIN(G657-H657, I657-H657)*
INDEX('2018_commission_structure'!$A$1:$I$4,
MATCH($D657, '2018_commission_structure'!$A$1:$A$4, 0),
MATCH(O$1, '2018_commission_structure'!$A$1:$I$1, 0)), 0)</f>
        <v>18750</v>
      </c>
      <c r="P657" s="11">
        <f>IF(G657&gt;H657, MIN(G657-H657, J657-H657)*
INDEX('2018_commission_structure'!$A$1:$I$4,
MATCH($D657, '2018_commission_structure'!$A$1:$A$4, 0),
MATCH(O$1, '2018_commission_structure'!$A$1:$I$1, 0)), 0)</f>
        <v>33358.35</v>
      </c>
      <c r="Q657" s="11">
        <f>IF(G657&gt;H657, MIN(G657-H657, I657-H657)*
INDEX('2018_commission_structure'!$A$1:$I$4,
MATCH($D657, '2018_commission_structure'!$A$1:$A$4, 0),
MATCH(P$1, '2018_commission_structure'!$A$1:$I$1, 0)), 0)</f>
        <v>22500</v>
      </c>
      <c r="R657" s="11">
        <f>IF(G657&gt;K657, (G657-K657) *
INDEX('2018_commission_structure'!$A$1:$I$4,
MATCH($D657, '2018_commission_structure'!$A$1:$A$4,0),
MATCH(R$1, '2018_commission_structure'!$A$1:$I$1,0)), 0)</f>
        <v>0</v>
      </c>
      <c r="S657" s="11">
        <f t="shared" si="65"/>
        <v>74608.350000000006</v>
      </c>
      <c r="T657" s="11" cm="1">
        <f t="array" ref="T657">SUM(E657+O657:Q657)</f>
        <v>207658.35</v>
      </c>
    </row>
    <row r="658" spans="1:20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 xml:space="preserve"> COUNTIF(deals_closed!D:D,A658)</f>
        <v>19</v>
      </c>
      <c r="G658" s="5">
        <f>SUMIF(deals_closed!D:D, calculations!A658, deals_closed!C:C)</f>
        <v>676097</v>
      </c>
      <c r="H658" s="5">
        <f>VLOOKUP(D658,'2018_commission_structure'!$A$2:$I$4,9,FALSE)</f>
        <v>600000</v>
      </c>
      <c r="I658" s="9">
        <f t="shared" si="60"/>
        <v>750000</v>
      </c>
      <c r="J658" s="8">
        <f t="shared" si="61"/>
        <v>900000</v>
      </c>
      <c r="K658" s="9">
        <f t="shared" si="62"/>
        <v>1200000</v>
      </c>
      <c r="L658" s="10">
        <f t="shared" si="63"/>
        <v>1.1268283333333333</v>
      </c>
      <c r="M658" t="str">
        <f t="shared" si="64"/>
        <v>100-125%</v>
      </c>
      <c r="N658" s="9">
        <f>MIN(H658, G658)*INDEX('2018_commission_structure'!$A$1:$I$4,
MATCH($D658, '2018_commission_structure'!$A$1:$A$4,0),
MATCH(N$1, '2018_commission_structure'!$A$1:$I$1,0))</f>
        <v>78000</v>
      </c>
      <c r="O658" s="11">
        <f>IF(G658&gt;H658, MIN(G658-H658, I658-H658)*
INDEX('2018_commission_structure'!$A$1:$I$4,
MATCH($D658, '2018_commission_structure'!$A$1:$A$4, 0),
MATCH(O$1, '2018_commission_structure'!$A$1:$I$1, 0)), 0)</f>
        <v>12936.490000000002</v>
      </c>
      <c r="P658" s="11">
        <f>IF(G658&gt;H658, MIN(G658-H658, J658-H658)*
INDEX('2018_commission_structure'!$A$1:$I$4,
MATCH($D658, '2018_commission_structure'!$A$1:$A$4, 0),
MATCH(O$1, '2018_commission_structure'!$A$1:$I$1, 0)), 0)</f>
        <v>12936.490000000002</v>
      </c>
      <c r="Q658" s="11">
        <f>IF(G658&gt;H658, MIN(G658-H658, I658-H658)*
INDEX('2018_commission_structure'!$A$1:$I$4,
MATCH($D658, '2018_commission_structure'!$A$1:$A$4, 0),
MATCH(P$1, '2018_commission_structure'!$A$1:$I$1, 0)), 0)</f>
        <v>15980.369999999999</v>
      </c>
      <c r="R658" s="11">
        <f>IF(G658&gt;K658, (G658-K658) *
INDEX('2018_commission_structure'!$A$1:$I$4,
MATCH($D658, '2018_commission_structure'!$A$1:$A$4,0),
MATCH(R$1, '2018_commission_structure'!$A$1:$I$1,0)), 0)</f>
        <v>0</v>
      </c>
      <c r="S658" s="11">
        <f t="shared" si="65"/>
        <v>41853.350000000006</v>
      </c>
      <c r="T658" s="11" cm="1">
        <f t="array" ref="T658">SUM(E658+O658:Q658)</f>
        <v>242721.35</v>
      </c>
    </row>
    <row r="659" spans="1:20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 xml:space="preserve"> COUNTIF(deals_closed!D:D,A659)</f>
        <v>20</v>
      </c>
      <c r="G659" s="5">
        <f>SUMIF(deals_closed!D:D, calculations!A659, deals_closed!C:C)</f>
        <v>751419</v>
      </c>
      <c r="H659" s="5">
        <f>VLOOKUP(D659,'2018_commission_structure'!$A$2:$I$4,9,FALSE)</f>
        <v>500000</v>
      </c>
      <c r="I659" s="9">
        <f t="shared" si="60"/>
        <v>625000</v>
      </c>
      <c r="J659" s="8">
        <f t="shared" si="61"/>
        <v>750000</v>
      </c>
      <c r="K659" s="9">
        <f t="shared" si="62"/>
        <v>1000000</v>
      </c>
      <c r="L659" s="10">
        <f t="shared" si="63"/>
        <v>1.5028379999999999</v>
      </c>
      <c r="M659" t="str">
        <f t="shared" si="64"/>
        <v>150-200%</v>
      </c>
      <c r="N659" s="9">
        <f>MIN(H659, G659)*INDEX('2018_commission_structure'!$A$1:$I$4,
MATCH($D659, '2018_commission_structure'!$A$1:$A$4,0),
MATCH(N$1, '2018_commission_structure'!$A$1:$I$1,0))</f>
        <v>50000</v>
      </c>
      <c r="O659" s="11">
        <f>IF(G659&gt;H659, MIN(G659-H659, I659-H659)*
INDEX('2018_commission_structure'!$A$1:$I$4,
MATCH($D659, '2018_commission_structure'!$A$1:$A$4, 0),
MATCH(O$1, '2018_commission_structure'!$A$1:$I$1, 0)), 0)</f>
        <v>18750</v>
      </c>
      <c r="P659" s="11">
        <f>IF(G659&gt;H659, MIN(G659-H659, J659-H659)*
INDEX('2018_commission_structure'!$A$1:$I$4,
MATCH($D659, '2018_commission_structure'!$A$1:$A$4, 0),
MATCH(O$1, '2018_commission_structure'!$A$1:$I$1, 0)), 0)</f>
        <v>37500</v>
      </c>
      <c r="Q659" s="11">
        <f>IF(G659&gt;H659, MIN(G659-H659, I659-H659)*
INDEX('2018_commission_structure'!$A$1:$I$4,
MATCH($D659, '2018_commission_structure'!$A$1:$A$4, 0),
MATCH(P$1, '2018_commission_structure'!$A$1:$I$1, 0)), 0)</f>
        <v>22500</v>
      </c>
      <c r="R659" s="11">
        <f>IF(G659&gt;K659, (G659-K659) *
INDEX('2018_commission_structure'!$A$1:$I$4,
MATCH($D659, '2018_commission_structure'!$A$1:$A$4,0),
MATCH(R$1, '2018_commission_structure'!$A$1:$I$1,0)), 0)</f>
        <v>0</v>
      </c>
      <c r="S659" s="11">
        <f t="shared" si="65"/>
        <v>78750</v>
      </c>
      <c r="T659" s="11" cm="1">
        <f t="array" ref="T659">SUM(E659+O659:Q659)</f>
        <v>248349</v>
      </c>
    </row>
    <row r="660" spans="1:20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 xml:space="preserve"> COUNTIF(deals_closed!D:D,A660)</f>
        <v>16</v>
      </c>
      <c r="G660" s="5">
        <f>SUMIF(deals_closed!D:D, calculations!A660, deals_closed!C:C)</f>
        <v>585898</v>
      </c>
      <c r="H660" s="5">
        <f>VLOOKUP(D660,'2018_commission_structure'!$A$2:$I$4,9,FALSE)</f>
        <v>600000</v>
      </c>
      <c r="I660" s="9">
        <f t="shared" si="60"/>
        <v>750000</v>
      </c>
      <c r="J660" s="8">
        <f t="shared" si="61"/>
        <v>900000</v>
      </c>
      <c r="K660" s="9">
        <f t="shared" si="62"/>
        <v>1200000</v>
      </c>
      <c r="L660" s="10">
        <f t="shared" si="63"/>
        <v>0.97649666666666668</v>
      </c>
      <c r="M660" t="str">
        <f t="shared" si="64"/>
        <v>0-100%</v>
      </c>
      <c r="N660" s="9">
        <f>MIN(H660, G660)*INDEX('2018_commission_structure'!$A$1:$I$4,
MATCH($D660, '2018_commission_structure'!$A$1:$A$4,0),
MATCH(N$1, '2018_commission_structure'!$A$1:$I$1,0))</f>
        <v>76166.740000000005</v>
      </c>
      <c r="O660" s="11">
        <f>IF(G660&gt;H660, MIN(G660-H660, I660-H660)*
INDEX('2018_commission_structure'!$A$1:$I$4,
MATCH($D660, '2018_commission_structure'!$A$1:$A$4, 0),
MATCH(O$1, '2018_commission_structure'!$A$1:$I$1, 0)), 0)</f>
        <v>0</v>
      </c>
      <c r="P660" s="11">
        <f>IF(G660&gt;H660, MIN(G660-H660, J660-H660)*
INDEX('2018_commission_structure'!$A$1:$I$4,
MATCH($D660, '2018_commission_structure'!$A$1:$A$4, 0),
MATCH(O$1, '2018_commission_structure'!$A$1:$I$1, 0)), 0)</f>
        <v>0</v>
      </c>
      <c r="Q660" s="11">
        <f>IF(G660&gt;H660, MIN(G660-H660, I660-H660)*
INDEX('2018_commission_structure'!$A$1:$I$4,
MATCH($D660, '2018_commission_structure'!$A$1:$A$4, 0),
MATCH(P$1, '2018_commission_structure'!$A$1:$I$1, 0)), 0)</f>
        <v>0</v>
      </c>
      <c r="R660" s="11">
        <f>IF(G660&gt;K660, (G660-K660) *
INDEX('2018_commission_structure'!$A$1:$I$4,
MATCH($D660, '2018_commission_structure'!$A$1:$A$4,0),
MATCH(R$1, '2018_commission_structure'!$A$1:$I$1,0)), 0)</f>
        <v>0</v>
      </c>
      <c r="S660" s="11">
        <f t="shared" si="65"/>
        <v>0</v>
      </c>
      <c r="T660" s="11" cm="1">
        <f t="array" ref="T660">SUM(E660+O660:Q660)</f>
        <v>206523</v>
      </c>
    </row>
    <row r="661" spans="1:20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 xml:space="preserve"> COUNTIF(deals_closed!D:D,A661)</f>
        <v>13</v>
      </c>
      <c r="G661" s="5">
        <f>SUMIF(deals_closed!D:D, calculations!A661, deals_closed!C:C)</f>
        <v>432502</v>
      </c>
      <c r="H661" s="5">
        <f>VLOOKUP(D661,'2018_commission_structure'!$A$2:$I$4,9,FALSE)</f>
        <v>750000</v>
      </c>
      <c r="I661" s="9">
        <f t="shared" si="60"/>
        <v>937500</v>
      </c>
      <c r="J661" s="8">
        <f t="shared" si="61"/>
        <v>1125000</v>
      </c>
      <c r="K661" s="9">
        <f t="shared" si="62"/>
        <v>1500000</v>
      </c>
      <c r="L661" s="10">
        <f t="shared" si="63"/>
        <v>0.57666933333333337</v>
      </c>
      <c r="M661" t="str">
        <f t="shared" si="64"/>
        <v>0-100%</v>
      </c>
      <c r="N661" s="9">
        <f>MIN(H661, G661)*INDEX('2018_commission_structure'!$A$1:$I$4,
MATCH($D661, '2018_commission_structure'!$A$1:$A$4,0),
MATCH(N$1, '2018_commission_structure'!$A$1:$I$1,0))</f>
        <v>64875.299999999996</v>
      </c>
      <c r="O661" s="11">
        <f>IF(G661&gt;H661, MIN(G661-H661, I661-H661)*
INDEX('2018_commission_structure'!$A$1:$I$4,
MATCH($D661, '2018_commission_structure'!$A$1:$A$4, 0),
MATCH(O$1, '2018_commission_structure'!$A$1:$I$1, 0)), 0)</f>
        <v>0</v>
      </c>
      <c r="P661" s="11">
        <f>IF(G661&gt;H661, MIN(G661-H661, J661-H661)*
INDEX('2018_commission_structure'!$A$1:$I$4,
MATCH($D661, '2018_commission_structure'!$A$1:$A$4, 0),
MATCH(O$1, '2018_commission_structure'!$A$1:$I$1, 0)), 0)</f>
        <v>0</v>
      </c>
      <c r="Q661" s="11">
        <f>IF(G661&gt;H661, MIN(G661-H661, I661-H661)*
INDEX('2018_commission_structure'!$A$1:$I$4,
MATCH($D661, '2018_commission_structure'!$A$1:$A$4, 0),
MATCH(P$1, '2018_commission_structure'!$A$1:$I$1, 0)), 0)</f>
        <v>0</v>
      </c>
      <c r="R661" s="11">
        <f>IF(G661&gt;K661, (G661-K661) *
INDEX('2018_commission_structure'!$A$1:$I$4,
MATCH($D661, '2018_commission_structure'!$A$1:$A$4,0),
MATCH(R$1, '2018_commission_structure'!$A$1:$I$1,0)), 0)</f>
        <v>0</v>
      </c>
      <c r="S661" s="11">
        <f t="shared" si="65"/>
        <v>0</v>
      </c>
      <c r="T661" s="11" cm="1">
        <f t="array" ref="T661">SUM(E661+O661:Q661)</f>
        <v>264036</v>
      </c>
    </row>
    <row r="662" spans="1:20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 xml:space="preserve"> COUNTIF(deals_closed!D:D,A662)</f>
        <v>18</v>
      </c>
      <c r="G662" s="5">
        <f>SUMIF(deals_closed!D:D, calculations!A662, deals_closed!C:C)</f>
        <v>695864</v>
      </c>
      <c r="H662" s="5">
        <f>VLOOKUP(D662,'2018_commission_structure'!$A$2:$I$4,9,FALSE)</f>
        <v>600000</v>
      </c>
      <c r="I662" s="9">
        <f t="shared" si="60"/>
        <v>750000</v>
      </c>
      <c r="J662" s="8">
        <f t="shared" si="61"/>
        <v>900000</v>
      </c>
      <c r="K662" s="9">
        <f t="shared" si="62"/>
        <v>1200000</v>
      </c>
      <c r="L662" s="10">
        <f t="shared" si="63"/>
        <v>1.1597733333333333</v>
      </c>
      <c r="M662" t="str">
        <f t="shared" si="64"/>
        <v>100-125%</v>
      </c>
      <c r="N662" s="9">
        <f>MIN(H662, G662)*INDEX('2018_commission_structure'!$A$1:$I$4,
MATCH($D662, '2018_commission_structure'!$A$1:$A$4,0),
MATCH(N$1, '2018_commission_structure'!$A$1:$I$1,0))</f>
        <v>78000</v>
      </c>
      <c r="O662" s="11">
        <f>IF(G662&gt;H662, MIN(G662-H662, I662-H662)*
INDEX('2018_commission_structure'!$A$1:$I$4,
MATCH($D662, '2018_commission_structure'!$A$1:$A$4, 0),
MATCH(O$1, '2018_commission_structure'!$A$1:$I$1, 0)), 0)</f>
        <v>16296.880000000001</v>
      </c>
      <c r="P662" s="11">
        <f>IF(G662&gt;H662, MIN(G662-H662, J662-H662)*
INDEX('2018_commission_structure'!$A$1:$I$4,
MATCH($D662, '2018_commission_structure'!$A$1:$A$4, 0),
MATCH(O$1, '2018_commission_structure'!$A$1:$I$1, 0)), 0)</f>
        <v>16296.880000000001</v>
      </c>
      <c r="Q662" s="11">
        <f>IF(G662&gt;H662, MIN(G662-H662, I662-H662)*
INDEX('2018_commission_structure'!$A$1:$I$4,
MATCH($D662, '2018_commission_structure'!$A$1:$A$4, 0),
MATCH(P$1, '2018_commission_structure'!$A$1:$I$1, 0)), 0)</f>
        <v>20131.439999999999</v>
      </c>
      <c r="R662" s="11">
        <f>IF(G662&gt;K662, (G662-K662) *
INDEX('2018_commission_structure'!$A$1:$I$4,
MATCH($D662, '2018_commission_structure'!$A$1:$A$4,0),
MATCH(R$1, '2018_commission_structure'!$A$1:$I$1,0)), 0)</f>
        <v>0</v>
      </c>
      <c r="S662" s="11">
        <f t="shared" si="65"/>
        <v>52725.2</v>
      </c>
      <c r="T662" s="11" cm="1">
        <f t="array" ref="T662">SUM(E662+O662:Q662)</f>
        <v>240888.2</v>
      </c>
    </row>
    <row r="663" spans="1:20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 xml:space="preserve"> COUNTIF(deals_closed!D:D,A663)</f>
        <v>25</v>
      </c>
      <c r="G663" s="5">
        <f>SUMIF(deals_closed!D:D, calculations!A663, deals_closed!C:C)</f>
        <v>805047</v>
      </c>
      <c r="H663" s="5">
        <f>VLOOKUP(D663,'2018_commission_structure'!$A$2:$I$4,9,FALSE)</f>
        <v>500000</v>
      </c>
      <c r="I663" s="9">
        <f t="shared" si="60"/>
        <v>625000</v>
      </c>
      <c r="J663" s="8">
        <f t="shared" si="61"/>
        <v>750000</v>
      </c>
      <c r="K663" s="9">
        <f t="shared" si="62"/>
        <v>1000000</v>
      </c>
      <c r="L663" s="10">
        <f t="shared" si="63"/>
        <v>1.6100939999999999</v>
      </c>
      <c r="M663" t="str">
        <f t="shared" si="64"/>
        <v>150-200%</v>
      </c>
      <c r="N663" s="9">
        <f>MIN(H663, G663)*INDEX('2018_commission_structure'!$A$1:$I$4,
MATCH($D663, '2018_commission_structure'!$A$1:$A$4,0),
MATCH(N$1, '2018_commission_structure'!$A$1:$I$1,0))</f>
        <v>50000</v>
      </c>
      <c r="O663" s="11">
        <f>IF(G663&gt;H663, MIN(G663-H663, I663-H663)*
INDEX('2018_commission_structure'!$A$1:$I$4,
MATCH($D663, '2018_commission_structure'!$A$1:$A$4, 0),
MATCH(O$1, '2018_commission_structure'!$A$1:$I$1, 0)), 0)</f>
        <v>18750</v>
      </c>
      <c r="P663" s="11">
        <f>IF(G663&gt;H663, MIN(G663-H663, J663-H663)*
INDEX('2018_commission_structure'!$A$1:$I$4,
MATCH($D663, '2018_commission_structure'!$A$1:$A$4, 0),
MATCH(O$1, '2018_commission_structure'!$A$1:$I$1, 0)), 0)</f>
        <v>37500</v>
      </c>
      <c r="Q663" s="11">
        <f>IF(G663&gt;H663, MIN(G663-H663, I663-H663)*
INDEX('2018_commission_structure'!$A$1:$I$4,
MATCH($D663, '2018_commission_structure'!$A$1:$A$4, 0),
MATCH(P$1, '2018_commission_structure'!$A$1:$I$1, 0)), 0)</f>
        <v>22500</v>
      </c>
      <c r="R663" s="11">
        <f>IF(G663&gt;K663, (G663-K663) *
INDEX('2018_commission_structure'!$A$1:$I$4,
MATCH($D663, '2018_commission_structure'!$A$1:$A$4,0),
MATCH(R$1, '2018_commission_structure'!$A$1:$I$1,0)), 0)</f>
        <v>0</v>
      </c>
      <c r="S663" s="11">
        <f t="shared" si="65"/>
        <v>78750</v>
      </c>
      <c r="T663" s="11" cm="1">
        <f t="array" ref="T663">SUM(E663+O663:Q663)</f>
        <v>194514</v>
      </c>
    </row>
    <row r="664" spans="1:20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 xml:space="preserve"> COUNTIF(deals_closed!D:D,A664)</f>
        <v>24</v>
      </c>
      <c r="G664" s="5">
        <f>SUMIF(deals_closed!D:D, calculations!A664, deals_closed!C:C)</f>
        <v>800249</v>
      </c>
      <c r="H664" s="5">
        <f>VLOOKUP(D664,'2018_commission_structure'!$A$2:$I$4,9,FALSE)</f>
        <v>600000</v>
      </c>
      <c r="I664" s="9">
        <f t="shared" si="60"/>
        <v>750000</v>
      </c>
      <c r="J664" s="8">
        <f t="shared" si="61"/>
        <v>900000</v>
      </c>
      <c r="K664" s="9">
        <f t="shared" si="62"/>
        <v>1200000</v>
      </c>
      <c r="L664" s="10">
        <f t="shared" si="63"/>
        <v>1.3337483333333333</v>
      </c>
      <c r="M664" t="str">
        <f t="shared" si="64"/>
        <v>125-150%</v>
      </c>
      <c r="N664" s="9">
        <f>MIN(H664, G664)*INDEX('2018_commission_structure'!$A$1:$I$4,
MATCH($D664, '2018_commission_structure'!$A$1:$A$4,0),
MATCH(N$1, '2018_commission_structure'!$A$1:$I$1,0))</f>
        <v>78000</v>
      </c>
      <c r="O664" s="11">
        <f>IF(G664&gt;H664, MIN(G664-H664, I664-H664)*
INDEX('2018_commission_structure'!$A$1:$I$4,
MATCH($D664, '2018_commission_structure'!$A$1:$A$4, 0),
MATCH(O$1, '2018_commission_structure'!$A$1:$I$1, 0)), 0)</f>
        <v>25500.000000000004</v>
      </c>
      <c r="P664" s="11">
        <f>IF(G664&gt;H664, MIN(G664-H664, J664-H664)*
INDEX('2018_commission_structure'!$A$1:$I$4,
MATCH($D664, '2018_commission_structure'!$A$1:$A$4, 0),
MATCH(O$1, '2018_commission_structure'!$A$1:$I$1, 0)), 0)</f>
        <v>34042.33</v>
      </c>
      <c r="Q664" s="11">
        <f>IF(G664&gt;H664, MIN(G664-H664, I664-H664)*
INDEX('2018_commission_structure'!$A$1:$I$4,
MATCH($D664, '2018_commission_structure'!$A$1:$A$4, 0),
MATCH(P$1, '2018_commission_structure'!$A$1:$I$1, 0)), 0)</f>
        <v>31500</v>
      </c>
      <c r="R664" s="11">
        <f>IF(G664&gt;K664, (G664-K664) *
INDEX('2018_commission_structure'!$A$1:$I$4,
MATCH($D664, '2018_commission_structure'!$A$1:$A$4,0),
MATCH(R$1, '2018_commission_structure'!$A$1:$I$1,0)), 0)</f>
        <v>0</v>
      </c>
      <c r="S664" s="11">
        <f t="shared" si="65"/>
        <v>91042.33</v>
      </c>
      <c r="T664" s="11" cm="1">
        <f t="array" ref="T664">SUM(E664+O664:Q664)</f>
        <v>292012.33</v>
      </c>
    </row>
    <row r="665" spans="1:20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 xml:space="preserve"> COUNTIF(deals_closed!D:D,A665)</f>
        <v>21</v>
      </c>
      <c r="G665" s="5">
        <f>SUMIF(deals_closed!D:D, calculations!A665, deals_closed!C:C)</f>
        <v>689066</v>
      </c>
      <c r="H665" s="5">
        <f>VLOOKUP(D665,'2018_commission_structure'!$A$2:$I$4,9,FALSE)</f>
        <v>600000</v>
      </c>
      <c r="I665" s="9">
        <f t="shared" si="60"/>
        <v>750000</v>
      </c>
      <c r="J665" s="8">
        <f t="shared" si="61"/>
        <v>900000</v>
      </c>
      <c r="K665" s="9">
        <f t="shared" si="62"/>
        <v>1200000</v>
      </c>
      <c r="L665" s="10">
        <f t="shared" si="63"/>
        <v>1.1484433333333333</v>
      </c>
      <c r="M665" t="str">
        <f t="shared" si="64"/>
        <v>100-125%</v>
      </c>
      <c r="N665" s="9">
        <f>MIN(H665, G665)*INDEX('2018_commission_structure'!$A$1:$I$4,
MATCH($D665, '2018_commission_structure'!$A$1:$A$4,0),
MATCH(N$1, '2018_commission_structure'!$A$1:$I$1,0))</f>
        <v>78000</v>
      </c>
      <c r="O665" s="11">
        <f>IF(G665&gt;H665, MIN(G665-H665, I665-H665)*
INDEX('2018_commission_structure'!$A$1:$I$4,
MATCH($D665, '2018_commission_structure'!$A$1:$A$4, 0),
MATCH(O$1, '2018_commission_structure'!$A$1:$I$1, 0)), 0)</f>
        <v>15141.220000000001</v>
      </c>
      <c r="P665" s="11">
        <f>IF(G665&gt;H665, MIN(G665-H665, J665-H665)*
INDEX('2018_commission_structure'!$A$1:$I$4,
MATCH($D665, '2018_commission_structure'!$A$1:$A$4, 0),
MATCH(O$1, '2018_commission_structure'!$A$1:$I$1, 0)), 0)</f>
        <v>15141.220000000001</v>
      </c>
      <c r="Q665" s="11">
        <f>IF(G665&gt;H665, MIN(G665-H665, I665-H665)*
INDEX('2018_commission_structure'!$A$1:$I$4,
MATCH($D665, '2018_commission_structure'!$A$1:$A$4, 0),
MATCH(P$1, '2018_commission_structure'!$A$1:$I$1, 0)), 0)</f>
        <v>18703.86</v>
      </c>
      <c r="R665" s="11">
        <f>IF(G665&gt;K665, (G665-K665) *
INDEX('2018_commission_structure'!$A$1:$I$4,
MATCH($D665, '2018_commission_structure'!$A$1:$A$4,0),
MATCH(R$1, '2018_commission_structure'!$A$1:$I$1,0)), 0)</f>
        <v>0</v>
      </c>
      <c r="S665" s="11">
        <f t="shared" si="65"/>
        <v>48986.3</v>
      </c>
      <c r="T665" s="11" cm="1">
        <f t="array" ref="T665">SUM(E665+O665:Q665)</f>
        <v>237935.3</v>
      </c>
    </row>
    <row r="666" spans="1:20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 xml:space="preserve"> COUNTIF(deals_closed!D:D,A666)</f>
        <v>23</v>
      </c>
      <c r="G666" s="5">
        <f>SUMIF(deals_closed!D:D, calculations!A666, deals_closed!C:C)</f>
        <v>732680</v>
      </c>
      <c r="H666" s="5">
        <f>VLOOKUP(D666,'2018_commission_structure'!$A$2:$I$4,9,FALSE)</f>
        <v>750000</v>
      </c>
      <c r="I666" s="9">
        <f t="shared" si="60"/>
        <v>937500</v>
      </c>
      <c r="J666" s="8">
        <f t="shared" si="61"/>
        <v>1125000</v>
      </c>
      <c r="K666" s="9">
        <f t="shared" si="62"/>
        <v>1500000</v>
      </c>
      <c r="L666" s="10">
        <f t="shared" si="63"/>
        <v>0.9769066666666667</v>
      </c>
      <c r="M666" t="str">
        <f t="shared" si="64"/>
        <v>0-100%</v>
      </c>
      <c r="N666" s="9">
        <f>MIN(H666, G666)*INDEX('2018_commission_structure'!$A$1:$I$4,
MATCH($D666, '2018_commission_structure'!$A$1:$A$4,0),
MATCH(N$1, '2018_commission_structure'!$A$1:$I$1,0))</f>
        <v>109902</v>
      </c>
      <c r="O666" s="11">
        <f>IF(G666&gt;H666, MIN(G666-H666, I666-H666)*
INDEX('2018_commission_structure'!$A$1:$I$4,
MATCH($D666, '2018_commission_structure'!$A$1:$A$4, 0),
MATCH(O$1, '2018_commission_structure'!$A$1:$I$1, 0)), 0)</f>
        <v>0</v>
      </c>
      <c r="P666" s="11">
        <f>IF(G666&gt;H666, MIN(G666-H666, J666-H666)*
INDEX('2018_commission_structure'!$A$1:$I$4,
MATCH($D666, '2018_commission_structure'!$A$1:$A$4, 0),
MATCH(O$1, '2018_commission_structure'!$A$1:$I$1, 0)), 0)</f>
        <v>0</v>
      </c>
      <c r="Q666" s="11">
        <f>IF(G666&gt;H666, MIN(G666-H666, I666-H666)*
INDEX('2018_commission_structure'!$A$1:$I$4,
MATCH($D666, '2018_commission_structure'!$A$1:$A$4, 0),
MATCH(P$1, '2018_commission_structure'!$A$1:$I$1, 0)), 0)</f>
        <v>0</v>
      </c>
      <c r="R666" s="11">
        <f>IF(G666&gt;K666, (G666-K666) *
INDEX('2018_commission_structure'!$A$1:$I$4,
MATCH($D666, '2018_commission_structure'!$A$1:$A$4,0),
MATCH(R$1, '2018_commission_structure'!$A$1:$I$1,0)), 0)</f>
        <v>0</v>
      </c>
      <c r="S666" s="11">
        <f t="shared" si="65"/>
        <v>0</v>
      </c>
      <c r="T666" s="11" cm="1">
        <f t="array" ref="T666">SUM(E666+O666:Q666)</f>
        <v>283815</v>
      </c>
    </row>
    <row r="667" spans="1:20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 xml:space="preserve"> COUNTIF(deals_closed!D:D,A667)</f>
        <v>19</v>
      </c>
      <c r="G667" s="5">
        <f>SUMIF(deals_closed!D:D, calculations!A667, deals_closed!C:C)</f>
        <v>749195</v>
      </c>
      <c r="H667" s="5">
        <f>VLOOKUP(D667,'2018_commission_structure'!$A$2:$I$4,9,FALSE)</f>
        <v>500000</v>
      </c>
      <c r="I667" s="9">
        <f t="shared" si="60"/>
        <v>625000</v>
      </c>
      <c r="J667" s="8">
        <f t="shared" si="61"/>
        <v>750000</v>
      </c>
      <c r="K667" s="9">
        <f t="shared" si="62"/>
        <v>1000000</v>
      </c>
      <c r="L667" s="10">
        <f t="shared" si="63"/>
        <v>1.4983900000000001</v>
      </c>
      <c r="M667" t="str">
        <f t="shared" si="64"/>
        <v>125-150%</v>
      </c>
      <c r="N667" s="9">
        <f>MIN(H667, G667)*INDEX('2018_commission_structure'!$A$1:$I$4,
MATCH($D667, '2018_commission_structure'!$A$1:$A$4,0),
MATCH(N$1, '2018_commission_structure'!$A$1:$I$1,0))</f>
        <v>50000</v>
      </c>
      <c r="O667" s="11">
        <f>IF(G667&gt;H667, MIN(G667-H667, I667-H667)*
INDEX('2018_commission_structure'!$A$1:$I$4,
MATCH($D667, '2018_commission_structure'!$A$1:$A$4, 0),
MATCH(O$1, '2018_commission_structure'!$A$1:$I$1, 0)), 0)</f>
        <v>18750</v>
      </c>
      <c r="P667" s="11">
        <f>IF(G667&gt;H667, MIN(G667-H667, J667-H667)*
INDEX('2018_commission_structure'!$A$1:$I$4,
MATCH($D667, '2018_commission_structure'!$A$1:$A$4, 0),
MATCH(O$1, '2018_commission_structure'!$A$1:$I$1, 0)), 0)</f>
        <v>37379.25</v>
      </c>
      <c r="Q667" s="11">
        <f>IF(G667&gt;H667, MIN(G667-H667, I667-H667)*
INDEX('2018_commission_structure'!$A$1:$I$4,
MATCH($D667, '2018_commission_structure'!$A$1:$A$4, 0),
MATCH(P$1, '2018_commission_structure'!$A$1:$I$1, 0)), 0)</f>
        <v>22500</v>
      </c>
      <c r="R667" s="11">
        <f>IF(G667&gt;K667, (G667-K667) *
INDEX('2018_commission_structure'!$A$1:$I$4,
MATCH($D667, '2018_commission_structure'!$A$1:$A$4,0),
MATCH(R$1, '2018_commission_structure'!$A$1:$I$1,0)), 0)</f>
        <v>0</v>
      </c>
      <c r="S667" s="11">
        <f t="shared" si="65"/>
        <v>78629.25</v>
      </c>
      <c r="T667" s="11" cm="1">
        <f t="array" ref="T667">SUM(E667+O667:Q667)</f>
        <v>247820.25</v>
      </c>
    </row>
    <row r="668" spans="1:20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 xml:space="preserve"> COUNTIF(deals_closed!D:D,A668)</f>
        <v>25</v>
      </c>
      <c r="G668" s="5">
        <f>SUMIF(deals_closed!D:D, calculations!A668, deals_closed!C:C)</f>
        <v>961796</v>
      </c>
      <c r="H668" s="5">
        <f>VLOOKUP(D668,'2018_commission_structure'!$A$2:$I$4,9,FALSE)</f>
        <v>750000</v>
      </c>
      <c r="I668" s="9">
        <f t="shared" si="60"/>
        <v>937500</v>
      </c>
      <c r="J668" s="8">
        <f t="shared" si="61"/>
        <v>1125000</v>
      </c>
      <c r="K668" s="9">
        <f t="shared" si="62"/>
        <v>1500000</v>
      </c>
      <c r="L668" s="10">
        <f t="shared" si="63"/>
        <v>1.2823946666666666</v>
      </c>
      <c r="M668" t="str">
        <f t="shared" si="64"/>
        <v>125-150%</v>
      </c>
      <c r="N668" s="9">
        <f>MIN(H668, G668)*INDEX('2018_commission_structure'!$A$1:$I$4,
MATCH($D668, '2018_commission_structure'!$A$1:$A$4,0),
MATCH(N$1, '2018_commission_structure'!$A$1:$I$1,0))</f>
        <v>112500</v>
      </c>
      <c r="O668" s="11">
        <f>IF(G668&gt;H668, MIN(G668-H668, I668-H668)*
INDEX('2018_commission_structure'!$A$1:$I$4,
MATCH($D668, '2018_commission_structure'!$A$1:$A$4, 0),
MATCH(O$1, '2018_commission_structure'!$A$1:$I$1, 0)), 0)</f>
        <v>35625</v>
      </c>
      <c r="P668" s="11">
        <f>IF(G668&gt;H668, MIN(G668-H668, J668-H668)*
INDEX('2018_commission_structure'!$A$1:$I$4,
MATCH($D668, '2018_commission_structure'!$A$1:$A$4, 0),
MATCH(O$1, '2018_commission_structure'!$A$1:$I$1, 0)), 0)</f>
        <v>40241.24</v>
      </c>
      <c r="Q668" s="11">
        <f>IF(G668&gt;H668, MIN(G668-H668, I668-H668)*
INDEX('2018_commission_structure'!$A$1:$I$4,
MATCH($D668, '2018_commission_structure'!$A$1:$A$4, 0),
MATCH(P$1, '2018_commission_structure'!$A$1:$I$1, 0)), 0)</f>
        <v>43125</v>
      </c>
      <c r="R668" s="11">
        <f>IF(G668&gt;K668, (G668-K668) *
INDEX('2018_commission_structure'!$A$1:$I$4,
MATCH($D668, '2018_commission_structure'!$A$1:$A$4,0),
MATCH(R$1, '2018_commission_structure'!$A$1:$I$1,0)), 0)</f>
        <v>0</v>
      </c>
      <c r="S668" s="11">
        <f t="shared" si="65"/>
        <v>118991.23999999999</v>
      </c>
      <c r="T668" s="11" cm="1">
        <f t="array" ref="T668">SUM(E668+O668:Q668)</f>
        <v>412727.24</v>
      </c>
    </row>
    <row r="669" spans="1:20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 xml:space="preserve"> COUNTIF(deals_closed!D:D,A669)</f>
        <v>27</v>
      </c>
      <c r="G669" s="5">
        <f>SUMIF(deals_closed!D:D, calculations!A669, deals_closed!C:C)</f>
        <v>1005142</v>
      </c>
      <c r="H669" s="5">
        <f>VLOOKUP(D669,'2018_commission_structure'!$A$2:$I$4,9,FALSE)</f>
        <v>600000</v>
      </c>
      <c r="I669" s="9">
        <f t="shared" si="60"/>
        <v>750000</v>
      </c>
      <c r="J669" s="8">
        <f t="shared" si="61"/>
        <v>900000</v>
      </c>
      <c r="K669" s="9">
        <f t="shared" si="62"/>
        <v>1200000</v>
      </c>
      <c r="L669" s="10">
        <f t="shared" si="63"/>
        <v>1.6752366666666667</v>
      </c>
      <c r="M669" t="str">
        <f t="shared" si="64"/>
        <v>150-200%</v>
      </c>
      <c r="N669" s="9">
        <f>MIN(H669, G669)*INDEX('2018_commission_structure'!$A$1:$I$4,
MATCH($D669, '2018_commission_structure'!$A$1:$A$4,0),
MATCH(N$1, '2018_commission_structure'!$A$1:$I$1,0))</f>
        <v>78000</v>
      </c>
      <c r="O669" s="11">
        <f>IF(G669&gt;H669, MIN(G669-H669, I669-H669)*
INDEX('2018_commission_structure'!$A$1:$I$4,
MATCH($D669, '2018_commission_structure'!$A$1:$A$4, 0),
MATCH(O$1, '2018_commission_structure'!$A$1:$I$1, 0)), 0)</f>
        <v>25500.000000000004</v>
      </c>
      <c r="P669" s="11">
        <f>IF(G669&gt;H669, MIN(G669-H669, J669-H669)*
INDEX('2018_commission_structure'!$A$1:$I$4,
MATCH($D669, '2018_commission_structure'!$A$1:$A$4, 0),
MATCH(O$1, '2018_commission_structure'!$A$1:$I$1, 0)), 0)</f>
        <v>51000.000000000007</v>
      </c>
      <c r="Q669" s="11">
        <f>IF(G669&gt;H669, MIN(G669-H669, I669-H669)*
INDEX('2018_commission_structure'!$A$1:$I$4,
MATCH($D669, '2018_commission_structure'!$A$1:$A$4, 0),
MATCH(P$1, '2018_commission_structure'!$A$1:$I$1, 0)), 0)</f>
        <v>31500</v>
      </c>
      <c r="R669" s="11">
        <f>IF(G669&gt;K669, (G669-K669) *
INDEX('2018_commission_structure'!$A$1:$I$4,
MATCH($D669, '2018_commission_structure'!$A$1:$A$4,0),
MATCH(R$1, '2018_commission_structure'!$A$1:$I$1,0)), 0)</f>
        <v>0</v>
      </c>
      <c r="S669" s="11">
        <f t="shared" si="65"/>
        <v>108000.00000000001</v>
      </c>
      <c r="T669" s="11" cm="1">
        <f t="array" ref="T669">SUM(E669+O669:Q669)</f>
        <v>279441</v>
      </c>
    </row>
    <row r="670" spans="1:20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 xml:space="preserve"> COUNTIF(deals_closed!D:D,A670)</f>
        <v>18</v>
      </c>
      <c r="G670" s="5">
        <f>SUMIF(deals_closed!D:D, calculations!A670, deals_closed!C:C)</f>
        <v>577677</v>
      </c>
      <c r="H670" s="5">
        <f>VLOOKUP(D670,'2018_commission_structure'!$A$2:$I$4,9,FALSE)</f>
        <v>500000</v>
      </c>
      <c r="I670" s="9">
        <f t="shared" si="60"/>
        <v>625000</v>
      </c>
      <c r="J670" s="8">
        <f t="shared" si="61"/>
        <v>750000</v>
      </c>
      <c r="K670" s="9">
        <f t="shared" si="62"/>
        <v>1000000</v>
      </c>
      <c r="L670" s="10">
        <f t="shared" si="63"/>
        <v>1.155354</v>
      </c>
      <c r="M670" t="str">
        <f t="shared" si="64"/>
        <v>100-125%</v>
      </c>
      <c r="N670" s="9">
        <f>MIN(H670, G670)*INDEX('2018_commission_structure'!$A$1:$I$4,
MATCH($D670, '2018_commission_structure'!$A$1:$A$4,0),
MATCH(N$1, '2018_commission_structure'!$A$1:$I$1,0))</f>
        <v>50000</v>
      </c>
      <c r="O670" s="11">
        <f>IF(G670&gt;H670, MIN(G670-H670, I670-H670)*
INDEX('2018_commission_structure'!$A$1:$I$4,
MATCH($D670, '2018_commission_structure'!$A$1:$A$4, 0),
MATCH(O$1, '2018_commission_structure'!$A$1:$I$1, 0)), 0)</f>
        <v>11651.55</v>
      </c>
      <c r="P670" s="11">
        <f>IF(G670&gt;H670, MIN(G670-H670, J670-H670)*
INDEX('2018_commission_structure'!$A$1:$I$4,
MATCH($D670, '2018_commission_structure'!$A$1:$A$4, 0),
MATCH(O$1, '2018_commission_structure'!$A$1:$I$1, 0)), 0)</f>
        <v>11651.55</v>
      </c>
      <c r="Q670" s="11">
        <f>IF(G670&gt;H670, MIN(G670-H670, I670-H670)*
INDEX('2018_commission_structure'!$A$1:$I$4,
MATCH($D670, '2018_commission_structure'!$A$1:$A$4, 0),
MATCH(P$1, '2018_commission_structure'!$A$1:$I$1, 0)), 0)</f>
        <v>13981.859999999999</v>
      </c>
      <c r="R670" s="11">
        <f>IF(G670&gt;K670, (G670-K670) *
INDEX('2018_commission_structure'!$A$1:$I$4,
MATCH($D670, '2018_commission_structure'!$A$1:$A$4,0),
MATCH(R$1, '2018_commission_structure'!$A$1:$I$1,0)), 0)</f>
        <v>0</v>
      </c>
      <c r="S670" s="11">
        <f t="shared" si="65"/>
        <v>37284.959999999999</v>
      </c>
      <c r="T670" s="11" cm="1">
        <f t="array" ref="T670">SUM(E670+O670:Q670)</f>
        <v>127977.96</v>
      </c>
    </row>
    <row r="671" spans="1:20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 xml:space="preserve"> COUNTIF(deals_closed!D:D,A671)</f>
        <v>14</v>
      </c>
      <c r="G671" s="5">
        <f>SUMIF(deals_closed!D:D, calculations!A671, deals_closed!C:C)</f>
        <v>471697</v>
      </c>
      <c r="H671" s="5">
        <f>VLOOKUP(D671,'2018_commission_structure'!$A$2:$I$4,9,FALSE)</f>
        <v>750000</v>
      </c>
      <c r="I671" s="9">
        <f t="shared" si="60"/>
        <v>937500</v>
      </c>
      <c r="J671" s="8">
        <f t="shared" si="61"/>
        <v>1125000</v>
      </c>
      <c r="K671" s="9">
        <f t="shared" si="62"/>
        <v>1500000</v>
      </c>
      <c r="L671" s="10">
        <f t="shared" si="63"/>
        <v>0.62892933333333334</v>
      </c>
      <c r="M671" t="str">
        <f t="shared" si="64"/>
        <v>0-100%</v>
      </c>
      <c r="N671" s="9">
        <f>MIN(H671, G671)*INDEX('2018_commission_structure'!$A$1:$I$4,
MATCH($D671, '2018_commission_structure'!$A$1:$A$4,0),
MATCH(N$1, '2018_commission_structure'!$A$1:$I$1,0))</f>
        <v>70754.55</v>
      </c>
      <c r="O671" s="11">
        <f>IF(G671&gt;H671, MIN(G671-H671, I671-H671)*
INDEX('2018_commission_structure'!$A$1:$I$4,
MATCH($D671, '2018_commission_structure'!$A$1:$A$4, 0),
MATCH(O$1, '2018_commission_structure'!$A$1:$I$1, 0)), 0)</f>
        <v>0</v>
      </c>
      <c r="P671" s="11">
        <f>IF(G671&gt;H671, MIN(G671-H671, J671-H671)*
INDEX('2018_commission_structure'!$A$1:$I$4,
MATCH($D671, '2018_commission_structure'!$A$1:$A$4, 0),
MATCH(O$1, '2018_commission_structure'!$A$1:$I$1, 0)), 0)</f>
        <v>0</v>
      </c>
      <c r="Q671" s="11">
        <f>IF(G671&gt;H671, MIN(G671-H671, I671-H671)*
INDEX('2018_commission_structure'!$A$1:$I$4,
MATCH($D671, '2018_commission_structure'!$A$1:$A$4, 0),
MATCH(P$1, '2018_commission_structure'!$A$1:$I$1, 0)), 0)</f>
        <v>0</v>
      </c>
      <c r="R671" s="11">
        <f>IF(G671&gt;K671, (G671-K671) *
INDEX('2018_commission_structure'!$A$1:$I$4,
MATCH($D671, '2018_commission_structure'!$A$1:$A$4,0),
MATCH(R$1, '2018_commission_structure'!$A$1:$I$1,0)), 0)</f>
        <v>0</v>
      </c>
      <c r="S671" s="11">
        <f t="shared" si="65"/>
        <v>0</v>
      </c>
      <c r="T671" s="11" cm="1">
        <f t="array" ref="T671">SUM(E671+O671:Q671)</f>
        <v>340221</v>
      </c>
    </row>
    <row r="672" spans="1:20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 xml:space="preserve"> COUNTIF(deals_closed!D:D,A672)</f>
        <v>22</v>
      </c>
      <c r="G672" s="5">
        <f>SUMIF(deals_closed!D:D, calculations!A672, deals_closed!C:C)</f>
        <v>711984</v>
      </c>
      <c r="H672" s="5">
        <f>VLOOKUP(D672,'2018_commission_structure'!$A$2:$I$4,9,FALSE)</f>
        <v>750000</v>
      </c>
      <c r="I672" s="9">
        <f t="shared" si="60"/>
        <v>937500</v>
      </c>
      <c r="J672" s="8">
        <f t="shared" si="61"/>
        <v>1125000</v>
      </c>
      <c r="K672" s="9">
        <f t="shared" si="62"/>
        <v>1500000</v>
      </c>
      <c r="L672" s="10">
        <f t="shared" si="63"/>
        <v>0.94931200000000004</v>
      </c>
      <c r="M672" t="str">
        <f t="shared" si="64"/>
        <v>0-100%</v>
      </c>
      <c r="N672" s="9">
        <f>MIN(H672, G672)*INDEX('2018_commission_structure'!$A$1:$I$4,
MATCH($D672, '2018_commission_structure'!$A$1:$A$4,0),
MATCH(N$1, '2018_commission_structure'!$A$1:$I$1,0))</f>
        <v>106797.59999999999</v>
      </c>
      <c r="O672" s="11">
        <f>IF(G672&gt;H672, MIN(G672-H672, I672-H672)*
INDEX('2018_commission_structure'!$A$1:$I$4,
MATCH($D672, '2018_commission_structure'!$A$1:$A$4, 0),
MATCH(O$1, '2018_commission_structure'!$A$1:$I$1, 0)), 0)</f>
        <v>0</v>
      </c>
      <c r="P672" s="11">
        <f>IF(G672&gt;H672, MIN(G672-H672, J672-H672)*
INDEX('2018_commission_structure'!$A$1:$I$4,
MATCH($D672, '2018_commission_structure'!$A$1:$A$4, 0),
MATCH(O$1, '2018_commission_structure'!$A$1:$I$1, 0)), 0)</f>
        <v>0</v>
      </c>
      <c r="Q672" s="11">
        <f>IF(G672&gt;H672, MIN(G672-H672, I672-H672)*
INDEX('2018_commission_structure'!$A$1:$I$4,
MATCH($D672, '2018_commission_structure'!$A$1:$A$4, 0),
MATCH(P$1, '2018_commission_structure'!$A$1:$I$1, 0)), 0)</f>
        <v>0</v>
      </c>
      <c r="R672" s="11">
        <f>IF(G672&gt;K672, (G672-K672) *
INDEX('2018_commission_structure'!$A$1:$I$4,
MATCH($D672, '2018_commission_structure'!$A$1:$A$4,0),
MATCH(R$1, '2018_commission_structure'!$A$1:$I$1,0)), 0)</f>
        <v>0</v>
      </c>
      <c r="S672" s="11">
        <f t="shared" si="65"/>
        <v>0</v>
      </c>
      <c r="T672" s="11" cm="1">
        <f t="array" ref="T672">SUM(E672+O672:Q672)</f>
        <v>321147</v>
      </c>
    </row>
    <row r="673" spans="1:20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 xml:space="preserve"> COUNTIF(deals_closed!D:D,A673)</f>
        <v>27</v>
      </c>
      <c r="G673" s="5">
        <f>SUMIF(deals_closed!D:D, calculations!A673, deals_closed!C:C)</f>
        <v>909707</v>
      </c>
      <c r="H673" s="5">
        <f>VLOOKUP(D673,'2018_commission_structure'!$A$2:$I$4,9,FALSE)</f>
        <v>750000</v>
      </c>
      <c r="I673" s="9">
        <f t="shared" si="60"/>
        <v>937500</v>
      </c>
      <c r="J673" s="8">
        <f t="shared" si="61"/>
        <v>1125000</v>
      </c>
      <c r="K673" s="9">
        <f t="shared" si="62"/>
        <v>1500000</v>
      </c>
      <c r="L673" s="10">
        <f t="shared" si="63"/>
        <v>1.2129426666666667</v>
      </c>
      <c r="M673" t="str">
        <f t="shared" si="64"/>
        <v>100-125%</v>
      </c>
      <c r="N673" s="9">
        <f>MIN(H673, G673)*INDEX('2018_commission_structure'!$A$1:$I$4,
MATCH($D673, '2018_commission_structure'!$A$1:$A$4,0),
MATCH(N$1, '2018_commission_structure'!$A$1:$I$1,0))</f>
        <v>112500</v>
      </c>
      <c r="O673" s="11">
        <f>IF(G673&gt;H673, MIN(G673-H673, I673-H673)*
INDEX('2018_commission_structure'!$A$1:$I$4,
MATCH($D673, '2018_commission_structure'!$A$1:$A$4, 0),
MATCH(O$1, '2018_commission_structure'!$A$1:$I$1, 0)), 0)</f>
        <v>30344.33</v>
      </c>
      <c r="P673" s="11">
        <f>IF(G673&gt;H673, MIN(G673-H673, J673-H673)*
INDEX('2018_commission_structure'!$A$1:$I$4,
MATCH($D673, '2018_commission_structure'!$A$1:$A$4, 0),
MATCH(O$1, '2018_commission_structure'!$A$1:$I$1, 0)), 0)</f>
        <v>30344.33</v>
      </c>
      <c r="Q673" s="11">
        <f>IF(G673&gt;H673, MIN(G673-H673, I673-H673)*
INDEX('2018_commission_structure'!$A$1:$I$4,
MATCH($D673, '2018_commission_structure'!$A$1:$A$4, 0),
MATCH(P$1, '2018_commission_structure'!$A$1:$I$1, 0)), 0)</f>
        <v>36732.61</v>
      </c>
      <c r="R673" s="11">
        <f>IF(G673&gt;K673, (G673-K673) *
INDEX('2018_commission_structure'!$A$1:$I$4,
MATCH($D673, '2018_commission_structure'!$A$1:$A$4,0),
MATCH(R$1, '2018_commission_structure'!$A$1:$I$1,0)), 0)</f>
        <v>0</v>
      </c>
      <c r="S673" s="11">
        <f t="shared" si="65"/>
        <v>97421.27</v>
      </c>
      <c r="T673" s="11" cm="1">
        <f t="array" ref="T673">SUM(E673+O673:Q673)</f>
        <v>353231.27</v>
      </c>
    </row>
    <row r="674" spans="1:20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 xml:space="preserve"> COUNTIF(deals_closed!D:D,A674)</f>
        <v>18</v>
      </c>
      <c r="G674" s="5">
        <f>SUMIF(deals_closed!D:D, calculations!A674, deals_closed!C:C)</f>
        <v>579015</v>
      </c>
      <c r="H674" s="5">
        <f>VLOOKUP(D674,'2018_commission_structure'!$A$2:$I$4,9,FALSE)</f>
        <v>500000</v>
      </c>
      <c r="I674" s="9">
        <f t="shared" si="60"/>
        <v>625000</v>
      </c>
      <c r="J674" s="8">
        <f t="shared" si="61"/>
        <v>750000</v>
      </c>
      <c r="K674" s="9">
        <f t="shared" si="62"/>
        <v>1000000</v>
      </c>
      <c r="L674" s="10">
        <f t="shared" si="63"/>
        <v>1.1580299999999999</v>
      </c>
      <c r="M674" t="str">
        <f t="shared" si="64"/>
        <v>100-125%</v>
      </c>
      <c r="N674" s="9">
        <f>MIN(H674, G674)*INDEX('2018_commission_structure'!$A$1:$I$4,
MATCH($D674, '2018_commission_structure'!$A$1:$A$4,0),
MATCH(N$1, '2018_commission_structure'!$A$1:$I$1,0))</f>
        <v>50000</v>
      </c>
      <c r="O674" s="11">
        <f>IF(G674&gt;H674, MIN(G674-H674, I674-H674)*
INDEX('2018_commission_structure'!$A$1:$I$4,
MATCH($D674, '2018_commission_structure'!$A$1:$A$4, 0),
MATCH(O$1, '2018_commission_structure'!$A$1:$I$1, 0)), 0)</f>
        <v>11852.25</v>
      </c>
      <c r="P674" s="11">
        <f>IF(G674&gt;H674, MIN(G674-H674, J674-H674)*
INDEX('2018_commission_structure'!$A$1:$I$4,
MATCH($D674, '2018_commission_structure'!$A$1:$A$4, 0),
MATCH(O$1, '2018_commission_structure'!$A$1:$I$1, 0)), 0)</f>
        <v>11852.25</v>
      </c>
      <c r="Q674" s="11">
        <f>IF(G674&gt;H674, MIN(G674-H674, I674-H674)*
INDEX('2018_commission_structure'!$A$1:$I$4,
MATCH($D674, '2018_commission_structure'!$A$1:$A$4, 0),
MATCH(P$1, '2018_commission_structure'!$A$1:$I$1, 0)), 0)</f>
        <v>14222.699999999999</v>
      </c>
      <c r="R674" s="11">
        <f>IF(G674&gt;K674, (G674-K674) *
INDEX('2018_commission_structure'!$A$1:$I$4,
MATCH($D674, '2018_commission_structure'!$A$1:$A$4,0),
MATCH(R$1, '2018_commission_structure'!$A$1:$I$1,0)), 0)</f>
        <v>0</v>
      </c>
      <c r="S674" s="11">
        <f t="shared" si="65"/>
        <v>37927.199999999997</v>
      </c>
      <c r="T674" s="11" cm="1">
        <f t="array" ref="T674">SUM(E674+O674:Q674)</f>
        <v>164680.20000000001</v>
      </c>
    </row>
    <row r="675" spans="1:20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 xml:space="preserve"> COUNTIF(deals_closed!D:D,A675)</f>
        <v>25</v>
      </c>
      <c r="G675" s="5">
        <f>SUMIF(deals_closed!D:D, calculations!A675, deals_closed!C:C)</f>
        <v>778272</v>
      </c>
      <c r="H675" s="5">
        <f>VLOOKUP(D675,'2018_commission_structure'!$A$2:$I$4,9,FALSE)</f>
        <v>500000</v>
      </c>
      <c r="I675" s="9">
        <f t="shared" si="60"/>
        <v>625000</v>
      </c>
      <c r="J675" s="8">
        <f t="shared" si="61"/>
        <v>750000</v>
      </c>
      <c r="K675" s="9">
        <f t="shared" si="62"/>
        <v>1000000</v>
      </c>
      <c r="L675" s="10">
        <f t="shared" si="63"/>
        <v>1.5565439999999999</v>
      </c>
      <c r="M675" t="str">
        <f t="shared" si="64"/>
        <v>150-200%</v>
      </c>
      <c r="N675" s="9">
        <f>MIN(H675, G675)*INDEX('2018_commission_structure'!$A$1:$I$4,
MATCH($D675, '2018_commission_structure'!$A$1:$A$4,0),
MATCH(N$1, '2018_commission_structure'!$A$1:$I$1,0))</f>
        <v>50000</v>
      </c>
      <c r="O675" s="11">
        <f>IF(G675&gt;H675, MIN(G675-H675, I675-H675)*
INDEX('2018_commission_structure'!$A$1:$I$4,
MATCH($D675, '2018_commission_structure'!$A$1:$A$4, 0),
MATCH(O$1, '2018_commission_structure'!$A$1:$I$1, 0)), 0)</f>
        <v>18750</v>
      </c>
      <c r="P675" s="11">
        <f>IF(G675&gt;H675, MIN(G675-H675, J675-H675)*
INDEX('2018_commission_structure'!$A$1:$I$4,
MATCH($D675, '2018_commission_structure'!$A$1:$A$4, 0),
MATCH(O$1, '2018_commission_structure'!$A$1:$I$1, 0)), 0)</f>
        <v>37500</v>
      </c>
      <c r="Q675" s="11">
        <f>IF(G675&gt;H675, MIN(G675-H675, I675-H675)*
INDEX('2018_commission_structure'!$A$1:$I$4,
MATCH($D675, '2018_commission_structure'!$A$1:$A$4, 0),
MATCH(P$1, '2018_commission_structure'!$A$1:$I$1, 0)), 0)</f>
        <v>22500</v>
      </c>
      <c r="R675" s="11">
        <f>IF(G675&gt;K675, (G675-K675) *
INDEX('2018_commission_structure'!$A$1:$I$4,
MATCH($D675, '2018_commission_structure'!$A$1:$A$4,0),
MATCH(R$1, '2018_commission_structure'!$A$1:$I$1,0)), 0)</f>
        <v>0</v>
      </c>
      <c r="S675" s="11">
        <f t="shared" si="65"/>
        <v>78750</v>
      </c>
      <c r="T675" s="11" cm="1">
        <f t="array" ref="T675">SUM(E675+O675:Q675)</f>
        <v>227394</v>
      </c>
    </row>
    <row r="676" spans="1:20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 xml:space="preserve"> COUNTIF(deals_closed!D:D,A676)</f>
        <v>21</v>
      </c>
      <c r="G676" s="5">
        <f>SUMIF(deals_closed!D:D, calculations!A676, deals_closed!C:C)</f>
        <v>808246</v>
      </c>
      <c r="H676" s="5">
        <f>VLOOKUP(D676,'2018_commission_structure'!$A$2:$I$4,9,FALSE)</f>
        <v>750000</v>
      </c>
      <c r="I676" s="9">
        <f t="shared" si="60"/>
        <v>937500</v>
      </c>
      <c r="J676" s="8">
        <f t="shared" si="61"/>
        <v>1125000</v>
      </c>
      <c r="K676" s="9">
        <f t="shared" si="62"/>
        <v>1500000</v>
      </c>
      <c r="L676" s="10">
        <f t="shared" si="63"/>
        <v>1.0776613333333334</v>
      </c>
      <c r="M676" t="str">
        <f t="shared" si="64"/>
        <v>100-125%</v>
      </c>
      <c r="N676" s="9">
        <f>MIN(H676, G676)*INDEX('2018_commission_structure'!$A$1:$I$4,
MATCH($D676, '2018_commission_structure'!$A$1:$A$4,0),
MATCH(N$1, '2018_commission_structure'!$A$1:$I$1,0))</f>
        <v>112500</v>
      </c>
      <c r="O676" s="11">
        <f>IF(G676&gt;H676, MIN(G676-H676, I676-H676)*
INDEX('2018_commission_structure'!$A$1:$I$4,
MATCH($D676, '2018_commission_structure'!$A$1:$A$4, 0),
MATCH(O$1, '2018_commission_structure'!$A$1:$I$1, 0)), 0)</f>
        <v>11066.74</v>
      </c>
      <c r="P676" s="11">
        <f>IF(G676&gt;H676, MIN(G676-H676, J676-H676)*
INDEX('2018_commission_structure'!$A$1:$I$4,
MATCH($D676, '2018_commission_structure'!$A$1:$A$4, 0),
MATCH(O$1, '2018_commission_structure'!$A$1:$I$1, 0)), 0)</f>
        <v>11066.74</v>
      </c>
      <c r="Q676" s="11">
        <f>IF(G676&gt;H676, MIN(G676-H676, I676-H676)*
INDEX('2018_commission_structure'!$A$1:$I$4,
MATCH($D676, '2018_commission_structure'!$A$1:$A$4, 0),
MATCH(P$1, '2018_commission_structure'!$A$1:$I$1, 0)), 0)</f>
        <v>13396.58</v>
      </c>
      <c r="R676" s="11">
        <f>IF(G676&gt;K676, (G676-K676) *
INDEX('2018_commission_structure'!$A$1:$I$4,
MATCH($D676, '2018_commission_structure'!$A$1:$A$4,0),
MATCH(R$1, '2018_commission_structure'!$A$1:$I$1,0)), 0)</f>
        <v>0</v>
      </c>
      <c r="S676" s="11">
        <f t="shared" si="65"/>
        <v>35530.06</v>
      </c>
      <c r="T676" s="11" cm="1">
        <f t="array" ref="T676">SUM(E676+O676:Q676)</f>
        <v>405115.05999999994</v>
      </c>
    </row>
    <row r="677" spans="1:20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 xml:space="preserve"> COUNTIF(deals_closed!D:D,A677)</f>
        <v>26</v>
      </c>
      <c r="G677" s="5">
        <f>SUMIF(deals_closed!D:D, calculations!A677, deals_closed!C:C)</f>
        <v>1023789</v>
      </c>
      <c r="H677" s="5">
        <f>VLOOKUP(D677,'2018_commission_structure'!$A$2:$I$4,9,FALSE)</f>
        <v>600000</v>
      </c>
      <c r="I677" s="9">
        <f t="shared" si="60"/>
        <v>750000</v>
      </c>
      <c r="J677" s="8">
        <f t="shared" si="61"/>
        <v>900000</v>
      </c>
      <c r="K677" s="9">
        <f t="shared" si="62"/>
        <v>1200000</v>
      </c>
      <c r="L677" s="10">
        <f t="shared" si="63"/>
        <v>1.706315</v>
      </c>
      <c r="M677" t="str">
        <f t="shared" si="64"/>
        <v>150-200%</v>
      </c>
      <c r="N677" s="9">
        <f>MIN(H677, G677)*INDEX('2018_commission_structure'!$A$1:$I$4,
MATCH($D677, '2018_commission_structure'!$A$1:$A$4,0),
MATCH(N$1, '2018_commission_structure'!$A$1:$I$1,0))</f>
        <v>78000</v>
      </c>
      <c r="O677" s="11">
        <f>IF(G677&gt;H677, MIN(G677-H677, I677-H677)*
INDEX('2018_commission_structure'!$A$1:$I$4,
MATCH($D677, '2018_commission_structure'!$A$1:$A$4, 0),
MATCH(O$1, '2018_commission_structure'!$A$1:$I$1, 0)), 0)</f>
        <v>25500.000000000004</v>
      </c>
      <c r="P677" s="11">
        <f>IF(G677&gt;H677, MIN(G677-H677, J677-H677)*
INDEX('2018_commission_structure'!$A$1:$I$4,
MATCH($D677, '2018_commission_structure'!$A$1:$A$4, 0),
MATCH(O$1, '2018_commission_structure'!$A$1:$I$1, 0)), 0)</f>
        <v>51000.000000000007</v>
      </c>
      <c r="Q677" s="11">
        <f>IF(G677&gt;H677, MIN(G677-H677, I677-H677)*
INDEX('2018_commission_structure'!$A$1:$I$4,
MATCH($D677, '2018_commission_structure'!$A$1:$A$4, 0),
MATCH(P$1, '2018_commission_structure'!$A$1:$I$1, 0)), 0)</f>
        <v>31500</v>
      </c>
      <c r="R677" s="11">
        <f>IF(G677&gt;K677, (G677-K677) *
INDEX('2018_commission_structure'!$A$1:$I$4,
MATCH($D677, '2018_commission_structure'!$A$1:$A$4,0),
MATCH(R$1, '2018_commission_structure'!$A$1:$I$1,0)), 0)</f>
        <v>0</v>
      </c>
      <c r="S677" s="11">
        <f t="shared" si="65"/>
        <v>108000.00000000001</v>
      </c>
      <c r="T677" s="11" cm="1">
        <f t="array" ref="T677">SUM(E677+O677:Q677)</f>
        <v>319827</v>
      </c>
    </row>
    <row r="678" spans="1:20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 xml:space="preserve"> COUNTIF(deals_closed!D:D,A678)</f>
        <v>11</v>
      </c>
      <c r="G678" s="5">
        <f>SUMIF(deals_closed!D:D, calculations!A678, deals_closed!C:C)</f>
        <v>313642</v>
      </c>
      <c r="H678" s="5">
        <f>VLOOKUP(D678,'2018_commission_structure'!$A$2:$I$4,9,FALSE)</f>
        <v>500000</v>
      </c>
      <c r="I678" s="9">
        <f t="shared" si="60"/>
        <v>625000</v>
      </c>
      <c r="J678" s="8">
        <f t="shared" si="61"/>
        <v>750000</v>
      </c>
      <c r="K678" s="9">
        <f t="shared" si="62"/>
        <v>1000000</v>
      </c>
      <c r="L678" s="10">
        <f t="shared" si="63"/>
        <v>0.62728399999999995</v>
      </c>
      <c r="M678" t="str">
        <f t="shared" si="64"/>
        <v>0-100%</v>
      </c>
      <c r="N678" s="9">
        <f>MIN(H678, G678)*INDEX('2018_commission_structure'!$A$1:$I$4,
MATCH($D678, '2018_commission_structure'!$A$1:$A$4,0),
MATCH(N$1, '2018_commission_structure'!$A$1:$I$1,0))</f>
        <v>31364.2</v>
      </c>
      <c r="O678" s="11">
        <f>IF(G678&gt;H678, MIN(G678-H678, I678-H678)*
INDEX('2018_commission_structure'!$A$1:$I$4,
MATCH($D678, '2018_commission_structure'!$A$1:$A$4, 0),
MATCH(O$1, '2018_commission_structure'!$A$1:$I$1, 0)), 0)</f>
        <v>0</v>
      </c>
      <c r="P678" s="11">
        <f>IF(G678&gt;H678, MIN(G678-H678, J678-H678)*
INDEX('2018_commission_structure'!$A$1:$I$4,
MATCH($D678, '2018_commission_structure'!$A$1:$A$4, 0),
MATCH(O$1, '2018_commission_structure'!$A$1:$I$1, 0)), 0)</f>
        <v>0</v>
      </c>
      <c r="Q678" s="11">
        <f>IF(G678&gt;H678, MIN(G678-H678, I678-H678)*
INDEX('2018_commission_structure'!$A$1:$I$4,
MATCH($D678, '2018_commission_structure'!$A$1:$A$4, 0),
MATCH(P$1, '2018_commission_structure'!$A$1:$I$1, 0)), 0)</f>
        <v>0</v>
      </c>
      <c r="R678" s="11">
        <f>IF(G678&gt;K678, (G678-K678) *
INDEX('2018_commission_structure'!$A$1:$I$4,
MATCH($D678, '2018_commission_structure'!$A$1:$A$4,0),
MATCH(R$1, '2018_commission_structure'!$A$1:$I$1,0)), 0)</f>
        <v>0</v>
      </c>
      <c r="S678" s="11">
        <f t="shared" si="65"/>
        <v>0</v>
      </c>
      <c r="T678" s="11" cm="1">
        <f t="array" ref="T678">SUM(E678+O678:Q678)</f>
        <v>181092</v>
      </c>
    </row>
    <row r="679" spans="1:20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 xml:space="preserve"> COUNTIF(deals_closed!D:D,A679)</f>
        <v>18</v>
      </c>
      <c r="G679" s="5">
        <f>SUMIF(deals_closed!D:D, calculations!A679, deals_closed!C:C)</f>
        <v>544027</v>
      </c>
      <c r="H679" s="5">
        <f>VLOOKUP(D679,'2018_commission_structure'!$A$2:$I$4,9,FALSE)</f>
        <v>750000</v>
      </c>
      <c r="I679" s="9">
        <f t="shared" si="60"/>
        <v>937500</v>
      </c>
      <c r="J679" s="8">
        <f t="shared" si="61"/>
        <v>1125000</v>
      </c>
      <c r="K679" s="9">
        <f t="shared" si="62"/>
        <v>1500000</v>
      </c>
      <c r="L679" s="10">
        <f t="shared" si="63"/>
        <v>0.72536933333333331</v>
      </c>
      <c r="M679" t="str">
        <f t="shared" si="64"/>
        <v>0-100%</v>
      </c>
      <c r="N679" s="9">
        <f>MIN(H679, G679)*INDEX('2018_commission_structure'!$A$1:$I$4,
MATCH($D679, '2018_commission_structure'!$A$1:$A$4,0),
MATCH(N$1, '2018_commission_structure'!$A$1:$I$1,0))</f>
        <v>81604.05</v>
      </c>
      <c r="O679" s="11">
        <f>IF(G679&gt;H679, MIN(G679-H679, I679-H679)*
INDEX('2018_commission_structure'!$A$1:$I$4,
MATCH($D679, '2018_commission_structure'!$A$1:$A$4, 0),
MATCH(O$1, '2018_commission_structure'!$A$1:$I$1, 0)), 0)</f>
        <v>0</v>
      </c>
      <c r="P679" s="11">
        <f>IF(G679&gt;H679, MIN(G679-H679, J679-H679)*
INDEX('2018_commission_structure'!$A$1:$I$4,
MATCH($D679, '2018_commission_structure'!$A$1:$A$4, 0),
MATCH(O$1, '2018_commission_structure'!$A$1:$I$1, 0)), 0)</f>
        <v>0</v>
      </c>
      <c r="Q679" s="11">
        <f>IF(G679&gt;H679, MIN(G679-H679, I679-H679)*
INDEX('2018_commission_structure'!$A$1:$I$4,
MATCH($D679, '2018_commission_structure'!$A$1:$A$4, 0),
MATCH(P$1, '2018_commission_structure'!$A$1:$I$1, 0)), 0)</f>
        <v>0</v>
      </c>
      <c r="R679" s="11">
        <f>IF(G679&gt;K679, (G679-K679) *
INDEX('2018_commission_structure'!$A$1:$I$4,
MATCH($D679, '2018_commission_structure'!$A$1:$A$4,0),
MATCH(R$1, '2018_commission_structure'!$A$1:$I$1,0)), 0)</f>
        <v>0</v>
      </c>
      <c r="S679" s="11">
        <f t="shared" si="65"/>
        <v>0</v>
      </c>
      <c r="T679" s="11" cm="1">
        <f t="array" ref="T679">SUM(E679+O679:Q679)</f>
        <v>353343</v>
      </c>
    </row>
    <row r="680" spans="1:20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 xml:space="preserve"> COUNTIF(deals_closed!D:D,A680)</f>
        <v>21</v>
      </c>
      <c r="G680" s="5">
        <f>SUMIF(deals_closed!D:D, calculations!A680, deals_closed!C:C)</f>
        <v>732653</v>
      </c>
      <c r="H680" s="5">
        <f>VLOOKUP(D680,'2018_commission_structure'!$A$2:$I$4,9,FALSE)</f>
        <v>500000</v>
      </c>
      <c r="I680" s="9">
        <f t="shared" si="60"/>
        <v>625000</v>
      </c>
      <c r="J680" s="8">
        <f t="shared" si="61"/>
        <v>750000</v>
      </c>
      <c r="K680" s="9">
        <f t="shared" si="62"/>
        <v>1000000</v>
      </c>
      <c r="L680" s="10">
        <f t="shared" si="63"/>
        <v>1.465306</v>
      </c>
      <c r="M680" t="str">
        <f t="shared" si="64"/>
        <v>125-150%</v>
      </c>
      <c r="N680" s="9">
        <f>MIN(H680, G680)*INDEX('2018_commission_structure'!$A$1:$I$4,
MATCH($D680, '2018_commission_structure'!$A$1:$A$4,0),
MATCH(N$1, '2018_commission_structure'!$A$1:$I$1,0))</f>
        <v>50000</v>
      </c>
      <c r="O680" s="11">
        <f>IF(G680&gt;H680, MIN(G680-H680, I680-H680)*
INDEX('2018_commission_structure'!$A$1:$I$4,
MATCH($D680, '2018_commission_structure'!$A$1:$A$4, 0),
MATCH(O$1, '2018_commission_structure'!$A$1:$I$1, 0)), 0)</f>
        <v>18750</v>
      </c>
      <c r="P680" s="11">
        <f>IF(G680&gt;H680, MIN(G680-H680, J680-H680)*
INDEX('2018_commission_structure'!$A$1:$I$4,
MATCH($D680, '2018_commission_structure'!$A$1:$A$4, 0),
MATCH(O$1, '2018_commission_structure'!$A$1:$I$1, 0)), 0)</f>
        <v>34897.949999999997</v>
      </c>
      <c r="Q680" s="11">
        <f>IF(G680&gt;H680, MIN(G680-H680, I680-H680)*
INDEX('2018_commission_structure'!$A$1:$I$4,
MATCH($D680, '2018_commission_structure'!$A$1:$A$4, 0),
MATCH(P$1, '2018_commission_structure'!$A$1:$I$1, 0)), 0)</f>
        <v>22500</v>
      </c>
      <c r="R680" s="11">
        <f>IF(G680&gt;K680, (G680-K680) *
INDEX('2018_commission_structure'!$A$1:$I$4,
MATCH($D680, '2018_commission_structure'!$A$1:$A$4,0),
MATCH(R$1, '2018_commission_structure'!$A$1:$I$1,0)), 0)</f>
        <v>0</v>
      </c>
      <c r="S680" s="11">
        <f t="shared" si="65"/>
        <v>76147.95</v>
      </c>
      <c r="T680" s="11" cm="1">
        <f t="array" ref="T680">SUM(E680+O680:Q680)</f>
        <v>238978.95</v>
      </c>
    </row>
    <row r="681" spans="1:20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 xml:space="preserve"> COUNTIF(deals_closed!D:D,A681)</f>
        <v>14</v>
      </c>
      <c r="G681" s="5">
        <f>SUMIF(deals_closed!D:D, calculations!A681, deals_closed!C:C)</f>
        <v>503861</v>
      </c>
      <c r="H681" s="5">
        <f>VLOOKUP(D681,'2018_commission_structure'!$A$2:$I$4,9,FALSE)</f>
        <v>750000</v>
      </c>
      <c r="I681" s="9">
        <f t="shared" si="60"/>
        <v>937500</v>
      </c>
      <c r="J681" s="8">
        <f t="shared" si="61"/>
        <v>1125000</v>
      </c>
      <c r="K681" s="9">
        <f t="shared" si="62"/>
        <v>1500000</v>
      </c>
      <c r="L681" s="10">
        <f t="shared" si="63"/>
        <v>0.67181466666666667</v>
      </c>
      <c r="M681" t="str">
        <f t="shared" si="64"/>
        <v>0-100%</v>
      </c>
      <c r="N681" s="9">
        <f>MIN(H681, G681)*INDEX('2018_commission_structure'!$A$1:$I$4,
MATCH($D681, '2018_commission_structure'!$A$1:$A$4,0),
MATCH(N$1, '2018_commission_structure'!$A$1:$I$1,0))</f>
        <v>75579.149999999994</v>
      </c>
      <c r="O681" s="11">
        <f>IF(G681&gt;H681, MIN(G681-H681, I681-H681)*
INDEX('2018_commission_structure'!$A$1:$I$4,
MATCH($D681, '2018_commission_structure'!$A$1:$A$4, 0),
MATCH(O$1, '2018_commission_structure'!$A$1:$I$1, 0)), 0)</f>
        <v>0</v>
      </c>
      <c r="P681" s="11">
        <f>IF(G681&gt;H681, MIN(G681-H681, J681-H681)*
INDEX('2018_commission_structure'!$A$1:$I$4,
MATCH($D681, '2018_commission_structure'!$A$1:$A$4, 0),
MATCH(O$1, '2018_commission_structure'!$A$1:$I$1, 0)), 0)</f>
        <v>0</v>
      </c>
      <c r="Q681" s="11">
        <f>IF(G681&gt;H681, MIN(G681-H681, I681-H681)*
INDEX('2018_commission_structure'!$A$1:$I$4,
MATCH($D681, '2018_commission_structure'!$A$1:$A$4, 0),
MATCH(P$1, '2018_commission_structure'!$A$1:$I$1, 0)), 0)</f>
        <v>0</v>
      </c>
      <c r="R681" s="11">
        <f>IF(G681&gt;K681, (G681-K681) *
INDEX('2018_commission_structure'!$A$1:$I$4,
MATCH($D681, '2018_commission_structure'!$A$1:$A$4,0),
MATCH(R$1, '2018_commission_structure'!$A$1:$I$1,0)), 0)</f>
        <v>0</v>
      </c>
      <c r="S681" s="11">
        <f t="shared" si="65"/>
        <v>0</v>
      </c>
      <c r="T681" s="11" cm="1">
        <f t="array" ref="T681">SUM(E681+O681:Q681)</f>
        <v>256848</v>
      </c>
    </row>
    <row r="682" spans="1:20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 xml:space="preserve"> COUNTIF(deals_closed!D:D,A682)</f>
        <v>22</v>
      </c>
      <c r="G682" s="5">
        <f>SUMIF(deals_closed!D:D, calculations!A682, deals_closed!C:C)</f>
        <v>742123</v>
      </c>
      <c r="H682" s="5">
        <f>VLOOKUP(D682,'2018_commission_structure'!$A$2:$I$4,9,FALSE)</f>
        <v>500000</v>
      </c>
      <c r="I682" s="9">
        <f t="shared" si="60"/>
        <v>625000</v>
      </c>
      <c r="J682" s="8">
        <f t="shared" si="61"/>
        <v>750000</v>
      </c>
      <c r="K682" s="9">
        <f t="shared" si="62"/>
        <v>1000000</v>
      </c>
      <c r="L682" s="10">
        <f t="shared" si="63"/>
        <v>1.484246</v>
      </c>
      <c r="M682" t="str">
        <f t="shared" si="64"/>
        <v>125-150%</v>
      </c>
      <c r="N682" s="9">
        <f>MIN(H682, G682)*INDEX('2018_commission_structure'!$A$1:$I$4,
MATCH($D682, '2018_commission_structure'!$A$1:$A$4,0),
MATCH(N$1, '2018_commission_structure'!$A$1:$I$1,0))</f>
        <v>50000</v>
      </c>
      <c r="O682" s="11">
        <f>IF(G682&gt;H682, MIN(G682-H682, I682-H682)*
INDEX('2018_commission_structure'!$A$1:$I$4,
MATCH($D682, '2018_commission_structure'!$A$1:$A$4, 0),
MATCH(O$1, '2018_commission_structure'!$A$1:$I$1, 0)), 0)</f>
        <v>18750</v>
      </c>
      <c r="P682" s="11">
        <f>IF(G682&gt;H682, MIN(G682-H682, J682-H682)*
INDEX('2018_commission_structure'!$A$1:$I$4,
MATCH($D682, '2018_commission_structure'!$A$1:$A$4, 0),
MATCH(O$1, '2018_commission_structure'!$A$1:$I$1, 0)), 0)</f>
        <v>36318.449999999997</v>
      </c>
      <c r="Q682" s="11">
        <f>IF(G682&gt;H682, MIN(G682-H682, I682-H682)*
INDEX('2018_commission_structure'!$A$1:$I$4,
MATCH($D682, '2018_commission_structure'!$A$1:$A$4, 0),
MATCH(P$1, '2018_commission_structure'!$A$1:$I$1, 0)), 0)</f>
        <v>22500</v>
      </c>
      <c r="R682" s="11">
        <f>IF(G682&gt;K682, (G682-K682) *
INDEX('2018_commission_structure'!$A$1:$I$4,
MATCH($D682, '2018_commission_structure'!$A$1:$A$4,0),
MATCH(R$1, '2018_commission_structure'!$A$1:$I$1,0)), 0)</f>
        <v>0</v>
      </c>
      <c r="S682" s="11">
        <f t="shared" si="65"/>
        <v>77568.45</v>
      </c>
      <c r="T682" s="11" cm="1">
        <f t="array" ref="T682">SUM(E682+O682:Q682)</f>
        <v>168336.45</v>
      </c>
    </row>
    <row r="683" spans="1:20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 xml:space="preserve"> COUNTIF(deals_closed!D:D,A683)</f>
        <v>9</v>
      </c>
      <c r="G683" s="5">
        <f>SUMIF(deals_closed!D:D, calculations!A683, deals_closed!C:C)</f>
        <v>229221</v>
      </c>
      <c r="H683" s="5">
        <f>VLOOKUP(D683,'2018_commission_structure'!$A$2:$I$4,9,FALSE)</f>
        <v>600000</v>
      </c>
      <c r="I683" s="9">
        <f t="shared" si="60"/>
        <v>750000</v>
      </c>
      <c r="J683" s="8">
        <f t="shared" si="61"/>
        <v>900000</v>
      </c>
      <c r="K683" s="9">
        <f t="shared" si="62"/>
        <v>1200000</v>
      </c>
      <c r="L683" s="10">
        <f t="shared" si="63"/>
        <v>0.38203500000000001</v>
      </c>
      <c r="M683" t="str">
        <f t="shared" si="64"/>
        <v>0-100%</v>
      </c>
      <c r="N683" s="9">
        <f>MIN(H683, G683)*INDEX('2018_commission_structure'!$A$1:$I$4,
MATCH($D683, '2018_commission_structure'!$A$1:$A$4,0),
MATCH(N$1, '2018_commission_structure'!$A$1:$I$1,0))</f>
        <v>29798.73</v>
      </c>
      <c r="O683" s="11">
        <f>IF(G683&gt;H683, MIN(G683-H683, I683-H683)*
INDEX('2018_commission_structure'!$A$1:$I$4,
MATCH($D683, '2018_commission_structure'!$A$1:$A$4, 0),
MATCH(O$1, '2018_commission_structure'!$A$1:$I$1, 0)), 0)</f>
        <v>0</v>
      </c>
      <c r="P683" s="11">
        <f>IF(G683&gt;H683, MIN(G683-H683, J683-H683)*
INDEX('2018_commission_structure'!$A$1:$I$4,
MATCH($D683, '2018_commission_structure'!$A$1:$A$4, 0),
MATCH(O$1, '2018_commission_structure'!$A$1:$I$1, 0)), 0)</f>
        <v>0</v>
      </c>
      <c r="Q683" s="11">
        <f>IF(G683&gt;H683, MIN(G683-H683, I683-H683)*
INDEX('2018_commission_structure'!$A$1:$I$4,
MATCH($D683, '2018_commission_structure'!$A$1:$A$4, 0),
MATCH(P$1, '2018_commission_structure'!$A$1:$I$1, 0)), 0)</f>
        <v>0</v>
      </c>
      <c r="R683" s="11">
        <f>IF(G683&gt;K683, (G683-K683) *
INDEX('2018_commission_structure'!$A$1:$I$4,
MATCH($D683, '2018_commission_structure'!$A$1:$A$4,0),
MATCH(R$1, '2018_commission_structure'!$A$1:$I$1,0)), 0)</f>
        <v>0</v>
      </c>
      <c r="S683" s="11">
        <f t="shared" si="65"/>
        <v>0</v>
      </c>
      <c r="T683" s="11" cm="1">
        <f t="array" ref="T683">SUM(E683+O683:Q683)</f>
        <v>157911</v>
      </c>
    </row>
    <row r="684" spans="1:20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 xml:space="preserve"> COUNTIF(deals_closed!D:D,A684)</f>
        <v>23</v>
      </c>
      <c r="G684" s="5">
        <f>SUMIF(deals_closed!D:D, calculations!A684, deals_closed!C:C)</f>
        <v>825058</v>
      </c>
      <c r="H684" s="5">
        <f>VLOOKUP(D684,'2018_commission_structure'!$A$2:$I$4,9,FALSE)</f>
        <v>750000</v>
      </c>
      <c r="I684" s="9">
        <f t="shared" si="60"/>
        <v>937500</v>
      </c>
      <c r="J684" s="8">
        <f t="shared" si="61"/>
        <v>1125000</v>
      </c>
      <c r="K684" s="9">
        <f t="shared" si="62"/>
        <v>1500000</v>
      </c>
      <c r="L684" s="10">
        <f t="shared" si="63"/>
        <v>1.1000773333333334</v>
      </c>
      <c r="M684" t="str">
        <f t="shared" si="64"/>
        <v>100-125%</v>
      </c>
      <c r="N684" s="9">
        <f>MIN(H684, G684)*INDEX('2018_commission_structure'!$A$1:$I$4,
MATCH($D684, '2018_commission_structure'!$A$1:$A$4,0),
MATCH(N$1, '2018_commission_structure'!$A$1:$I$1,0))</f>
        <v>112500</v>
      </c>
      <c r="O684" s="11">
        <f>IF(G684&gt;H684, MIN(G684-H684, I684-H684)*
INDEX('2018_commission_structure'!$A$1:$I$4,
MATCH($D684, '2018_commission_structure'!$A$1:$A$4, 0),
MATCH(O$1, '2018_commission_structure'!$A$1:$I$1, 0)), 0)</f>
        <v>14261.02</v>
      </c>
      <c r="P684" s="11">
        <f>IF(G684&gt;H684, MIN(G684-H684, J684-H684)*
INDEX('2018_commission_structure'!$A$1:$I$4,
MATCH($D684, '2018_commission_structure'!$A$1:$A$4, 0),
MATCH(O$1, '2018_commission_structure'!$A$1:$I$1, 0)), 0)</f>
        <v>14261.02</v>
      </c>
      <c r="Q684" s="11">
        <f>IF(G684&gt;H684, MIN(G684-H684, I684-H684)*
INDEX('2018_commission_structure'!$A$1:$I$4,
MATCH($D684, '2018_commission_structure'!$A$1:$A$4, 0),
MATCH(P$1, '2018_commission_structure'!$A$1:$I$1, 0)), 0)</f>
        <v>17263.34</v>
      </c>
      <c r="R684" s="11">
        <f>IF(G684&gt;K684, (G684-K684) *
INDEX('2018_commission_structure'!$A$1:$I$4,
MATCH($D684, '2018_commission_structure'!$A$1:$A$4,0),
MATCH(R$1, '2018_commission_structure'!$A$1:$I$1,0)), 0)</f>
        <v>0</v>
      </c>
      <c r="S684" s="11">
        <f t="shared" si="65"/>
        <v>45785.380000000005</v>
      </c>
      <c r="T684" s="11" cm="1">
        <f t="array" ref="T684">SUM(E684+O684:Q684)</f>
        <v>369548.38</v>
      </c>
    </row>
    <row r="685" spans="1:20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 xml:space="preserve"> COUNTIF(deals_closed!D:D,A685)</f>
        <v>20</v>
      </c>
      <c r="G685" s="5">
        <f>SUMIF(deals_closed!D:D, calculations!A685, deals_closed!C:C)</f>
        <v>716416</v>
      </c>
      <c r="H685" s="5">
        <f>VLOOKUP(D685,'2018_commission_structure'!$A$2:$I$4,9,FALSE)</f>
        <v>500000</v>
      </c>
      <c r="I685" s="9">
        <f t="shared" si="60"/>
        <v>625000</v>
      </c>
      <c r="J685" s="8">
        <f t="shared" si="61"/>
        <v>750000</v>
      </c>
      <c r="K685" s="9">
        <f t="shared" si="62"/>
        <v>1000000</v>
      </c>
      <c r="L685" s="10">
        <f t="shared" si="63"/>
        <v>1.4328320000000001</v>
      </c>
      <c r="M685" t="str">
        <f t="shared" si="64"/>
        <v>125-150%</v>
      </c>
      <c r="N685" s="9">
        <f>MIN(H685, G685)*INDEX('2018_commission_structure'!$A$1:$I$4,
MATCH($D685, '2018_commission_structure'!$A$1:$A$4,0),
MATCH(N$1, '2018_commission_structure'!$A$1:$I$1,0))</f>
        <v>50000</v>
      </c>
      <c r="O685" s="11">
        <f>IF(G685&gt;H685, MIN(G685-H685, I685-H685)*
INDEX('2018_commission_structure'!$A$1:$I$4,
MATCH($D685, '2018_commission_structure'!$A$1:$A$4, 0),
MATCH(O$1, '2018_commission_structure'!$A$1:$I$1, 0)), 0)</f>
        <v>18750</v>
      </c>
      <c r="P685" s="11">
        <f>IF(G685&gt;H685, MIN(G685-H685, J685-H685)*
INDEX('2018_commission_structure'!$A$1:$I$4,
MATCH($D685, '2018_commission_structure'!$A$1:$A$4, 0),
MATCH(O$1, '2018_commission_structure'!$A$1:$I$1, 0)), 0)</f>
        <v>32462.399999999998</v>
      </c>
      <c r="Q685" s="11">
        <f>IF(G685&gt;H685, MIN(G685-H685, I685-H685)*
INDEX('2018_commission_structure'!$A$1:$I$4,
MATCH($D685, '2018_commission_structure'!$A$1:$A$4, 0),
MATCH(P$1, '2018_commission_structure'!$A$1:$I$1, 0)), 0)</f>
        <v>22500</v>
      </c>
      <c r="R685" s="11">
        <f>IF(G685&gt;K685, (G685-K685) *
INDEX('2018_commission_structure'!$A$1:$I$4,
MATCH($D685, '2018_commission_structure'!$A$1:$A$4,0),
MATCH(R$1, '2018_commission_structure'!$A$1:$I$1,0)), 0)</f>
        <v>0</v>
      </c>
      <c r="S685" s="11">
        <f t="shared" si="65"/>
        <v>73712.399999999994</v>
      </c>
      <c r="T685" s="11" cm="1">
        <f t="array" ref="T685">SUM(E685+O685:Q685)</f>
        <v>232352.4</v>
      </c>
    </row>
    <row r="686" spans="1:20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 xml:space="preserve"> COUNTIF(deals_closed!D:D,A686)</f>
        <v>20</v>
      </c>
      <c r="G686" s="5">
        <f>SUMIF(deals_closed!D:D, calculations!A686, deals_closed!C:C)</f>
        <v>730353</v>
      </c>
      <c r="H686" s="5">
        <f>VLOOKUP(D686,'2018_commission_structure'!$A$2:$I$4,9,FALSE)</f>
        <v>500000</v>
      </c>
      <c r="I686" s="9">
        <f t="shared" si="60"/>
        <v>625000</v>
      </c>
      <c r="J686" s="8">
        <f t="shared" si="61"/>
        <v>750000</v>
      </c>
      <c r="K686" s="9">
        <f t="shared" si="62"/>
        <v>1000000</v>
      </c>
      <c r="L686" s="10">
        <f t="shared" si="63"/>
        <v>1.4607060000000001</v>
      </c>
      <c r="M686" t="str">
        <f t="shared" si="64"/>
        <v>125-150%</v>
      </c>
      <c r="N686" s="9">
        <f>MIN(H686, G686)*INDEX('2018_commission_structure'!$A$1:$I$4,
MATCH($D686, '2018_commission_structure'!$A$1:$A$4,0),
MATCH(N$1, '2018_commission_structure'!$A$1:$I$1,0))</f>
        <v>50000</v>
      </c>
      <c r="O686" s="11">
        <f>IF(G686&gt;H686, MIN(G686-H686, I686-H686)*
INDEX('2018_commission_structure'!$A$1:$I$4,
MATCH($D686, '2018_commission_structure'!$A$1:$A$4, 0),
MATCH(O$1, '2018_commission_structure'!$A$1:$I$1, 0)), 0)</f>
        <v>18750</v>
      </c>
      <c r="P686" s="11">
        <f>IF(G686&gt;H686, MIN(G686-H686, J686-H686)*
INDEX('2018_commission_structure'!$A$1:$I$4,
MATCH($D686, '2018_commission_structure'!$A$1:$A$4, 0),
MATCH(O$1, '2018_commission_structure'!$A$1:$I$1, 0)), 0)</f>
        <v>34552.949999999997</v>
      </c>
      <c r="Q686" s="11">
        <f>IF(G686&gt;H686, MIN(G686-H686, I686-H686)*
INDEX('2018_commission_structure'!$A$1:$I$4,
MATCH($D686, '2018_commission_structure'!$A$1:$A$4, 0),
MATCH(P$1, '2018_commission_structure'!$A$1:$I$1, 0)), 0)</f>
        <v>22500</v>
      </c>
      <c r="R686" s="11">
        <f>IF(G686&gt;K686, (G686-K686) *
INDEX('2018_commission_structure'!$A$1:$I$4,
MATCH($D686, '2018_commission_structure'!$A$1:$A$4,0),
MATCH(R$1, '2018_commission_structure'!$A$1:$I$1,0)), 0)</f>
        <v>0</v>
      </c>
      <c r="S686" s="11">
        <f t="shared" si="65"/>
        <v>75802.95</v>
      </c>
      <c r="T686" s="11" cm="1">
        <f t="array" ref="T686">SUM(E686+O686:Q686)</f>
        <v>249739.95</v>
      </c>
    </row>
    <row r="687" spans="1:20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 xml:space="preserve"> COUNTIF(deals_closed!D:D,A687)</f>
        <v>13</v>
      </c>
      <c r="G687" s="5">
        <f>SUMIF(deals_closed!D:D, calculations!A687, deals_closed!C:C)</f>
        <v>474301</v>
      </c>
      <c r="H687" s="5">
        <f>VLOOKUP(D687,'2018_commission_structure'!$A$2:$I$4,9,FALSE)</f>
        <v>750000</v>
      </c>
      <c r="I687" s="9">
        <f t="shared" si="60"/>
        <v>937500</v>
      </c>
      <c r="J687" s="8">
        <f t="shared" si="61"/>
        <v>1125000</v>
      </c>
      <c r="K687" s="9">
        <f t="shared" si="62"/>
        <v>1500000</v>
      </c>
      <c r="L687" s="10">
        <f t="shared" si="63"/>
        <v>0.63240133333333337</v>
      </c>
      <c r="M687" t="str">
        <f t="shared" si="64"/>
        <v>0-100%</v>
      </c>
      <c r="N687" s="9">
        <f>MIN(H687, G687)*INDEX('2018_commission_structure'!$A$1:$I$4,
MATCH($D687, '2018_commission_structure'!$A$1:$A$4,0),
MATCH(N$1, '2018_commission_structure'!$A$1:$I$1,0))</f>
        <v>71145.149999999994</v>
      </c>
      <c r="O687" s="11">
        <f>IF(G687&gt;H687, MIN(G687-H687, I687-H687)*
INDEX('2018_commission_structure'!$A$1:$I$4,
MATCH($D687, '2018_commission_structure'!$A$1:$A$4, 0),
MATCH(O$1, '2018_commission_structure'!$A$1:$I$1, 0)), 0)</f>
        <v>0</v>
      </c>
      <c r="P687" s="11">
        <f>IF(G687&gt;H687, MIN(G687-H687, J687-H687)*
INDEX('2018_commission_structure'!$A$1:$I$4,
MATCH($D687, '2018_commission_structure'!$A$1:$A$4, 0),
MATCH(O$1, '2018_commission_structure'!$A$1:$I$1, 0)), 0)</f>
        <v>0</v>
      </c>
      <c r="Q687" s="11">
        <f>IF(G687&gt;H687, MIN(G687-H687, I687-H687)*
INDEX('2018_commission_structure'!$A$1:$I$4,
MATCH($D687, '2018_commission_structure'!$A$1:$A$4, 0),
MATCH(P$1, '2018_commission_structure'!$A$1:$I$1, 0)), 0)</f>
        <v>0</v>
      </c>
      <c r="R687" s="11">
        <f>IF(G687&gt;K687, (G687-K687) *
INDEX('2018_commission_structure'!$A$1:$I$4,
MATCH($D687, '2018_commission_structure'!$A$1:$A$4,0),
MATCH(R$1, '2018_commission_structure'!$A$1:$I$1,0)), 0)</f>
        <v>0</v>
      </c>
      <c r="S687" s="11">
        <f t="shared" si="65"/>
        <v>0</v>
      </c>
      <c r="T687" s="11" cm="1">
        <f t="array" ref="T687">SUM(E687+O687:Q687)</f>
        <v>225465</v>
      </c>
    </row>
    <row r="688" spans="1:20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 xml:space="preserve"> COUNTIF(deals_closed!D:D,A688)</f>
        <v>21</v>
      </c>
      <c r="G688" s="5">
        <f>SUMIF(deals_closed!D:D, calculations!A688, deals_closed!C:C)</f>
        <v>747655</v>
      </c>
      <c r="H688" s="5">
        <f>VLOOKUP(D688,'2018_commission_structure'!$A$2:$I$4,9,FALSE)</f>
        <v>750000</v>
      </c>
      <c r="I688" s="9">
        <f t="shared" si="60"/>
        <v>937500</v>
      </c>
      <c r="J688" s="8">
        <f t="shared" si="61"/>
        <v>1125000</v>
      </c>
      <c r="K688" s="9">
        <f t="shared" si="62"/>
        <v>1500000</v>
      </c>
      <c r="L688" s="10">
        <f t="shared" si="63"/>
        <v>0.99687333333333328</v>
      </c>
      <c r="M688" t="str">
        <f t="shared" si="64"/>
        <v>0-100%</v>
      </c>
      <c r="N688" s="9">
        <f>MIN(H688, G688)*INDEX('2018_commission_structure'!$A$1:$I$4,
MATCH($D688, '2018_commission_structure'!$A$1:$A$4,0),
MATCH(N$1, '2018_commission_structure'!$A$1:$I$1,0))</f>
        <v>112148.25</v>
      </c>
      <c r="O688" s="11">
        <f>IF(G688&gt;H688, MIN(G688-H688, I688-H688)*
INDEX('2018_commission_structure'!$A$1:$I$4,
MATCH($D688, '2018_commission_structure'!$A$1:$A$4, 0),
MATCH(O$1, '2018_commission_structure'!$A$1:$I$1, 0)), 0)</f>
        <v>0</v>
      </c>
      <c r="P688" s="11">
        <f>IF(G688&gt;H688, MIN(G688-H688, J688-H688)*
INDEX('2018_commission_structure'!$A$1:$I$4,
MATCH($D688, '2018_commission_structure'!$A$1:$A$4, 0),
MATCH(O$1, '2018_commission_structure'!$A$1:$I$1, 0)), 0)</f>
        <v>0</v>
      </c>
      <c r="Q688" s="11">
        <f>IF(G688&gt;H688, MIN(G688-H688, I688-H688)*
INDEX('2018_commission_structure'!$A$1:$I$4,
MATCH($D688, '2018_commission_structure'!$A$1:$A$4, 0),
MATCH(P$1, '2018_commission_structure'!$A$1:$I$1, 0)), 0)</f>
        <v>0</v>
      </c>
      <c r="R688" s="11">
        <f>IF(G688&gt;K688, (G688-K688) *
INDEX('2018_commission_structure'!$A$1:$I$4,
MATCH($D688, '2018_commission_structure'!$A$1:$A$4,0),
MATCH(R$1, '2018_commission_structure'!$A$1:$I$1,0)), 0)</f>
        <v>0</v>
      </c>
      <c r="S688" s="11">
        <f t="shared" si="65"/>
        <v>0</v>
      </c>
      <c r="T688" s="11" cm="1">
        <f t="array" ref="T688">SUM(E688+O688:Q688)</f>
        <v>365316</v>
      </c>
    </row>
    <row r="689" spans="1:20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 xml:space="preserve"> COUNTIF(deals_closed!D:D,A689)</f>
        <v>21</v>
      </c>
      <c r="G689" s="5">
        <f>SUMIF(deals_closed!D:D, calculations!A689, deals_closed!C:C)</f>
        <v>733725</v>
      </c>
      <c r="H689" s="5">
        <f>VLOOKUP(D689,'2018_commission_structure'!$A$2:$I$4,9,FALSE)</f>
        <v>500000</v>
      </c>
      <c r="I689" s="9">
        <f t="shared" si="60"/>
        <v>625000</v>
      </c>
      <c r="J689" s="8">
        <f t="shared" si="61"/>
        <v>750000</v>
      </c>
      <c r="K689" s="9">
        <f t="shared" si="62"/>
        <v>1000000</v>
      </c>
      <c r="L689" s="10">
        <f t="shared" si="63"/>
        <v>1.4674499999999999</v>
      </c>
      <c r="M689" t="str">
        <f t="shared" si="64"/>
        <v>125-150%</v>
      </c>
      <c r="N689" s="9">
        <f>MIN(H689, G689)*INDEX('2018_commission_structure'!$A$1:$I$4,
MATCH($D689, '2018_commission_structure'!$A$1:$A$4,0),
MATCH(N$1, '2018_commission_structure'!$A$1:$I$1,0))</f>
        <v>50000</v>
      </c>
      <c r="O689" s="11">
        <f>IF(G689&gt;H689, MIN(G689-H689, I689-H689)*
INDEX('2018_commission_structure'!$A$1:$I$4,
MATCH($D689, '2018_commission_structure'!$A$1:$A$4, 0),
MATCH(O$1, '2018_commission_structure'!$A$1:$I$1, 0)), 0)</f>
        <v>18750</v>
      </c>
      <c r="P689" s="11">
        <f>IF(G689&gt;H689, MIN(G689-H689, J689-H689)*
INDEX('2018_commission_structure'!$A$1:$I$4,
MATCH($D689, '2018_commission_structure'!$A$1:$A$4, 0),
MATCH(O$1, '2018_commission_structure'!$A$1:$I$1, 0)), 0)</f>
        <v>35058.75</v>
      </c>
      <c r="Q689" s="11">
        <f>IF(G689&gt;H689, MIN(G689-H689, I689-H689)*
INDEX('2018_commission_structure'!$A$1:$I$4,
MATCH($D689, '2018_commission_structure'!$A$1:$A$4, 0),
MATCH(P$1, '2018_commission_structure'!$A$1:$I$1, 0)), 0)</f>
        <v>22500</v>
      </c>
      <c r="R689" s="11">
        <f>IF(G689&gt;K689, (G689-K689) *
INDEX('2018_commission_structure'!$A$1:$I$4,
MATCH($D689, '2018_commission_structure'!$A$1:$A$4,0),
MATCH(R$1, '2018_commission_structure'!$A$1:$I$1,0)), 0)</f>
        <v>0</v>
      </c>
      <c r="S689" s="11">
        <f t="shared" si="65"/>
        <v>76308.75</v>
      </c>
      <c r="T689" s="11" cm="1">
        <f t="array" ref="T689">SUM(E689+O689:Q689)</f>
        <v>186162.75</v>
      </c>
    </row>
    <row r="690" spans="1:20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 xml:space="preserve"> COUNTIF(deals_closed!D:D,A690)</f>
        <v>19</v>
      </c>
      <c r="G690" s="5">
        <f>SUMIF(deals_closed!D:D, calculations!A690, deals_closed!C:C)</f>
        <v>588834</v>
      </c>
      <c r="H690" s="5">
        <f>VLOOKUP(D690,'2018_commission_structure'!$A$2:$I$4,9,FALSE)</f>
        <v>600000</v>
      </c>
      <c r="I690" s="9">
        <f t="shared" si="60"/>
        <v>750000</v>
      </c>
      <c r="J690" s="8">
        <f t="shared" si="61"/>
        <v>900000</v>
      </c>
      <c r="K690" s="9">
        <f t="shared" si="62"/>
        <v>1200000</v>
      </c>
      <c r="L690" s="10">
        <f t="shared" si="63"/>
        <v>0.98138999999999998</v>
      </c>
      <c r="M690" t="str">
        <f t="shared" si="64"/>
        <v>0-100%</v>
      </c>
      <c r="N690" s="9">
        <f>MIN(H690, G690)*INDEX('2018_commission_structure'!$A$1:$I$4,
MATCH($D690, '2018_commission_structure'!$A$1:$A$4,0),
MATCH(N$1, '2018_commission_structure'!$A$1:$I$1,0))</f>
        <v>76548.42</v>
      </c>
      <c r="O690" s="11">
        <f>IF(G690&gt;H690, MIN(G690-H690, I690-H690)*
INDEX('2018_commission_structure'!$A$1:$I$4,
MATCH($D690, '2018_commission_structure'!$A$1:$A$4, 0),
MATCH(O$1, '2018_commission_structure'!$A$1:$I$1, 0)), 0)</f>
        <v>0</v>
      </c>
      <c r="P690" s="11">
        <f>IF(G690&gt;H690, MIN(G690-H690, J690-H690)*
INDEX('2018_commission_structure'!$A$1:$I$4,
MATCH($D690, '2018_commission_structure'!$A$1:$A$4, 0),
MATCH(O$1, '2018_commission_structure'!$A$1:$I$1, 0)), 0)</f>
        <v>0</v>
      </c>
      <c r="Q690" s="11">
        <f>IF(G690&gt;H690, MIN(G690-H690, I690-H690)*
INDEX('2018_commission_structure'!$A$1:$I$4,
MATCH($D690, '2018_commission_structure'!$A$1:$A$4, 0),
MATCH(P$1, '2018_commission_structure'!$A$1:$I$1, 0)), 0)</f>
        <v>0</v>
      </c>
      <c r="R690" s="11">
        <f>IF(G690&gt;K690, (G690-K690) *
INDEX('2018_commission_structure'!$A$1:$I$4,
MATCH($D690, '2018_commission_structure'!$A$1:$A$4,0),
MATCH(R$1, '2018_commission_structure'!$A$1:$I$1,0)), 0)</f>
        <v>0</v>
      </c>
      <c r="S690" s="11">
        <f t="shared" si="65"/>
        <v>0</v>
      </c>
      <c r="T690" s="11" cm="1">
        <f t="array" ref="T690">SUM(E690+O690:Q690)</f>
        <v>159288</v>
      </c>
    </row>
    <row r="691" spans="1:20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 xml:space="preserve"> COUNTIF(deals_closed!D:D,A691)</f>
        <v>7</v>
      </c>
      <c r="G691" s="5">
        <f>SUMIF(deals_closed!D:D, calculations!A691, deals_closed!C:C)</f>
        <v>334109</v>
      </c>
      <c r="H691" s="5">
        <f>VLOOKUP(D691,'2018_commission_structure'!$A$2:$I$4,9,FALSE)</f>
        <v>600000</v>
      </c>
      <c r="I691" s="9">
        <f t="shared" si="60"/>
        <v>750000</v>
      </c>
      <c r="J691" s="8">
        <f t="shared" si="61"/>
        <v>900000</v>
      </c>
      <c r="K691" s="9">
        <f t="shared" si="62"/>
        <v>1200000</v>
      </c>
      <c r="L691" s="10">
        <f t="shared" si="63"/>
        <v>0.55684833333333328</v>
      </c>
      <c r="M691" t="str">
        <f t="shared" si="64"/>
        <v>0-100%</v>
      </c>
      <c r="N691" s="9">
        <f>MIN(H691, G691)*INDEX('2018_commission_structure'!$A$1:$I$4,
MATCH($D691, '2018_commission_structure'!$A$1:$A$4,0),
MATCH(N$1, '2018_commission_structure'!$A$1:$I$1,0))</f>
        <v>43434.17</v>
      </c>
      <c r="O691" s="11">
        <f>IF(G691&gt;H691, MIN(G691-H691, I691-H691)*
INDEX('2018_commission_structure'!$A$1:$I$4,
MATCH($D691, '2018_commission_structure'!$A$1:$A$4, 0),
MATCH(O$1, '2018_commission_structure'!$A$1:$I$1, 0)), 0)</f>
        <v>0</v>
      </c>
      <c r="P691" s="11">
        <f>IF(G691&gt;H691, MIN(G691-H691, J691-H691)*
INDEX('2018_commission_structure'!$A$1:$I$4,
MATCH($D691, '2018_commission_structure'!$A$1:$A$4, 0),
MATCH(O$1, '2018_commission_structure'!$A$1:$I$1, 0)), 0)</f>
        <v>0</v>
      </c>
      <c r="Q691" s="11">
        <f>IF(G691&gt;H691, MIN(G691-H691, I691-H691)*
INDEX('2018_commission_structure'!$A$1:$I$4,
MATCH($D691, '2018_commission_structure'!$A$1:$A$4, 0),
MATCH(P$1, '2018_commission_structure'!$A$1:$I$1, 0)), 0)</f>
        <v>0</v>
      </c>
      <c r="R691" s="11">
        <f>IF(G691&gt;K691, (G691-K691) *
INDEX('2018_commission_structure'!$A$1:$I$4,
MATCH($D691, '2018_commission_structure'!$A$1:$A$4,0),
MATCH(R$1, '2018_commission_structure'!$A$1:$I$1,0)), 0)</f>
        <v>0</v>
      </c>
      <c r="S691" s="11">
        <f t="shared" si="65"/>
        <v>0</v>
      </c>
      <c r="T691" s="11" cm="1">
        <f t="array" ref="T691">SUM(E691+O691:Q691)</f>
        <v>229941</v>
      </c>
    </row>
    <row r="692" spans="1:20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 xml:space="preserve"> COUNTIF(deals_closed!D:D,A692)</f>
        <v>20</v>
      </c>
      <c r="G692" s="5">
        <f>SUMIF(deals_closed!D:D, calculations!A692, deals_closed!C:C)</f>
        <v>676256</v>
      </c>
      <c r="H692" s="5">
        <f>VLOOKUP(D692,'2018_commission_structure'!$A$2:$I$4,9,FALSE)</f>
        <v>500000</v>
      </c>
      <c r="I692" s="9">
        <f t="shared" si="60"/>
        <v>625000</v>
      </c>
      <c r="J692" s="8">
        <f t="shared" si="61"/>
        <v>750000</v>
      </c>
      <c r="K692" s="9">
        <f t="shared" si="62"/>
        <v>1000000</v>
      </c>
      <c r="L692" s="10">
        <f t="shared" si="63"/>
        <v>1.3525119999999999</v>
      </c>
      <c r="M692" t="str">
        <f t="shared" si="64"/>
        <v>125-150%</v>
      </c>
      <c r="N692" s="9">
        <f>MIN(H692, G692)*INDEX('2018_commission_structure'!$A$1:$I$4,
MATCH($D692, '2018_commission_structure'!$A$1:$A$4,0),
MATCH(N$1, '2018_commission_structure'!$A$1:$I$1,0))</f>
        <v>50000</v>
      </c>
      <c r="O692" s="11">
        <f>IF(G692&gt;H692, MIN(G692-H692, I692-H692)*
INDEX('2018_commission_structure'!$A$1:$I$4,
MATCH($D692, '2018_commission_structure'!$A$1:$A$4, 0),
MATCH(O$1, '2018_commission_structure'!$A$1:$I$1, 0)), 0)</f>
        <v>18750</v>
      </c>
      <c r="P692" s="11">
        <f>IF(G692&gt;H692, MIN(G692-H692, J692-H692)*
INDEX('2018_commission_structure'!$A$1:$I$4,
MATCH($D692, '2018_commission_structure'!$A$1:$A$4, 0),
MATCH(O$1, '2018_commission_structure'!$A$1:$I$1, 0)), 0)</f>
        <v>26438.399999999998</v>
      </c>
      <c r="Q692" s="11">
        <f>IF(G692&gt;H692, MIN(G692-H692, I692-H692)*
INDEX('2018_commission_structure'!$A$1:$I$4,
MATCH($D692, '2018_commission_structure'!$A$1:$A$4, 0),
MATCH(P$1, '2018_commission_structure'!$A$1:$I$1, 0)), 0)</f>
        <v>22500</v>
      </c>
      <c r="R692" s="11">
        <f>IF(G692&gt;K692, (G692-K692) *
INDEX('2018_commission_structure'!$A$1:$I$4,
MATCH($D692, '2018_commission_structure'!$A$1:$A$4,0),
MATCH(R$1, '2018_commission_structure'!$A$1:$I$1,0)), 0)</f>
        <v>0</v>
      </c>
      <c r="S692" s="11">
        <f t="shared" si="65"/>
        <v>67688.399999999994</v>
      </c>
      <c r="T692" s="11" cm="1">
        <f t="array" ref="T692">SUM(E692+O692:Q692)</f>
        <v>232217.4</v>
      </c>
    </row>
    <row r="693" spans="1:20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 xml:space="preserve"> COUNTIF(deals_closed!D:D,A693)</f>
        <v>17</v>
      </c>
      <c r="G693" s="5">
        <f>SUMIF(deals_closed!D:D, calculations!A693, deals_closed!C:C)</f>
        <v>638311</v>
      </c>
      <c r="H693" s="5">
        <f>VLOOKUP(D693,'2018_commission_structure'!$A$2:$I$4,9,FALSE)</f>
        <v>600000</v>
      </c>
      <c r="I693" s="9">
        <f t="shared" si="60"/>
        <v>750000</v>
      </c>
      <c r="J693" s="8">
        <f t="shared" si="61"/>
        <v>900000</v>
      </c>
      <c r="K693" s="9">
        <f t="shared" si="62"/>
        <v>1200000</v>
      </c>
      <c r="L693" s="10">
        <f t="shared" si="63"/>
        <v>1.0638516666666666</v>
      </c>
      <c r="M693" t="str">
        <f t="shared" si="64"/>
        <v>100-125%</v>
      </c>
      <c r="N693" s="9">
        <f>MIN(H693, G693)*INDEX('2018_commission_structure'!$A$1:$I$4,
MATCH($D693, '2018_commission_structure'!$A$1:$A$4,0),
MATCH(N$1, '2018_commission_structure'!$A$1:$I$1,0))</f>
        <v>78000</v>
      </c>
      <c r="O693" s="11">
        <f>IF(G693&gt;H693, MIN(G693-H693, I693-H693)*
INDEX('2018_commission_structure'!$A$1:$I$4,
MATCH($D693, '2018_commission_structure'!$A$1:$A$4, 0),
MATCH(O$1, '2018_commission_structure'!$A$1:$I$1, 0)), 0)</f>
        <v>6512.8700000000008</v>
      </c>
      <c r="P693" s="11">
        <f>IF(G693&gt;H693, MIN(G693-H693, J693-H693)*
INDEX('2018_commission_structure'!$A$1:$I$4,
MATCH($D693, '2018_commission_structure'!$A$1:$A$4, 0),
MATCH(O$1, '2018_commission_structure'!$A$1:$I$1, 0)), 0)</f>
        <v>6512.8700000000008</v>
      </c>
      <c r="Q693" s="11">
        <f>IF(G693&gt;H693, MIN(G693-H693, I693-H693)*
INDEX('2018_commission_structure'!$A$1:$I$4,
MATCH($D693, '2018_commission_structure'!$A$1:$A$4, 0),
MATCH(P$1, '2018_commission_structure'!$A$1:$I$1, 0)), 0)</f>
        <v>8045.3099999999995</v>
      </c>
      <c r="R693" s="11">
        <f>IF(G693&gt;K693, (G693-K693) *
INDEX('2018_commission_structure'!$A$1:$I$4,
MATCH($D693, '2018_commission_structure'!$A$1:$A$4,0),
MATCH(R$1, '2018_commission_structure'!$A$1:$I$1,0)), 0)</f>
        <v>0</v>
      </c>
      <c r="S693" s="11">
        <f t="shared" si="65"/>
        <v>21071.050000000003</v>
      </c>
      <c r="T693" s="11" cm="1">
        <f t="array" ref="T693">SUM(E693+O693:Q693)</f>
        <v>255389.05</v>
      </c>
    </row>
    <row r="694" spans="1:20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 xml:space="preserve"> COUNTIF(deals_closed!D:D,A694)</f>
        <v>18</v>
      </c>
      <c r="G694" s="5">
        <f>SUMIF(deals_closed!D:D, calculations!A694, deals_closed!C:C)</f>
        <v>622265</v>
      </c>
      <c r="H694" s="5">
        <f>VLOOKUP(D694,'2018_commission_structure'!$A$2:$I$4,9,FALSE)</f>
        <v>750000</v>
      </c>
      <c r="I694" s="9">
        <f t="shared" si="60"/>
        <v>937500</v>
      </c>
      <c r="J694" s="8">
        <f t="shared" si="61"/>
        <v>1125000</v>
      </c>
      <c r="K694" s="9">
        <f t="shared" si="62"/>
        <v>1500000</v>
      </c>
      <c r="L694" s="10">
        <f t="shared" si="63"/>
        <v>0.82968666666666668</v>
      </c>
      <c r="M694" t="str">
        <f t="shared" si="64"/>
        <v>0-100%</v>
      </c>
      <c r="N694" s="9">
        <f>MIN(H694, G694)*INDEX('2018_commission_structure'!$A$1:$I$4,
MATCH($D694, '2018_commission_structure'!$A$1:$A$4,0),
MATCH(N$1, '2018_commission_structure'!$A$1:$I$1,0))</f>
        <v>93339.75</v>
      </c>
      <c r="O694" s="11">
        <f>IF(G694&gt;H694, MIN(G694-H694, I694-H694)*
INDEX('2018_commission_structure'!$A$1:$I$4,
MATCH($D694, '2018_commission_structure'!$A$1:$A$4, 0),
MATCH(O$1, '2018_commission_structure'!$A$1:$I$1, 0)), 0)</f>
        <v>0</v>
      </c>
      <c r="P694" s="11">
        <f>IF(G694&gt;H694, MIN(G694-H694, J694-H694)*
INDEX('2018_commission_structure'!$A$1:$I$4,
MATCH($D694, '2018_commission_structure'!$A$1:$A$4, 0),
MATCH(O$1, '2018_commission_structure'!$A$1:$I$1, 0)), 0)</f>
        <v>0</v>
      </c>
      <c r="Q694" s="11">
        <f>IF(G694&gt;H694, MIN(G694-H694, I694-H694)*
INDEX('2018_commission_structure'!$A$1:$I$4,
MATCH($D694, '2018_commission_structure'!$A$1:$A$4, 0),
MATCH(P$1, '2018_commission_structure'!$A$1:$I$1, 0)), 0)</f>
        <v>0</v>
      </c>
      <c r="R694" s="11">
        <f>IF(G694&gt;K694, (G694-K694) *
INDEX('2018_commission_structure'!$A$1:$I$4,
MATCH($D694, '2018_commission_structure'!$A$1:$A$4,0),
MATCH(R$1, '2018_commission_structure'!$A$1:$I$1,0)), 0)</f>
        <v>0</v>
      </c>
      <c r="S694" s="11">
        <f t="shared" si="65"/>
        <v>0</v>
      </c>
      <c r="T694" s="11" cm="1">
        <f t="array" ref="T694">SUM(E694+O694:Q694)</f>
        <v>242649</v>
      </c>
    </row>
    <row r="695" spans="1:20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 xml:space="preserve"> COUNTIF(deals_closed!D:D,A695)</f>
        <v>24</v>
      </c>
      <c r="G695" s="5">
        <f>SUMIF(deals_closed!D:D, calculations!A695, deals_closed!C:C)</f>
        <v>862767</v>
      </c>
      <c r="H695" s="5">
        <f>VLOOKUP(D695,'2018_commission_structure'!$A$2:$I$4,9,FALSE)</f>
        <v>600000</v>
      </c>
      <c r="I695" s="9">
        <f t="shared" si="60"/>
        <v>750000</v>
      </c>
      <c r="J695" s="8">
        <f t="shared" si="61"/>
        <v>900000</v>
      </c>
      <c r="K695" s="9">
        <f t="shared" si="62"/>
        <v>1200000</v>
      </c>
      <c r="L695" s="10">
        <f t="shared" si="63"/>
        <v>1.437945</v>
      </c>
      <c r="M695" t="str">
        <f t="shared" si="64"/>
        <v>125-150%</v>
      </c>
      <c r="N695" s="9">
        <f>MIN(H695, G695)*INDEX('2018_commission_structure'!$A$1:$I$4,
MATCH($D695, '2018_commission_structure'!$A$1:$A$4,0),
MATCH(N$1, '2018_commission_structure'!$A$1:$I$1,0))</f>
        <v>78000</v>
      </c>
      <c r="O695" s="11">
        <f>IF(G695&gt;H695, MIN(G695-H695, I695-H695)*
INDEX('2018_commission_structure'!$A$1:$I$4,
MATCH($D695, '2018_commission_structure'!$A$1:$A$4, 0),
MATCH(O$1, '2018_commission_structure'!$A$1:$I$1, 0)), 0)</f>
        <v>25500.000000000004</v>
      </c>
      <c r="P695" s="11">
        <f>IF(G695&gt;H695, MIN(G695-H695, J695-H695)*
INDEX('2018_commission_structure'!$A$1:$I$4,
MATCH($D695, '2018_commission_structure'!$A$1:$A$4, 0),
MATCH(O$1, '2018_commission_structure'!$A$1:$I$1, 0)), 0)</f>
        <v>44670.390000000007</v>
      </c>
      <c r="Q695" s="11">
        <f>IF(G695&gt;H695, MIN(G695-H695, I695-H695)*
INDEX('2018_commission_structure'!$A$1:$I$4,
MATCH($D695, '2018_commission_structure'!$A$1:$A$4, 0),
MATCH(P$1, '2018_commission_structure'!$A$1:$I$1, 0)), 0)</f>
        <v>31500</v>
      </c>
      <c r="R695" s="11">
        <f>IF(G695&gt;K695, (G695-K695) *
INDEX('2018_commission_structure'!$A$1:$I$4,
MATCH($D695, '2018_commission_structure'!$A$1:$A$4,0),
MATCH(R$1, '2018_commission_structure'!$A$1:$I$1,0)), 0)</f>
        <v>0</v>
      </c>
      <c r="S695" s="11">
        <f t="shared" si="65"/>
        <v>101670.39000000001</v>
      </c>
      <c r="T695" s="11" cm="1">
        <f t="array" ref="T695">SUM(E695+O695:Q695)</f>
        <v>271857.39</v>
      </c>
    </row>
    <row r="696" spans="1:20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 xml:space="preserve"> COUNTIF(deals_closed!D:D,A696)</f>
        <v>20</v>
      </c>
      <c r="G696" s="5">
        <f>SUMIF(deals_closed!D:D, calculations!A696, deals_closed!C:C)</f>
        <v>634931</v>
      </c>
      <c r="H696" s="5">
        <f>VLOOKUP(D696,'2018_commission_structure'!$A$2:$I$4,9,FALSE)</f>
        <v>600000</v>
      </c>
      <c r="I696" s="9">
        <f t="shared" si="60"/>
        <v>750000</v>
      </c>
      <c r="J696" s="8">
        <f t="shared" si="61"/>
        <v>900000</v>
      </c>
      <c r="K696" s="9">
        <f t="shared" si="62"/>
        <v>1200000</v>
      </c>
      <c r="L696" s="10">
        <f t="shared" si="63"/>
        <v>1.0582183333333333</v>
      </c>
      <c r="M696" t="str">
        <f t="shared" si="64"/>
        <v>100-125%</v>
      </c>
      <c r="N696" s="9">
        <f>MIN(H696, G696)*INDEX('2018_commission_structure'!$A$1:$I$4,
MATCH($D696, '2018_commission_structure'!$A$1:$A$4,0),
MATCH(N$1, '2018_commission_structure'!$A$1:$I$1,0))</f>
        <v>78000</v>
      </c>
      <c r="O696" s="11">
        <f>IF(G696&gt;H696, MIN(G696-H696, I696-H696)*
INDEX('2018_commission_structure'!$A$1:$I$4,
MATCH($D696, '2018_commission_structure'!$A$1:$A$4, 0),
MATCH(O$1, '2018_commission_structure'!$A$1:$I$1, 0)), 0)</f>
        <v>5938.27</v>
      </c>
      <c r="P696" s="11">
        <f>IF(G696&gt;H696, MIN(G696-H696, J696-H696)*
INDEX('2018_commission_structure'!$A$1:$I$4,
MATCH($D696, '2018_commission_structure'!$A$1:$A$4, 0),
MATCH(O$1, '2018_commission_structure'!$A$1:$I$1, 0)), 0)</f>
        <v>5938.27</v>
      </c>
      <c r="Q696" s="11">
        <f>IF(G696&gt;H696, MIN(G696-H696, I696-H696)*
INDEX('2018_commission_structure'!$A$1:$I$4,
MATCH($D696, '2018_commission_structure'!$A$1:$A$4, 0),
MATCH(P$1, '2018_commission_structure'!$A$1:$I$1, 0)), 0)</f>
        <v>7335.5099999999993</v>
      </c>
      <c r="R696" s="11">
        <f>IF(G696&gt;K696, (G696-K696) *
INDEX('2018_commission_structure'!$A$1:$I$4,
MATCH($D696, '2018_commission_structure'!$A$1:$A$4,0),
MATCH(R$1, '2018_commission_structure'!$A$1:$I$1,0)), 0)</f>
        <v>0</v>
      </c>
      <c r="S696" s="11">
        <f t="shared" si="65"/>
        <v>19212.05</v>
      </c>
      <c r="T696" s="11" cm="1">
        <f t="array" ref="T696">SUM(E696+O696:Q696)</f>
        <v>201864.05</v>
      </c>
    </row>
    <row r="697" spans="1:20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 xml:space="preserve"> COUNTIF(deals_closed!D:D,A697)</f>
        <v>23</v>
      </c>
      <c r="G697" s="5">
        <f>SUMIF(deals_closed!D:D, calculations!A697, deals_closed!C:C)</f>
        <v>769342</v>
      </c>
      <c r="H697" s="5">
        <f>VLOOKUP(D697,'2018_commission_structure'!$A$2:$I$4,9,FALSE)</f>
        <v>750000</v>
      </c>
      <c r="I697" s="9">
        <f t="shared" si="60"/>
        <v>937500</v>
      </c>
      <c r="J697" s="8">
        <f t="shared" si="61"/>
        <v>1125000</v>
      </c>
      <c r="K697" s="9">
        <f t="shared" si="62"/>
        <v>1500000</v>
      </c>
      <c r="L697" s="10">
        <f t="shared" si="63"/>
        <v>1.0257893333333334</v>
      </c>
      <c r="M697" t="str">
        <f t="shared" si="64"/>
        <v>100-125%</v>
      </c>
      <c r="N697" s="9">
        <f>MIN(H697, G697)*INDEX('2018_commission_structure'!$A$1:$I$4,
MATCH($D697, '2018_commission_structure'!$A$1:$A$4,0),
MATCH(N$1, '2018_commission_structure'!$A$1:$I$1,0))</f>
        <v>112500</v>
      </c>
      <c r="O697" s="11">
        <f>IF(G697&gt;H697, MIN(G697-H697, I697-H697)*
INDEX('2018_commission_structure'!$A$1:$I$4,
MATCH($D697, '2018_commission_structure'!$A$1:$A$4, 0),
MATCH(O$1, '2018_commission_structure'!$A$1:$I$1, 0)), 0)</f>
        <v>3674.98</v>
      </c>
      <c r="P697" s="11">
        <f>IF(G697&gt;H697, MIN(G697-H697, J697-H697)*
INDEX('2018_commission_structure'!$A$1:$I$4,
MATCH($D697, '2018_commission_structure'!$A$1:$A$4, 0),
MATCH(O$1, '2018_commission_structure'!$A$1:$I$1, 0)), 0)</f>
        <v>3674.98</v>
      </c>
      <c r="Q697" s="11">
        <f>IF(G697&gt;H697, MIN(G697-H697, I697-H697)*
INDEX('2018_commission_structure'!$A$1:$I$4,
MATCH($D697, '2018_commission_structure'!$A$1:$A$4, 0),
MATCH(P$1, '2018_commission_structure'!$A$1:$I$1, 0)), 0)</f>
        <v>4448.66</v>
      </c>
      <c r="R697" s="11">
        <f>IF(G697&gt;K697, (G697-K697) *
INDEX('2018_commission_structure'!$A$1:$I$4,
MATCH($D697, '2018_commission_structure'!$A$1:$A$4,0),
MATCH(R$1, '2018_commission_structure'!$A$1:$I$1,0)), 0)</f>
        <v>0</v>
      </c>
      <c r="S697" s="11">
        <f t="shared" si="65"/>
        <v>11798.619999999999</v>
      </c>
      <c r="T697" s="11" cm="1">
        <f t="array" ref="T697">SUM(E697+O697:Q697)</f>
        <v>295433.62</v>
      </c>
    </row>
    <row r="698" spans="1:20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 xml:space="preserve"> COUNTIF(deals_closed!D:D,A698)</f>
        <v>17</v>
      </c>
      <c r="G698" s="5">
        <f>SUMIF(deals_closed!D:D, calculations!A698, deals_closed!C:C)</f>
        <v>623150</v>
      </c>
      <c r="H698" s="5">
        <f>VLOOKUP(D698,'2018_commission_structure'!$A$2:$I$4,9,FALSE)</f>
        <v>600000</v>
      </c>
      <c r="I698" s="9">
        <f t="shared" si="60"/>
        <v>750000</v>
      </c>
      <c r="J698" s="8">
        <f t="shared" si="61"/>
        <v>900000</v>
      </c>
      <c r="K698" s="9">
        <f t="shared" si="62"/>
        <v>1200000</v>
      </c>
      <c r="L698" s="10">
        <f t="shared" si="63"/>
        <v>1.0385833333333334</v>
      </c>
      <c r="M698" t="str">
        <f t="shared" si="64"/>
        <v>100-125%</v>
      </c>
      <c r="N698" s="9">
        <f>MIN(H698, G698)*INDEX('2018_commission_structure'!$A$1:$I$4,
MATCH($D698, '2018_commission_structure'!$A$1:$A$4,0),
MATCH(N$1, '2018_commission_structure'!$A$1:$I$1,0))</f>
        <v>78000</v>
      </c>
      <c r="O698" s="11">
        <f>IF(G698&gt;H698, MIN(G698-H698, I698-H698)*
INDEX('2018_commission_structure'!$A$1:$I$4,
MATCH($D698, '2018_commission_structure'!$A$1:$A$4, 0),
MATCH(O$1, '2018_commission_structure'!$A$1:$I$1, 0)), 0)</f>
        <v>3935.5000000000005</v>
      </c>
      <c r="P698" s="11">
        <f>IF(G698&gt;H698, MIN(G698-H698, J698-H698)*
INDEX('2018_commission_structure'!$A$1:$I$4,
MATCH($D698, '2018_commission_structure'!$A$1:$A$4, 0),
MATCH(O$1, '2018_commission_structure'!$A$1:$I$1, 0)), 0)</f>
        <v>3935.5000000000005</v>
      </c>
      <c r="Q698" s="11">
        <f>IF(G698&gt;H698, MIN(G698-H698, I698-H698)*
INDEX('2018_commission_structure'!$A$1:$I$4,
MATCH($D698, '2018_commission_structure'!$A$1:$A$4, 0),
MATCH(P$1, '2018_commission_structure'!$A$1:$I$1, 0)), 0)</f>
        <v>4861.5</v>
      </c>
      <c r="R698" s="11">
        <f>IF(G698&gt;K698, (G698-K698) *
INDEX('2018_commission_structure'!$A$1:$I$4,
MATCH($D698, '2018_commission_structure'!$A$1:$A$4,0),
MATCH(R$1, '2018_commission_structure'!$A$1:$I$1,0)), 0)</f>
        <v>0</v>
      </c>
      <c r="S698" s="11">
        <f t="shared" si="65"/>
        <v>12732.5</v>
      </c>
      <c r="T698" s="11" cm="1">
        <f t="array" ref="T698">SUM(E698+O698:Q698)</f>
        <v>176178.5</v>
      </c>
    </row>
    <row r="699" spans="1:20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 xml:space="preserve"> COUNTIF(deals_closed!D:D,A699)</f>
        <v>27</v>
      </c>
      <c r="G699" s="5">
        <f>SUMIF(deals_closed!D:D, calculations!A699, deals_closed!C:C)</f>
        <v>885458</v>
      </c>
      <c r="H699" s="5">
        <f>VLOOKUP(D699,'2018_commission_structure'!$A$2:$I$4,9,FALSE)</f>
        <v>600000</v>
      </c>
      <c r="I699" s="9">
        <f t="shared" si="60"/>
        <v>750000</v>
      </c>
      <c r="J699" s="8">
        <f t="shared" si="61"/>
        <v>900000</v>
      </c>
      <c r="K699" s="9">
        <f t="shared" si="62"/>
        <v>1200000</v>
      </c>
      <c r="L699" s="10">
        <f t="shared" si="63"/>
        <v>1.4757633333333333</v>
      </c>
      <c r="M699" t="str">
        <f t="shared" si="64"/>
        <v>125-150%</v>
      </c>
      <c r="N699" s="9">
        <f>MIN(H699, G699)*INDEX('2018_commission_structure'!$A$1:$I$4,
MATCH($D699, '2018_commission_structure'!$A$1:$A$4,0),
MATCH(N$1, '2018_commission_structure'!$A$1:$I$1,0))</f>
        <v>78000</v>
      </c>
      <c r="O699" s="11">
        <f>IF(G699&gt;H699, MIN(G699-H699, I699-H699)*
INDEX('2018_commission_structure'!$A$1:$I$4,
MATCH($D699, '2018_commission_structure'!$A$1:$A$4, 0),
MATCH(O$1, '2018_commission_structure'!$A$1:$I$1, 0)), 0)</f>
        <v>25500.000000000004</v>
      </c>
      <c r="P699" s="11">
        <f>IF(G699&gt;H699, MIN(G699-H699, J699-H699)*
INDEX('2018_commission_structure'!$A$1:$I$4,
MATCH($D699, '2018_commission_structure'!$A$1:$A$4, 0),
MATCH(O$1, '2018_commission_structure'!$A$1:$I$1, 0)), 0)</f>
        <v>48527.86</v>
      </c>
      <c r="Q699" s="11">
        <f>IF(G699&gt;H699, MIN(G699-H699, I699-H699)*
INDEX('2018_commission_structure'!$A$1:$I$4,
MATCH($D699, '2018_commission_structure'!$A$1:$A$4, 0),
MATCH(P$1, '2018_commission_structure'!$A$1:$I$1, 0)), 0)</f>
        <v>31500</v>
      </c>
      <c r="R699" s="11">
        <f>IF(G699&gt;K699, (G699-K699) *
INDEX('2018_commission_structure'!$A$1:$I$4,
MATCH($D699, '2018_commission_structure'!$A$1:$A$4,0),
MATCH(R$1, '2018_commission_structure'!$A$1:$I$1,0)), 0)</f>
        <v>0</v>
      </c>
      <c r="S699" s="11">
        <f t="shared" si="65"/>
        <v>105527.86</v>
      </c>
      <c r="T699" s="11" cm="1">
        <f t="array" ref="T699">SUM(E699+O699:Q699)</f>
        <v>341933.86</v>
      </c>
    </row>
    <row r="700" spans="1:20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 xml:space="preserve"> COUNTIF(deals_closed!D:D,A700)</f>
        <v>20</v>
      </c>
      <c r="G700" s="5">
        <f>SUMIF(deals_closed!D:D, calculations!A700, deals_closed!C:C)</f>
        <v>742207</v>
      </c>
      <c r="H700" s="5">
        <f>VLOOKUP(D700,'2018_commission_structure'!$A$2:$I$4,9,FALSE)</f>
        <v>500000</v>
      </c>
      <c r="I700" s="9">
        <f t="shared" si="60"/>
        <v>625000</v>
      </c>
      <c r="J700" s="8">
        <f t="shared" si="61"/>
        <v>750000</v>
      </c>
      <c r="K700" s="9">
        <f t="shared" si="62"/>
        <v>1000000</v>
      </c>
      <c r="L700" s="10">
        <f t="shared" si="63"/>
        <v>1.4844139999999999</v>
      </c>
      <c r="M700" t="str">
        <f t="shared" si="64"/>
        <v>125-150%</v>
      </c>
      <c r="N700" s="9">
        <f>MIN(H700, G700)*INDEX('2018_commission_structure'!$A$1:$I$4,
MATCH($D700, '2018_commission_structure'!$A$1:$A$4,0),
MATCH(N$1, '2018_commission_structure'!$A$1:$I$1,0))</f>
        <v>50000</v>
      </c>
      <c r="O700" s="11">
        <f>IF(G700&gt;H700, MIN(G700-H700, I700-H700)*
INDEX('2018_commission_structure'!$A$1:$I$4,
MATCH($D700, '2018_commission_structure'!$A$1:$A$4, 0),
MATCH(O$1, '2018_commission_structure'!$A$1:$I$1, 0)), 0)</f>
        <v>18750</v>
      </c>
      <c r="P700" s="11">
        <f>IF(G700&gt;H700, MIN(G700-H700, J700-H700)*
INDEX('2018_commission_structure'!$A$1:$I$4,
MATCH($D700, '2018_commission_structure'!$A$1:$A$4, 0),
MATCH(O$1, '2018_commission_structure'!$A$1:$I$1, 0)), 0)</f>
        <v>36331.049999999996</v>
      </c>
      <c r="Q700" s="11">
        <f>IF(G700&gt;H700, MIN(G700-H700, I700-H700)*
INDEX('2018_commission_structure'!$A$1:$I$4,
MATCH($D700, '2018_commission_structure'!$A$1:$A$4, 0),
MATCH(P$1, '2018_commission_structure'!$A$1:$I$1, 0)), 0)</f>
        <v>22500</v>
      </c>
      <c r="R700" s="11">
        <f>IF(G700&gt;K700, (G700-K700) *
INDEX('2018_commission_structure'!$A$1:$I$4,
MATCH($D700, '2018_commission_structure'!$A$1:$A$4,0),
MATCH(R$1, '2018_commission_structure'!$A$1:$I$1,0)), 0)</f>
        <v>0</v>
      </c>
      <c r="S700" s="11">
        <f t="shared" si="65"/>
        <v>77581.049999999988</v>
      </c>
      <c r="T700" s="11" cm="1">
        <f t="array" ref="T700">SUM(E700+O700:Q700)</f>
        <v>266788.05</v>
      </c>
    </row>
    <row r="701" spans="1:20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 xml:space="preserve"> COUNTIF(deals_closed!D:D,A701)</f>
        <v>21</v>
      </c>
      <c r="G701" s="5">
        <f>SUMIF(deals_closed!D:D, calculations!A701, deals_closed!C:C)</f>
        <v>830970</v>
      </c>
      <c r="H701" s="5">
        <f>VLOOKUP(D701,'2018_commission_structure'!$A$2:$I$4,9,FALSE)</f>
        <v>600000</v>
      </c>
      <c r="I701" s="9">
        <f t="shared" si="60"/>
        <v>750000</v>
      </c>
      <c r="J701" s="8">
        <f t="shared" si="61"/>
        <v>900000</v>
      </c>
      <c r="K701" s="9">
        <f t="shared" si="62"/>
        <v>1200000</v>
      </c>
      <c r="L701" s="10">
        <f t="shared" si="63"/>
        <v>1.3849499999999999</v>
      </c>
      <c r="M701" t="str">
        <f t="shared" si="64"/>
        <v>125-150%</v>
      </c>
      <c r="N701" s="9">
        <f>MIN(H701, G701)*INDEX('2018_commission_structure'!$A$1:$I$4,
MATCH($D701, '2018_commission_structure'!$A$1:$A$4,0),
MATCH(N$1, '2018_commission_structure'!$A$1:$I$1,0))</f>
        <v>78000</v>
      </c>
      <c r="O701" s="11">
        <f>IF(G701&gt;H701, MIN(G701-H701, I701-H701)*
INDEX('2018_commission_structure'!$A$1:$I$4,
MATCH($D701, '2018_commission_structure'!$A$1:$A$4, 0),
MATCH(O$1, '2018_commission_structure'!$A$1:$I$1, 0)), 0)</f>
        <v>25500.000000000004</v>
      </c>
      <c r="P701" s="11">
        <f>IF(G701&gt;H701, MIN(G701-H701, J701-H701)*
INDEX('2018_commission_structure'!$A$1:$I$4,
MATCH($D701, '2018_commission_structure'!$A$1:$A$4, 0),
MATCH(O$1, '2018_commission_structure'!$A$1:$I$1, 0)), 0)</f>
        <v>39264.9</v>
      </c>
      <c r="Q701" s="11">
        <f>IF(G701&gt;H701, MIN(G701-H701, I701-H701)*
INDEX('2018_commission_structure'!$A$1:$I$4,
MATCH($D701, '2018_commission_structure'!$A$1:$A$4, 0),
MATCH(P$1, '2018_commission_structure'!$A$1:$I$1, 0)), 0)</f>
        <v>31500</v>
      </c>
      <c r="R701" s="11">
        <f>IF(G701&gt;K701, (G701-K701) *
INDEX('2018_commission_structure'!$A$1:$I$4,
MATCH($D701, '2018_commission_structure'!$A$1:$A$4,0),
MATCH(R$1, '2018_commission_structure'!$A$1:$I$1,0)), 0)</f>
        <v>0</v>
      </c>
      <c r="S701" s="11">
        <f t="shared" si="65"/>
        <v>96264.900000000009</v>
      </c>
      <c r="T701" s="11" cm="1">
        <f t="array" ref="T701">SUM(E701+O701:Q701)</f>
        <v>316821.90000000002</v>
      </c>
    </row>
    <row r="702" spans="1:20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 xml:space="preserve"> COUNTIF(deals_closed!D:D,A702)</f>
        <v>28</v>
      </c>
      <c r="G702" s="5">
        <f>SUMIF(deals_closed!D:D, calculations!A702, deals_closed!C:C)</f>
        <v>1057474</v>
      </c>
      <c r="H702" s="5">
        <f>VLOOKUP(D702,'2018_commission_structure'!$A$2:$I$4,9,FALSE)</f>
        <v>600000</v>
      </c>
      <c r="I702" s="9">
        <f t="shared" si="60"/>
        <v>750000</v>
      </c>
      <c r="J702" s="8">
        <f t="shared" si="61"/>
        <v>900000</v>
      </c>
      <c r="K702" s="9">
        <f t="shared" si="62"/>
        <v>1200000</v>
      </c>
      <c r="L702" s="10">
        <f t="shared" si="63"/>
        <v>1.7624566666666666</v>
      </c>
      <c r="M702" t="str">
        <f t="shared" si="64"/>
        <v>150-200%</v>
      </c>
      <c r="N702" s="9">
        <f>MIN(H702, G702)*INDEX('2018_commission_structure'!$A$1:$I$4,
MATCH($D702, '2018_commission_structure'!$A$1:$A$4,0),
MATCH(N$1, '2018_commission_structure'!$A$1:$I$1,0))</f>
        <v>78000</v>
      </c>
      <c r="O702" s="11">
        <f>IF(G702&gt;H702, MIN(G702-H702, I702-H702)*
INDEX('2018_commission_structure'!$A$1:$I$4,
MATCH($D702, '2018_commission_structure'!$A$1:$A$4, 0),
MATCH(O$1, '2018_commission_structure'!$A$1:$I$1, 0)), 0)</f>
        <v>25500.000000000004</v>
      </c>
      <c r="P702" s="11">
        <f>IF(G702&gt;H702, MIN(G702-H702, J702-H702)*
INDEX('2018_commission_structure'!$A$1:$I$4,
MATCH($D702, '2018_commission_structure'!$A$1:$A$4, 0),
MATCH(O$1, '2018_commission_structure'!$A$1:$I$1, 0)), 0)</f>
        <v>51000.000000000007</v>
      </c>
      <c r="Q702" s="11">
        <f>IF(G702&gt;H702, MIN(G702-H702, I702-H702)*
INDEX('2018_commission_structure'!$A$1:$I$4,
MATCH($D702, '2018_commission_structure'!$A$1:$A$4, 0),
MATCH(P$1, '2018_commission_structure'!$A$1:$I$1, 0)), 0)</f>
        <v>31500</v>
      </c>
      <c r="R702" s="11">
        <f>IF(G702&gt;K702, (G702-K702) *
INDEX('2018_commission_structure'!$A$1:$I$4,
MATCH($D702, '2018_commission_structure'!$A$1:$A$4,0),
MATCH(R$1, '2018_commission_structure'!$A$1:$I$1,0)), 0)</f>
        <v>0</v>
      </c>
      <c r="S702" s="11">
        <f t="shared" si="65"/>
        <v>108000.00000000001</v>
      </c>
      <c r="T702" s="11" cm="1">
        <f t="array" ref="T702">SUM(E702+O702:Q702)</f>
        <v>271806</v>
      </c>
    </row>
    <row r="703" spans="1:20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 xml:space="preserve"> COUNTIF(deals_closed!D:D,A703)</f>
        <v>32</v>
      </c>
      <c r="G703" s="5">
        <f>SUMIF(deals_closed!D:D, calculations!A703, deals_closed!C:C)</f>
        <v>1010499</v>
      </c>
      <c r="H703" s="5">
        <f>VLOOKUP(D703,'2018_commission_structure'!$A$2:$I$4,9,FALSE)</f>
        <v>600000</v>
      </c>
      <c r="I703" s="9">
        <f t="shared" si="60"/>
        <v>750000</v>
      </c>
      <c r="J703" s="8">
        <f t="shared" si="61"/>
        <v>900000</v>
      </c>
      <c r="K703" s="9">
        <f t="shared" si="62"/>
        <v>1200000</v>
      </c>
      <c r="L703" s="10">
        <f t="shared" si="63"/>
        <v>1.6841649999999999</v>
      </c>
      <c r="M703" t="str">
        <f t="shared" si="64"/>
        <v>150-200%</v>
      </c>
      <c r="N703" s="9">
        <f>MIN(H703, G703)*INDEX('2018_commission_structure'!$A$1:$I$4,
MATCH($D703, '2018_commission_structure'!$A$1:$A$4,0),
MATCH(N$1, '2018_commission_structure'!$A$1:$I$1,0))</f>
        <v>78000</v>
      </c>
      <c r="O703" s="11">
        <f>IF(G703&gt;H703, MIN(G703-H703, I703-H703)*
INDEX('2018_commission_structure'!$A$1:$I$4,
MATCH($D703, '2018_commission_structure'!$A$1:$A$4, 0),
MATCH(O$1, '2018_commission_structure'!$A$1:$I$1, 0)), 0)</f>
        <v>25500.000000000004</v>
      </c>
      <c r="P703" s="11">
        <f>IF(G703&gt;H703, MIN(G703-H703, J703-H703)*
INDEX('2018_commission_structure'!$A$1:$I$4,
MATCH($D703, '2018_commission_structure'!$A$1:$A$4, 0),
MATCH(O$1, '2018_commission_structure'!$A$1:$I$1, 0)), 0)</f>
        <v>51000.000000000007</v>
      </c>
      <c r="Q703" s="11">
        <f>IF(G703&gt;H703, MIN(G703-H703, I703-H703)*
INDEX('2018_commission_structure'!$A$1:$I$4,
MATCH($D703, '2018_commission_structure'!$A$1:$A$4, 0),
MATCH(P$1, '2018_commission_structure'!$A$1:$I$1, 0)), 0)</f>
        <v>31500</v>
      </c>
      <c r="R703" s="11">
        <f>IF(G703&gt;K703, (G703-K703) *
INDEX('2018_commission_structure'!$A$1:$I$4,
MATCH($D703, '2018_commission_structure'!$A$1:$A$4,0),
MATCH(R$1, '2018_commission_structure'!$A$1:$I$1,0)), 0)</f>
        <v>0</v>
      </c>
      <c r="S703" s="11">
        <f t="shared" si="65"/>
        <v>108000.00000000001</v>
      </c>
      <c r="T703" s="11" cm="1">
        <f t="array" ref="T703">SUM(E703+O703:Q703)</f>
        <v>318033</v>
      </c>
    </row>
    <row r="704" spans="1:20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 xml:space="preserve"> COUNTIF(deals_closed!D:D,A704)</f>
        <v>21</v>
      </c>
      <c r="G704" s="5">
        <f>SUMIF(deals_closed!D:D, calculations!A704, deals_closed!C:C)</f>
        <v>645183</v>
      </c>
      <c r="H704" s="5">
        <f>VLOOKUP(D704,'2018_commission_structure'!$A$2:$I$4,9,FALSE)</f>
        <v>500000</v>
      </c>
      <c r="I704" s="9">
        <f t="shared" si="60"/>
        <v>625000</v>
      </c>
      <c r="J704" s="8">
        <f t="shared" si="61"/>
        <v>750000</v>
      </c>
      <c r="K704" s="9">
        <f t="shared" si="62"/>
        <v>1000000</v>
      </c>
      <c r="L704" s="10">
        <f t="shared" si="63"/>
        <v>1.2903659999999999</v>
      </c>
      <c r="M704" t="str">
        <f t="shared" si="64"/>
        <v>125-150%</v>
      </c>
      <c r="N704" s="9">
        <f>MIN(H704, G704)*INDEX('2018_commission_structure'!$A$1:$I$4,
MATCH($D704, '2018_commission_structure'!$A$1:$A$4,0),
MATCH(N$1, '2018_commission_structure'!$A$1:$I$1,0))</f>
        <v>50000</v>
      </c>
      <c r="O704" s="11">
        <f>IF(G704&gt;H704, MIN(G704-H704, I704-H704)*
INDEX('2018_commission_structure'!$A$1:$I$4,
MATCH($D704, '2018_commission_structure'!$A$1:$A$4, 0),
MATCH(O$1, '2018_commission_structure'!$A$1:$I$1, 0)), 0)</f>
        <v>18750</v>
      </c>
      <c r="P704" s="11">
        <f>IF(G704&gt;H704, MIN(G704-H704, J704-H704)*
INDEX('2018_commission_structure'!$A$1:$I$4,
MATCH($D704, '2018_commission_structure'!$A$1:$A$4, 0),
MATCH(O$1, '2018_commission_structure'!$A$1:$I$1, 0)), 0)</f>
        <v>21777.45</v>
      </c>
      <c r="Q704" s="11">
        <f>IF(G704&gt;H704, MIN(G704-H704, I704-H704)*
INDEX('2018_commission_structure'!$A$1:$I$4,
MATCH($D704, '2018_commission_structure'!$A$1:$A$4, 0),
MATCH(P$1, '2018_commission_structure'!$A$1:$I$1, 0)), 0)</f>
        <v>22500</v>
      </c>
      <c r="R704" s="11">
        <f>IF(G704&gt;K704, (G704-K704) *
INDEX('2018_commission_structure'!$A$1:$I$4,
MATCH($D704, '2018_commission_structure'!$A$1:$A$4,0),
MATCH(R$1, '2018_commission_structure'!$A$1:$I$1,0)), 0)</f>
        <v>0</v>
      </c>
      <c r="S704" s="11">
        <f t="shared" si="65"/>
        <v>63027.45</v>
      </c>
      <c r="T704" s="11" cm="1">
        <f t="array" ref="T704">SUM(E704+O704:Q704)</f>
        <v>188697.45</v>
      </c>
    </row>
    <row r="705" spans="1:20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 xml:space="preserve"> COUNTIF(deals_closed!D:D,A705)</f>
        <v>15</v>
      </c>
      <c r="G705" s="5">
        <f>SUMIF(deals_closed!D:D, calculations!A705, deals_closed!C:C)</f>
        <v>482137</v>
      </c>
      <c r="H705" s="5">
        <f>VLOOKUP(D705,'2018_commission_structure'!$A$2:$I$4,9,FALSE)</f>
        <v>500000</v>
      </c>
      <c r="I705" s="9">
        <f t="shared" si="60"/>
        <v>625000</v>
      </c>
      <c r="J705" s="8">
        <f t="shared" si="61"/>
        <v>750000</v>
      </c>
      <c r="K705" s="9">
        <f t="shared" si="62"/>
        <v>1000000</v>
      </c>
      <c r="L705" s="10">
        <f t="shared" si="63"/>
        <v>0.96427399999999996</v>
      </c>
      <c r="M705" t="str">
        <f t="shared" si="64"/>
        <v>0-100%</v>
      </c>
      <c r="N705" s="9">
        <f>MIN(H705, G705)*INDEX('2018_commission_structure'!$A$1:$I$4,
MATCH($D705, '2018_commission_structure'!$A$1:$A$4,0),
MATCH(N$1, '2018_commission_structure'!$A$1:$I$1,0))</f>
        <v>48213.700000000004</v>
      </c>
      <c r="O705" s="11">
        <f>IF(G705&gt;H705, MIN(G705-H705, I705-H705)*
INDEX('2018_commission_structure'!$A$1:$I$4,
MATCH($D705, '2018_commission_structure'!$A$1:$A$4, 0),
MATCH(O$1, '2018_commission_structure'!$A$1:$I$1, 0)), 0)</f>
        <v>0</v>
      </c>
      <c r="P705" s="11">
        <f>IF(G705&gt;H705, MIN(G705-H705, J705-H705)*
INDEX('2018_commission_structure'!$A$1:$I$4,
MATCH($D705, '2018_commission_structure'!$A$1:$A$4, 0),
MATCH(O$1, '2018_commission_structure'!$A$1:$I$1, 0)), 0)</f>
        <v>0</v>
      </c>
      <c r="Q705" s="11">
        <f>IF(G705&gt;H705, MIN(G705-H705, I705-H705)*
INDEX('2018_commission_structure'!$A$1:$I$4,
MATCH($D705, '2018_commission_structure'!$A$1:$A$4, 0),
MATCH(P$1, '2018_commission_structure'!$A$1:$I$1, 0)), 0)</f>
        <v>0</v>
      </c>
      <c r="R705" s="11">
        <f>IF(G705&gt;K705, (G705-K705) *
INDEX('2018_commission_structure'!$A$1:$I$4,
MATCH($D705, '2018_commission_structure'!$A$1:$A$4,0),
MATCH(R$1, '2018_commission_structure'!$A$1:$I$1,0)), 0)</f>
        <v>0</v>
      </c>
      <c r="S705" s="11">
        <f t="shared" si="65"/>
        <v>0</v>
      </c>
      <c r="T705" s="11" cm="1">
        <f t="array" ref="T705">SUM(E705+O705:Q705)</f>
        <v>140745</v>
      </c>
    </row>
    <row r="706" spans="1:20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 xml:space="preserve"> COUNTIF(deals_closed!D:D,A706)</f>
        <v>20</v>
      </c>
      <c r="G706" s="5">
        <f>SUMIF(deals_closed!D:D, calculations!A706, deals_closed!C:C)</f>
        <v>668595</v>
      </c>
      <c r="H706" s="5">
        <f>VLOOKUP(D706,'2018_commission_structure'!$A$2:$I$4,9,FALSE)</f>
        <v>500000</v>
      </c>
      <c r="I706" s="9">
        <f t="shared" si="60"/>
        <v>625000</v>
      </c>
      <c r="J706" s="8">
        <f t="shared" si="61"/>
        <v>750000</v>
      </c>
      <c r="K706" s="9">
        <f t="shared" si="62"/>
        <v>1000000</v>
      </c>
      <c r="L706" s="10">
        <f t="shared" si="63"/>
        <v>1.3371900000000001</v>
      </c>
      <c r="M706" t="str">
        <f t="shared" si="64"/>
        <v>125-150%</v>
      </c>
      <c r="N706" s="9">
        <f>MIN(H706, G706)*INDEX('2018_commission_structure'!$A$1:$I$4,
MATCH($D706, '2018_commission_structure'!$A$1:$A$4,0),
MATCH(N$1, '2018_commission_structure'!$A$1:$I$1,0))</f>
        <v>50000</v>
      </c>
      <c r="O706" s="11">
        <f>IF(G706&gt;H706, MIN(G706-H706, I706-H706)*
INDEX('2018_commission_structure'!$A$1:$I$4,
MATCH($D706, '2018_commission_structure'!$A$1:$A$4, 0),
MATCH(O$1, '2018_commission_structure'!$A$1:$I$1, 0)), 0)</f>
        <v>18750</v>
      </c>
      <c r="P706" s="11">
        <f>IF(G706&gt;H706, MIN(G706-H706, J706-H706)*
INDEX('2018_commission_structure'!$A$1:$I$4,
MATCH($D706, '2018_commission_structure'!$A$1:$A$4, 0),
MATCH(O$1, '2018_commission_structure'!$A$1:$I$1, 0)), 0)</f>
        <v>25289.25</v>
      </c>
      <c r="Q706" s="11">
        <f>IF(G706&gt;H706, MIN(G706-H706, I706-H706)*
INDEX('2018_commission_structure'!$A$1:$I$4,
MATCH($D706, '2018_commission_structure'!$A$1:$A$4, 0),
MATCH(P$1, '2018_commission_structure'!$A$1:$I$1, 0)), 0)</f>
        <v>22500</v>
      </c>
      <c r="R706" s="11">
        <f>IF(G706&gt;K706, (G706-K706) *
INDEX('2018_commission_structure'!$A$1:$I$4,
MATCH($D706, '2018_commission_structure'!$A$1:$A$4,0),
MATCH(R$1, '2018_commission_structure'!$A$1:$I$1,0)), 0)</f>
        <v>0</v>
      </c>
      <c r="S706" s="11">
        <f t="shared" si="65"/>
        <v>66539.25</v>
      </c>
      <c r="T706" s="11" cm="1">
        <f t="array" ref="T706">SUM(E706+O706:Q706)</f>
        <v>178808.25</v>
      </c>
    </row>
    <row r="707" spans="1:20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 xml:space="preserve"> COUNTIF(deals_closed!D:D,A707)</f>
        <v>18</v>
      </c>
      <c r="G707" s="5">
        <f>SUMIF(deals_closed!D:D, calculations!A707, deals_closed!C:C)</f>
        <v>741656</v>
      </c>
      <c r="H707" s="5">
        <f>VLOOKUP(D707,'2018_commission_structure'!$A$2:$I$4,9,FALSE)</f>
        <v>500000</v>
      </c>
      <c r="I707" s="9">
        <f t="shared" ref="I707:I770" si="66">H707*1.25</f>
        <v>625000</v>
      </c>
      <c r="J707" s="8">
        <f t="shared" ref="J707:J770" si="67">H707*1.5</f>
        <v>750000</v>
      </c>
      <c r="K707" s="9">
        <f t="shared" ref="K707:K770" si="68">H707*2</f>
        <v>1000000</v>
      </c>
      <c r="L707" s="10">
        <f t="shared" ref="L707:L770" si="69">G707/H707</f>
        <v>1.483312</v>
      </c>
      <c r="M707" t="str">
        <f t="shared" ref="M707:M770" si="70">IF(L707&lt;=1, "0-100%",
IF(L707&lt;=1.25, "100-125%",
IF(L707&lt;=1.5, "125-150%",
IF(L707&lt;2, "150-200%", "&gt;200%"))))</f>
        <v>125-150%</v>
      </c>
      <c r="N707" s="9">
        <f>MIN(H707, G707)*INDEX('2018_commission_structure'!$A$1:$I$4,
MATCH($D707, '2018_commission_structure'!$A$1:$A$4,0),
MATCH(N$1, '2018_commission_structure'!$A$1:$I$1,0))</f>
        <v>50000</v>
      </c>
      <c r="O707" s="11">
        <f>IF(G707&gt;H707, MIN(G707-H707, I707-H707)*
INDEX('2018_commission_structure'!$A$1:$I$4,
MATCH($D707, '2018_commission_structure'!$A$1:$A$4, 0),
MATCH(O$1, '2018_commission_structure'!$A$1:$I$1, 0)), 0)</f>
        <v>18750</v>
      </c>
      <c r="P707" s="11">
        <f>IF(G707&gt;H707, MIN(G707-H707, J707-H707)*
INDEX('2018_commission_structure'!$A$1:$I$4,
MATCH($D707, '2018_commission_structure'!$A$1:$A$4, 0),
MATCH(O$1, '2018_commission_structure'!$A$1:$I$1, 0)), 0)</f>
        <v>36248.400000000001</v>
      </c>
      <c r="Q707" s="11">
        <f>IF(G707&gt;H707, MIN(G707-H707, I707-H707)*
INDEX('2018_commission_structure'!$A$1:$I$4,
MATCH($D707, '2018_commission_structure'!$A$1:$A$4, 0),
MATCH(P$1, '2018_commission_structure'!$A$1:$I$1, 0)), 0)</f>
        <v>22500</v>
      </c>
      <c r="R707" s="11">
        <f>IF(G707&gt;K707, (G707-K707) *
INDEX('2018_commission_structure'!$A$1:$I$4,
MATCH($D707, '2018_commission_structure'!$A$1:$A$4,0),
MATCH(R$1, '2018_commission_structure'!$A$1:$I$1,0)), 0)</f>
        <v>0</v>
      </c>
      <c r="S707" s="11">
        <f t="shared" ref="S707:S770" si="71">SUM(O707:Q707)</f>
        <v>77498.399999999994</v>
      </c>
      <c r="T707" s="11" cm="1">
        <f t="array" ref="T707">SUM(E707+O707:Q707)</f>
        <v>184907.4</v>
      </c>
    </row>
    <row r="708" spans="1:20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 xml:space="preserve"> COUNTIF(deals_closed!D:D,A708)</f>
        <v>16</v>
      </c>
      <c r="G708" s="5">
        <f>SUMIF(deals_closed!D:D, calculations!A708, deals_closed!C:C)</f>
        <v>627760</v>
      </c>
      <c r="H708" s="5">
        <f>VLOOKUP(D708,'2018_commission_structure'!$A$2:$I$4,9,FALSE)</f>
        <v>500000</v>
      </c>
      <c r="I708" s="9">
        <f t="shared" si="66"/>
        <v>625000</v>
      </c>
      <c r="J708" s="8">
        <f t="shared" si="67"/>
        <v>750000</v>
      </c>
      <c r="K708" s="9">
        <f t="shared" si="68"/>
        <v>1000000</v>
      </c>
      <c r="L708" s="10">
        <f t="shared" si="69"/>
        <v>1.25552</v>
      </c>
      <c r="M708" t="str">
        <f t="shared" si="70"/>
        <v>125-150%</v>
      </c>
      <c r="N708" s="9">
        <f>MIN(H708, G708)*INDEX('2018_commission_structure'!$A$1:$I$4,
MATCH($D708, '2018_commission_structure'!$A$1:$A$4,0),
MATCH(N$1, '2018_commission_structure'!$A$1:$I$1,0))</f>
        <v>50000</v>
      </c>
      <c r="O708" s="11">
        <f>IF(G708&gt;H708, MIN(G708-H708, I708-H708)*
INDEX('2018_commission_structure'!$A$1:$I$4,
MATCH($D708, '2018_commission_structure'!$A$1:$A$4, 0),
MATCH(O$1, '2018_commission_structure'!$A$1:$I$1, 0)), 0)</f>
        <v>18750</v>
      </c>
      <c r="P708" s="11">
        <f>IF(G708&gt;H708, MIN(G708-H708, J708-H708)*
INDEX('2018_commission_structure'!$A$1:$I$4,
MATCH($D708, '2018_commission_structure'!$A$1:$A$4, 0),
MATCH(O$1, '2018_commission_structure'!$A$1:$I$1, 0)), 0)</f>
        <v>19164</v>
      </c>
      <c r="Q708" s="11">
        <f>IF(G708&gt;H708, MIN(G708-H708, I708-H708)*
INDEX('2018_commission_structure'!$A$1:$I$4,
MATCH($D708, '2018_commission_structure'!$A$1:$A$4, 0),
MATCH(P$1, '2018_commission_structure'!$A$1:$I$1, 0)), 0)</f>
        <v>22500</v>
      </c>
      <c r="R708" s="11">
        <f>IF(G708&gt;K708, (G708-K708) *
INDEX('2018_commission_structure'!$A$1:$I$4,
MATCH($D708, '2018_commission_structure'!$A$1:$A$4,0),
MATCH(R$1, '2018_commission_structure'!$A$1:$I$1,0)), 0)</f>
        <v>0</v>
      </c>
      <c r="S708" s="11">
        <f t="shared" si="71"/>
        <v>60414</v>
      </c>
      <c r="T708" s="11" cm="1">
        <f t="array" ref="T708">SUM(E708+O708:Q708)</f>
        <v>237285</v>
      </c>
    </row>
    <row r="709" spans="1:20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 xml:space="preserve"> COUNTIF(deals_closed!D:D,A709)</f>
        <v>15</v>
      </c>
      <c r="G709" s="5">
        <f>SUMIF(deals_closed!D:D, calculations!A709, deals_closed!C:C)</f>
        <v>458353</v>
      </c>
      <c r="H709" s="5">
        <f>VLOOKUP(D709,'2018_commission_structure'!$A$2:$I$4,9,FALSE)</f>
        <v>600000</v>
      </c>
      <c r="I709" s="9">
        <f t="shared" si="66"/>
        <v>750000</v>
      </c>
      <c r="J709" s="8">
        <f t="shared" si="67"/>
        <v>900000</v>
      </c>
      <c r="K709" s="9">
        <f t="shared" si="68"/>
        <v>1200000</v>
      </c>
      <c r="L709" s="10">
        <f t="shared" si="69"/>
        <v>0.76392166666666672</v>
      </c>
      <c r="M709" t="str">
        <f t="shared" si="70"/>
        <v>0-100%</v>
      </c>
      <c r="N709" s="9">
        <f>MIN(H709, G709)*INDEX('2018_commission_structure'!$A$1:$I$4,
MATCH($D709, '2018_commission_structure'!$A$1:$A$4,0),
MATCH(N$1, '2018_commission_structure'!$A$1:$I$1,0))</f>
        <v>59585.89</v>
      </c>
      <c r="O709" s="11">
        <f>IF(G709&gt;H709, MIN(G709-H709, I709-H709)*
INDEX('2018_commission_structure'!$A$1:$I$4,
MATCH($D709, '2018_commission_structure'!$A$1:$A$4, 0),
MATCH(O$1, '2018_commission_structure'!$A$1:$I$1, 0)), 0)</f>
        <v>0</v>
      </c>
      <c r="P709" s="11">
        <f>IF(G709&gt;H709, MIN(G709-H709, J709-H709)*
INDEX('2018_commission_structure'!$A$1:$I$4,
MATCH($D709, '2018_commission_structure'!$A$1:$A$4, 0),
MATCH(O$1, '2018_commission_structure'!$A$1:$I$1, 0)), 0)</f>
        <v>0</v>
      </c>
      <c r="Q709" s="11">
        <f>IF(G709&gt;H709, MIN(G709-H709, I709-H709)*
INDEX('2018_commission_structure'!$A$1:$I$4,
MATCH($D709, '2018_commission_structure'!$A$1:$A$4, 0),
MATCH(P$1, '2018_commission_structure'!$A$1:$I$1, 0)), 0)</f>
        <v>0</v>
      </c>
      <c r="R709" s="11">
        <f>IF(G709&gt;K709, (G709-K709) *
INDEX('2018_commission_structure'!$A$1:$I$4,
MATCH($D709, '2018_commission_structure'!$A$1:$A$4,0),
MATCH(R$1, '2018_commission_structure'!$A$1:$I$1,0)), 0)</f>
        <v>0</v>
      </c>
      <c r="S709" s="11">
        <f t="shared" si="71"/>
        <v>0</v>
      </c>
      <c r="T709" s="11" cm="1">
        <f t="array" ref="T709">SUM(E709+O709:Q709)</f>
        <v>165990</v>
      </c>
    </row>
    <row r="710" spans="1:20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 xml:space="preserve"> COUNTIF(deals_closed!D:D,A710)</f>
        <v>22</v>
      </c>
      <c r="G710" s="5">
        <f>SUMIF(deals_closed!D:D, calculations!A710, deals_closed!C:C)</f>
        <v>819130</v>
      </c>
      <c r="H710" s="5">
        <f>VLOOKUP(D710,'2018_commission_structure'!$A$2:$I$4,9,FALSE)</f>
        <v>750000</v>
      </c>
      <c r="I710" s="9">
        <f t="shared" si="66"/>
        <v>937500</v>
      </c>
      <c r="J710" s="8">
        <f t="shared" si="67"/>
        <v>1125000</v>
      </c>
      <c r="K710" s="9">
        <f t="shared" si="68"/>
        <v>1500000</v>
      </c>
      <c r="L710" s="10">
        <f t="shared" si="69"/>
        <v>1.0921733333333334</v>
      </c>
      <c r="M710" t="str">
        <f t="shared" si="70"/>
        <v>100-125%</v>
      </c>
      <c r="N710" s="9">
        <f>MIN(H710, G710)*INDEX('2018_commission_structure'!$A$1:$I$4,
MATCH($D710, '2018_commission_structure'!$A$1:$A$4,0),
MATCH(N$1, '2018_commission_structure'!$A$1:$I$1,0))</f>
        <v>112500</v>
      </c>
      <c r="O710" s="11">
        <f>IF(G710&gt;H710, MIN(G710-H710, I710-H710)*
INDEX('2018_commission_structure'!$A$1:$I$4,
MATCH($D710, '2018_commission_structure'!$A$1:$A$4, 0),
MATCH(O$1, '2018_commission_structure'!$A$1:$I$1, 0)), 0)</f>
        <v>13134.7</v>
      </c>
      <c r="P710" s="11">
        <f>IF(G710&gt;H710, MIN(G710-H710, J710-H710)*
INDEX('2018_commission_structure'!$A$1:$I$4,
MATCH($D710, '2018_commission_structure'!$A$1:$A$4, 0),
MATCH(O$1, '2018_commission_structure'!$A$1:$I$1, 0)), 0)</f>
        <v>13134.7</v>
      </c>
      <c r="Q710" s="11">
        <f>IF(G710&gt;H710, MIN(G710-H710, I710-H710)*
INDEX('2018_commission_structure'!$A$1:$I$4,
MATCH($D710, '2018_commission_structure'!$A$1:$A$4, 0),
MATCH(P$1, '2018_commission_structure'!$A$1:$I$1, 0)), 0)</f>
        <v>15899.900000000001</v>
      </c>
      <c r="R710" s="11">
        <f>IF(G710&gt;K710, (G710-K710) *
INDEX('2018_commission_structure'!$A$1:$I$4,
MATCH($D710, '2018_commission_structure'!$A$1:$A$4,0),
MATCH(R$1, '2018_commission_structure'!$A$1:$I$1,0)), 0)</f>
        <v>0</v>
      </c>
      <c r="S710" s="11">
        <f t="shared" si="71"/>
        <v>42169.3</v>
      </c>
      <c r="T710" s="11" cm="1">
        <f t="array" ref="T710">SUM(E710+O710:Q710)</f>
        <v>403435.30000000005</v>
      </c>
    </row>
    <row r="711" spans="1:20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 xml:space="preserve"> COUNTIF(deals_closed!D:D,A711)</f>
        <v>20</v>
      </c>
      <c r="G711" s="5">
        <f>SUMIF(deals_closed!D:D, calculations!A711, deals_closed!C:C)</f>
        <v>858970</v>
      </c>
      <c r="H711" s="5">
        <f>VLOOKUP(D711,'2018_commission_structure'!$A$2:$I$4,9,FALSE)</f>
        <v>750000</v>
      </c>
      <c r="I711" s="9">
        <f t="shared" si="66"/>
        <v>937500</v>
      </c>
      <c r="J711" s="8">
        <f t="shared" si="67"/>
        <v>1125000</v>
      </c>
      <c r="K711" s="9">
        <f t="shared" si="68"/>
        <v>1500000</v>
      </c>
      <c r="L711" s="10">
        <f t="shared" si="69"/>
        <v>1.1452933333333333</v>
      </c>
      <c r="M711" t="str">
        <f t="shared" si="70"/>
        <v>100-125%</v>
      </c>
      <c r="N711" s="9">
        <f>MIN(H711, G711)*INDEX('2018_commission_structure'!$A$1:$I$4,
MATCH($D711, '2018_commission_structure'!$A$1:$A$4,0),
MATCH(N$1, '2018_commission_structure'!$A$1:$I$1,0))</f>
        <v>112500</v>
      </c>
      <c r="O711" s="11">
        <f>IF(G711&gt;H711, MIN(G711-H711, I711-H711)*
INDEX('2018_commission_structure'!$A$1:$I$4,
MATCH($D711, '2018_commission_structure'!$A$1:$A$4, 0),
MATCH(O$1, '2018_commission_structure'!$A$1:$I$1, 0)), 0)</f>
        <v>20704.3</v>
      </c>
      <c r="P711" s="11">
        <f>IF(G711&gt;H711, MIN(G711-H711, J711-H711)*
INDEX('2018_commission_structure'!$A$1:$I$4,
MATCH($D711, '2018_commission_structure'!$A$1:$A$4, 0),
MATCH(O$1, '2018_commission_structure'!$A$1:$I$1, 0)), 0)</f>
        <v>20704.3</v>
      </c>
      <c r="Q711" s="11">
        <f>IF(G711&gt;H711, MIN(G711-H711, I711-H711)*
INDEX('2018_commission_structure'!$A$1:$I$4,
MATCH($D711, '2018_commission_structure'!$A$1:$A$4, 0),
MATCH(P$1, '2018_commission_structure'!$A$1:$I$1, 0)), 0)</f>
        <v>25063.100000000002</v>
      </c>
      <c r="R711" s="11">
        <f>IF(G711&gt;K711, (G711-K711) *
INDEX('2018_commission_structure'!$A$1:$I$4,
MATCH($D711, '2018_commission_structure'!$A$1:$A$4,0),
MATCH(R$1, '2018_commission_structure'!$A$1:$I$1,0)), 0)</f>
        <v>0</v>
      </c>
      <c r="S711" s="11">
        <f t="shared" si="71"/>
        <v>66471.7</v>
      </c>
      <c r="T711" s="11" cm="1">
        <f t="array" ref="T711">SUM(E711+O711:Q711)</f>
        <v>438096.69999999995</v>
      </c>
    </row>
    <row r="712" spans="1:20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 xml:space="preserve"> COUNTIF(deals_closed!D:D,A712)</f>
        <v>17</v>
      </c>
      <c r="G712" s="5">
        <f>SUMIF(deals_closed!D:D, calculations!A712, deals_closed!C:C)</f>
        <v>721837</v>
      </c>
      <c r="H712" s="5">
        <f>VLOOKUP(D712,'2018_commission_structure'!$A$2:$I$4,9,FALSE)</f>
        <v>500000</v>
      </c>
      <c r="I712" s="9">
        <f t="shared" si="66"/>
        <v>625000</v>
      </c>
      <c r="J712" s="8">
        <f t="shared" si="67"/>
        <v>750000</v>
      </c>
      <c r="K712" s="9">
        <f t="shared" si="68"/>
        <v>1000000</v>
      </c>
      <c r="L712" s="10">
        <f t="shared" si="69"/>
        <v>1.4436739999999999</v>
      </c>
      <c r="M712" t="str">
        <f t="shared" si="70"/>
        <v>125-150%</v>
      </c>
      <c r="N712" s="9">
        <f>MIN(H712, G712)*INDEX('2018_commission_structure'!$A$1:$I$4,
MATCH($D712, '2018_commission_structure'!$A$1:$A$4,0),
MATCH(N$1, '2018_commission_structure'!$A$1:$I$1,0))</f>
        <v>50000</v>
      </c>
      <c r="O712" s="11">
        <f>IF(G712&gt;H712, MIN(G712-H712, I712-H712)*
INDEX('2018_commission_structure'!$A$1:$I$4,
MATCH($D712, '2018_commission_structure'!$A$1:$A$4, 0),
MATCH(O$1, '2018_commission_structure'!$A$1:$I$1, 0)), 0)</f>
        <v>18750</v>
      </c>
      <c r="P712" s="11">
        <f>IF(G712&gt;H712, MIN(G712-H712, J712-H712)*
INDEX('2018_commission_structure'!$A$1:$I$4,
MATCH($D712, '2018_commission_structure'!$A$1:$A$4, 0),
MATCH(O$1, '2018_commission_structure'!$A$1:$I$1, 0)), 0)</f>
        <v>33275.549999999996</v>
      </c>
      <c r="Q712" s="11">
        <f>IF(G712&gt;H712, MIN(G712-H712, I712-H712)*
INDEX('2018_commission_structure'!$A$1:$I$4,
MATCH($D712, '2018_commission_structure'!$A$1:$A$4, 0),
MATCH(P$1, '2018_commission_structure'!$A$1:$I$1, 0)), 0)</f>
        <v>22500</v>
      </c>
      <c r="R712" s="11">
        <f>IF(G712&gt;K712, (G712-K712) *
INDEX('2018_commission_structure'!$A$1:$I$4,
MATCH($D712, '2018_commission_structure'!$A$1:$A$4,0),
MATCH(R$1, '2018_commission_structure'!$A$1:$I$1,0)), 0)</f>
        <v>0</v>
      </c>
      <c r="S712" s="11">
        <f t="shared" si="71"/>
        <v>74525.549999999988</v>
      </c>
      <c r="T712" s="11" cm="1">
        <f t="array" ref="T712">SUM(E712+O712:Q712)</f>
        <v>248315.55</v>
      </c>
    </row>
    <row r="713" spans="1:20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 xml:space="preserve"> COUNTIF(deals_closed!D:D,A713)</f>
        <v>28</v>
      </c>
      <c r="G713" s="5">
        <f>SUMIF(deals_closed!D:D, calculations!A713, deals_closed!C:C)</f>
        <v>914088</v>
      </c>
      <c r="H713" s="5">
        <f>VLOOKUP(D713,'2018_commission_structure'!$A$2:$I$4,9,FALSE)</f>
        <v>600000</v>
      </c>
      <c r="I713" s="9">
        <f t="shared" si="66"/>
        <v>750000</v>
      </c>
      <c r="J713" s="8">
        <f t="shared" si="67"/>
        <v>900000</v>
      </c>
      <c r="K713" s="9">
        <f t="shared" si="68"/>
        <v>1200000</v>
      </c>
      <c r="L713" s="10">
        <f t="shared" si="69"/>
        <v>1.5234799999999999</v>
      </c>
      <c r="M713" t="str">
        <f t="shared" si="70"/>
        <v>150-200%</v>
      </c>
      <c r="N713" s="9">
        <f>MIN(H713, G713)*INDEX('2018_commission_structure'!$A$1:$I$4,
MATCH($D713, '2018_commission_structure'!$A$1:$A$4,0),
MATCH(N$1, '2018_commission_structure'!$A$1:$I$1,0))</f>
        <v>78000</v>
      </c>
      <c r="O713" s="11">
        <f>IF(G713&gt;H713, MIN(G713-H713, I713-H713)*
INDEX('2018_commission_structure'!$A$1:$I$4,
MATCH($D713, '2018_commission_structure'!$A$1:$A$4, 0),
MATCH(O$1, '2018_commission_structure'!$A$1:$I$1, 0)), 0)</f>
        <v>25500.000000000004</v>
      </c>
      <c r="P713" s="11">
        <f>IF(G713&gt;H713, MIN(G713-H713, J713-H713)*
INDEX('2018_commission_structure'!$A$1:$I$4,
MATCH($D713, '2018_commission_structure'!$A$1:$A$4, 0),
MATCH(O$1, '2018_commission_structure'!$A$1:$I$1, 0)), 0)</f>
        <v>51000.000000000007</v>
      </c>
      <c r="Q713" s="11">
        <f>IF(G713&gt;H713, MIN(G713-H713, I713-H713)*
INDEX('2018_commission_structure'!$A$1:$I$4,
MATCH($D713, '2018_commission_structure'!$A$1:$A$4, 0),
MATCH(P$1, '2018_commission_structure'!$A$1:$I$1, 0)), 0)</f>
        <v>31500</v>
      </c>
      <c r="R713" s="11">
        <f>IF(G713&gt;K713, (G713-K713) *
INDEX('2018_commission_structure'!$A$1:$I$4,
MATCH($D713, '2018_commission_structure'!$A$1:$A$4,0),
MATCH(R$1, '2018_commission_structure'!$A$1:$I$1,0)), 0)</f>
        <v>0</v>
      </c>
      <c r="S713" s="11">
        <f t="shared" si="71"/>
        <v>108000.00000000001</v>
      </c>
      <c r="T713" s="11" cm="1">
        <f t="array" ref="T713">SUM(E713+O713:Q713)</f>
        <v>333999</v>
      </c>
    </row>
    <row r="714" spans="1:20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 xml:space="preserve"> COUNTIF(deals_closed!D:D,A714)</f>
        <v>18</v>
      </c>
      <c r="G714" s="5">
        <f>SUMIF(deals_closed!D:D, calculations!A714, deals_closed!C:C)</f>
        <v>605849</v>
      </c>
      <c r="H714" s="5">
        <f>VLOOKUP(D714,'2018_commission_structure'!$A$2:$I$4,9,FALSE)</f>
        <v>500000</v>
      </c>
      <c r="I714" s="9">
        <f t="shared" si="66"/>
        <v>625000</v>
      </c>
      <c r="J714" s="8">
        <f t="shared" si="67"/>
        <v>750000</v>
      </c>
      <c r="K714" s="9">
        <f t="shared" si="68"/>
        <v>1000000</v>
      </c>
      <c r="L714" s="10">
        <f t="shared" si="69"/>
        <v>1.2116979999999999</v>
      </c>
      <c r="M714" t="str">
        <f t="shared" si="70"/>
        <v>100-125%</v>
      </c>
      <c r="N714" s="9">
        <f>MIN(H714, G714)*INDEX('2018_commission_structure'!$A$1:$I$4,
MATCH($D714, '2018_commission_structure'!$A$1:$A$4,0),
MATCH(N$1, '2018_commission_structure'!$A$1:$I$1,0))</f>
        <v>50000</v>
      </c>
      <c r="O714" s="11">
        <f>IF(G714&gt;H714, MIN(G714-H714, I714-H714)*
INDEX('2018_commission_structure'!$A$1:$I$4,
MATCH($D714, '2018_commission_structure'!$A$1:$A$4, 0),
MATCH(O$1, '2018_commission_structure'!$A$1:$I$1, 0)), 0)</f>
        <v>15877.349999999999</v>
      </c>
      <c r="P714" s="11">
        <f>IF(G714&gt;H714, MIN(G714-H714, J714-H714)*
INDEX('2018_commission_structure'!$A$1:$I$4,
MATCH($D714, '2018_commission_structure'!$A$1:$A$4, 0),
MATCH(O$1, '2018_commission_structure'!$A$1:$I$1, 0)), 0)</f>
        <v>15877.349999999999</v>
      </c>
      <c r="Q714" s="11">
        <f>IF(G714&gt;H714, MIN(G714-H714, I714-H714)*
INDEX('2018_commission_structure'!$A$1:$I$4,
MATCH($D714, '2018_commission_structure'!$A$1:$A$4, 0),
MATCH(P$1, '2018_commission_structure'!$A$1:$I$1, 0)), 0)</f>
        <v>19052.82</v>
      </c>
      <c r="R714" s="11">
        <f>IF(G714&gt;K714, (G714-K714) *
INDEX('2018_commission_structure'!$A$1:$I$4,
MATCH($D714, '2018_commission_structure'!$A$1:$A$4,0),
MATCH(R$1, '2018_commission_structure'!$A$1:$I$1,0)), 0)</f>
        <v>0</v>
      </c>
      <c r="S714" s="11">
        <f t="shared" si="71"/>
        <v>50807.519999999997</v>
      </c>
      <c r="T714" s="11" cm="1">
        <f t="array" ref="T714">SUM(E714+O714:Q714)</f>
        <v>184553.52</v>
      </c>
    </row>
    <row r="715" spans="1:20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 xml:space="preserve"> COUNTIF(deals_closed!D:D,A715)</f>
        <v>28</v>
      </c>
      <c r="G715" s="5">
        <f>SUMIF(deals_closed!D:D, calculations!A715, deals_closed!C:C)</f>
        <v>1078035</v>
      </c>
      <c r="H715" s="5">
        <f>VLOOKUP(D715,'2018_commission_structure'!$A$2:$I$4,9,FALSE)</f>
        <v>750000</v>
      </c>
      <c r="I715" s="9">
        <f t="shared" si="66"/>
        <v>937500</v>
      </c>
      <c r="J715" s="8">
        <f t="shared" si="67"/>
        <v>1125000</v>
      </c>
      <c r="K715" s="9">
        <f t="shared" si="68"/>
        <v>1500000</v>
      </c>
      <c r="L715" s="10">
        <f t="shared" si="69"/>
        <v>1.4373800000000001</v>
      </c>
      <c r="M715" t="str">
        <f t="shared" si="70"/>
        <v>125-150%</v>
      </c>
      <c r="N715" s="9">
        <f>MIN(H715, G715)*INDEX('2018_commission_structure'!$A$1:$I$4,
MATCH($D715, '2018_commission_structure'!$A$1:$A$4,0),
MATCH(N$1, '2018_commission_structure'!$A$1:$I$1,0))</f>
        <v>112500</v>
      </c>
      <c r="O715" s="11">
        <f>IF(G715&gt;H715, MIN(G715-H715, I715-H715)*
INDEX('2018_commission_structure'!$A$1:$I$4,
MATCH($D715, '2018_commission_structure'!$A$1:$A$4, 0),
MATCH(O$1, '2018_commission_structure'!$A$1:$I$1, 0)), 0)</f>
        <v>35625</v>
      </c>
      <c r="P715" s="11">
        <f>IF(G715&gt;H715, MIN(G715-H715, J715-H715)*
INDEX('2018_commission_structure'!$A$1:$I$4,
MATCH($D715, '2018_commission_structure'!$A$1:$A$4, 0),
MATCH(O$1, '2018_commission_structure'!$A$1:$I$1, 0)), 0)</f>
        <v>62326.65</v>
      </c>
      <c r="Q715" s="11">
        <f>IF(G715&gt;H715, MIN(G715-H715, I715-H715)*
INDEX('2018_commission_structure'!$A$1:$I$4,
MATCH($D715, '2018_commission_structure'!$A$1:$A$4, 0),
MATCH(P$1, '2018_commission_structure'!$A$1:$I$1, 0)), 0)</f>
        <v>43125</v>
      </c>
      <c r="R715" s="11">
        <f>IF(G715&gt;K715, (G715-K715) *
INDEX('2018_commission_structure'!$A$1:$I$4,
MATCH($D715, '2018_commission_structure'!$A$1:$A$4,0),
MATCH(R$1, '2018_commission_structure'!$A$1:$I$1,0)), 0)</f>
        <v>0</v>
      </c>
      <c r="S715" s="11">
        <f t="shared" si="71"/>
        <v>141076.65</v>
      </c>
      <c r="T715" s="11" cm="1">
        <f t="array" ref="T715">SUM(E715+O715:Q715)</f>
        <v>437836.65</v>
      </c>
    </row>
    <row r="716" spans="1:20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 xml:space="preserve"> COUNTIF(deals_closed!D:D,A716)</f>
        <v>18</v>
      </c>
      <c r="G716" s="5">
        <f>SUMIF(deals_closed!D:D, calculations!A716, deals_closed!C:C)</f>
        <v>696346</v>
      </c>
      <c r="H716" s="5">
        <f>VLOOKUP(D716,'2018_commission_structure'!$A$2:$I$4,9,FALSE)</f>
        <v>500000</v>
      </c>
      <c r="I716" s="9">
        <f t="shared" si="66"/>
        <v>625000</v>
      </c>
      <c r="J716" s="8">
        <f t="shared" si="67"/>
        <v>750000</v>
      </c>
      <c r="K716" s="9">
        <f t="shared" si="68"/>
        <v>1000000</v>
      </c>
      <c r="L716" s="10">
        <f t="shared" si="69"/>
        <v>1.392692</v>
      </c>
      <c r="M716" t="str">
        <f t="shared" si="70"/>
        <v>125-150%</v>
      </c>
      <c r="N716" s="9">
        <f>MIN(H716, G716)*INDEX('2018_commission_structure'!$A$1:$I$4,
MATCH($D716, '2018_commission_structure'!$A$1:$A$4,0),
MATCH(N$1, '2018_commission_structure'!$A$1:$I$1,0))</f>
        <v>50000</v>
      </c>
      <c r="O716" s="11">
        <f>IF(G716&gt;H716, MIN(G716-H716, I716-H716)*
INDEX('2018_commission_structure'!$A$1:$I$4,
MATCH($D716, '2018_commission_structure'!$A$1:$A$4, 0),
MATCH(O$1, '2018_commission_structure'!$A$1:$I$1, 0)), 0)</f>
        <v>18750</v>
      </c>
      <c r="P716" s="11">
        <f>IF(G716&gt;H716, MIN(G716-H716, J716-H716)*
INDEX('2018_commission_structure'!$A$1:$I$4,
MATCH($D716, '2018_commission_structure'!$A$1:$A$4, 0),
MATCH(O$1, '2018_commission_structure'!$A$1:$I$1, 0)), 0)</f>
        <v>29451.899999999998</v>
      </c>
      <c r="Q716" s="11">
        <f>IF(G716&gt;H716, MIN(G716-H716, I716-H716)*
INDEX('2018_commission_structure'!$A$1:$I$4,
MATCH($D716, '2018_commission_structure'!$A$1:$A$4, 0),
MATCH(P$1, '2018_commission_structure'!$A$1:$I$1, 0)), 0)</f>
        <v>22500</v>
      </c>
      <c r="R716" s="11">
        <f>IF(G716&gt;K716, (G716-K716) *
INDEX('2018_commission_structure'!$A$1:$I$4,
MATCH($D716, '2018_commission_structure'!$A$1:$A$4,0),
MATCH(R$1, '2018_commission_structure'!$A$1:$I$1,0)), 0)</f>
        <v>0</v>
      </c>
      <c r="S716" s="11">
        <f t="shared" si="71"/>
        <v>70701.899999999994</v>
      </c>
      <c r="T716" s="11" cm="1">
        <f t="array" ref="T716">SUM(E716+O716:Q716)</f>
        <v>247950.9</v>
      </c>
    </row>
    <row r="717" spans="1:20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 xml:space="preserve"> COUNTIF(deals_closed!D:D,A717)</f>
        <v>16</v>
      </c>
      <c r="G717" s="5">
        <f>SUMIF(deals_closed!D:D, calculations!A717, deals_closed!C:C)</f>
        <v>521382</v>
      </c>
      <c r="H717" s="5">
        <f>VLOOKUP(D717,'2018_commission_structure'!$A$2:$I$4,9,FALSE)</f>
        <v>600000</v>
      </c>
      <c r="I717" s="9">
        <f t="shared" si="66"/>
        <v>750000</v>
      </c>
      <c r="J717" s="8">
        <f t="shared" si="67"/>
        <v>900000</v>
      </c>
      <c r="K717" s="9">
        <f t="shared" si="68"/>
        <v>1200000</v>
      </c>
      <c r="L717" s="10">
        <f t="shared" si="69"/>
        <v>0.86897000000000002</v>
      </c>
      <c r="M717" t="str">
        <f t="shared" si="70"/>
        <v>0-100%</v>
      </c>
      <c r="N717" s="9">
        <f>MIN(H717, G717)*INDEX('2018_commission_structure'!$A$1:$I$4,
MATCH($D717, '2018_commission_structure'!$A$1:$A$4,0),
MATCH(N$1, '2018_commission_structure'!$A$1:$I$1,0))</f>
        <v>67779.66</v>
      </c>
      <c r="O717" s="11">
        <f>IF(G717&gt;H717, MIN(G717-H717, I717-H717)*
INDEX('2018_commission_structure'!$A$1:$I$4,
MATCH($D717, '2018_commission_structure'!$A$1:$A$4, 0),
MATCH(O$1, '2018_commission_structure'!$A$1:$I$1, 0)), 0)</f>
        <v>0</v>
      </c>
      <c r="P717" s="11">
        <f>IF(G717&gt;H717, MIN(G717-H717, J717-H717)*
INDEX('2018_commission_structure'!$A$1:$I$4,
MATCH($D717, '2018_commission_structure'!$A$1:$A$4, 0),
MATCH(O$1, '2018_commission_structure'!$A$1:$I$1, 0)), 0)</f>
        <v>0</v>
      </c>
      <c r="Q717" s="11">
        <f>IF(G717&gt;H717, MIN(G717-H717, I717-H717)*
INDEX('2018_commission_structure'!$A$1:$I$4,
MATCH($D717, '2018_commission_structure'!$A$1:$A$4, 0),
MATCH(P$1, '2018_commission_structure'!$A$1:$I$1, 0)), 0)</f>
        <v>0</v>
      </c>
      <c r="R717" s="11">
        <f>IF(G717&gt;K717, (G717-K717) *
INDEX('2018_commission_structure'!$A$1:$I$4,
MATCH($D717, '2018_commission_structure'!$A$1:$A$4,0),
MATCH(R$1, '2018_commission_structure'!$A$1:$I$1,0)), 0)</f>
        <v>0</v>
      </c>
      <c r="S717" s="11">
        <f t="shared" si="71"/>
        <v>0</v>
      </c>
      <c r="T717" s="11" cm="1">
        <f t="array" ref="T717">SUM(E717+O717:Q717)</f>
        <v>189603</v>
      </c>
    </row>
    <row r="718" spans="1:20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 xml:space="preserve"> COUNTIF(deals_closed!D:D,A718)</f>
        <v>24</v>
      </c>
      <c r="G718" s="5">
        <f>SUMIF(deals_closed!D:D, calculations!A718, deals_closed!C:C)</f>
        <v>843239</v>
      </c>
      <c r="H718" s="5">
        <f>VLOOKUP(D718,'2018_commission_structure'!$A$2:$I$4,9,FALSE)</f>
        <v>750000</v>
      </c>
      <c r="I718" s="9">
        <f t="shared" si="66"/>
        <v>937500</v>
      </c>
      <c r="J718" s="8">
        <f t="shared" si="67"/>
        <v>1125000</v>
      </c>
      <c r="K718" s="9">
        <f t="shared" si="68"/>
        <v>1500000</v>
      </c>
      <c r="L718" s="10">
        <f t="shared" si="69"/>
        <v>1.1243186666666667</v>
      </c>
      <c r="M718" t="str">
        <f t="shared" si="70"/>
        <v>100-125%</v>
      </c>
      <c r="N718" s="9">
        <f>MIN(H718, G718)*INDEX('2018_commission_structure'!$A$1:$I$4,
MATCH($D718, '2018_commission_structure'!$A$1:$A$4,0),
MATCH(N$1, '2018_commission_structure'!$A$1:$I$1,0))</f>
        <v>112500</v>
      </c>
      <c r="O718" s="11">
        <f>IF(G718&gt;H718, MIN(G718-H718, I718-H718)*
INDEX('2018_commission_structure'!$A$1:$I$4,
MATCH($D718, '2018_commission_structure'!$A$1:$A$4, 0),
MATCH(O$1, '2018_commission_structure'!$A$1:$I$1, 0)), 0)</f>
        <v>17715.41</v>
      </c>
      <c r="P718" s="11">
        <f>IF(G718&gt;H718, MIN(G718-H718, J718-H718)*
INDEX('2018_commission_structure'!$A$1:$I$4,
MATCH($D718, '2018_commission_structure'!$A$1:$A$4, 0),
MATCH(O$1, '2018_commission_structure'!$A$1:$I$1, 0)), 0)</f>
        <v>17715.41</v>
      </c>
      <c r="Q718" s="11">
        <f>IF(G718&gt;H718, MIN(G718-H718, I718-H718)*
INDEX('2018_commission_structure'!$A$1:$I$4,
MATCH($D718, '2018_commission_structure'!$A$1:$A$4, 0),
MATCH(P$1, '2018_commission_structure'!$A$1:$I$1, 0)), 0)</f>
        <v>21444.97</v>
      </c>
      <c r="R718" s="11">
        <f>IF(G718&gt;K718, (G718-K718) *
INDEX('2018_commission_structure'!$A$1:$I$4,
MATCH($D718, '2018_commission_structure'!$A$1:$A$4,0),
MATCH(R$1, '2018_commission_structure'!$A$1:$I$1,0)), 0)</f>
        <v>0</v>
      </c>
      <c r="S718" s="11">
        <f t="shared" si="71"/>
        <v>56875.79</v>
      </c>
      <c r="T718" s="11" cm="1">
        <f t="array" ref="T718">SUM(E718+O718:Q718)</f>
        <v>323383.79000000004</v>
      </c>
    </row>
    <row r="719" spans="1:20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 xml:space="preserve"> COUNTIF(deals_closed!D:D,A719)</f>
        <v>16</v>
      </c>
      <c r="G719" s="5">
        <f>SUMIF(deals_closed!D:D, calculations!A719, deals_closed!C:C)</f>
        <v>600509</v>
      </c>
      <c r="H719" s="5">
        <f>VLOOKUP(D719,'2018_commission_structure'!$A$2:$I$4,9,FALSE)</f>
        <v>600000</v>
      </c>
      <c r="I719" s="9">
        <f t="shared" si="66"/>
        <v>750000</v>
      </c>
      <c r="J719" s="8">
        <f t="shared" si="67"/>
        <v>900000</v>
      </c>
      <c r="K719" s="9">
        <f t="shared" si="68"/>
        <v>1200000</v>
      </c>
      <c r="L719" s="10">
        <f t="shared" si="69"/>
        <v>1.0008483333333333</v>
      </c>
      <c r="M719" t="str">
        <f t="shared" si="70"/>
        <v>100-125%</v>
      </c>
      <c r="N719" s="9">
        <f>MIN(H719, G719)*INDEX('2018_commission_structure'!$A$1:$I$4,
MATCH($D719, '2018_commission_structure'!$A$1:$A$4,0),
MATCH(N$1, '2018_commission_structure'!$A$1:$I$1,0))</f>
        <v>78000</v>
      </c>
      <c r="O719" s="11">
        <f>IF(G719&gt;H719, MIN(G719-H719, I719-H719)*
INDEX('2018_commission_structure'!$A$1:$I$4,
MATCH($D719, '2018_commission_structure'!$A$1:$A$4, 0),
MATCH(O$1, '2018_commission_structure'!$A$1:$I$1, 0)), 0)</f>
        <v>86.53</v>
      </c>
      <c r="P719" s="11">
        <f>IF(G719&gt;H719, MIN(G719-H719, J719-H719)*
INDEX('2018_commission_structure'!$A$1:$I$4,
MATCH($D719, '2018_commission_structure'!$A$1:$A$4, 0),
MATCH(O$1, '2018_commission_structure'!$A$1:$I$1, 0)), 0)</f>
        <v>86.53</v>
      </c>
      <c r="Q719" s="11">
        <f>IF(G719&gt;H719, MIN(G719-H719, I719-H719)*
INDEX('2018_commission_structure'!$A$1:$I$4,
MATCH($D719, '2018_commission_structure'!$A$1:$A$4, 0),
MATCH(P$1, '2018_commission_structure'!$A$1:$I$1, 0)), 0)</f>
        <v>106.89</v>
      </c>
      <c r="R719" s="11">
        <f>IF(G719&gt;K719, (G719-K719) *
INDEX('2018_commission_structure'!$A$1:$I$4,
MATCH($D719, '2018_commission_structure'!$A$1:$A$4,0),
MATCH(R$1, '2018_commission_structure'!$A$1:$I$1,0)), 0)</f>
        <v>0</v>
      </c>
      <c r="S719" s="11">
        <f t="shared" si="71"/>
        <v>279.95</v>
      </c>
      <c r="T719" s="11" cm="1">
        <f t="array" ref="T719">SUM(E719+O719:Q719)</f>
        <v>199233.95</v>
      </c>
    </row>
    <row r="720" spans="1:20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 xml:space="preserve"> COUNTIF(deals_closed!D:D,A720)</f>
        <v>26</v>
      </c>
      <c r="G720" s="5">
        <f>SUMIF(deals_closed!D:D, calculations!A720, deals_closed!C:C)</f>
        <v>947743</v>
      </c>
      <c r="H720" s="5">
        <f>VLOOKUP(D720,'2018_commission_structure'!$A$2:$I$4,9,FALSE)</f>
        <v>750000</v>
      </c>
      <c r="I720" s="9">
        <f t="shared" si="66"/>
        <v>937500</v>
      </c>
      <c r="J720" s="8">
        <f t="shared" si="67"/>
        <v>1125000</v>
      </c>
      <c r="K720" s="9">
        <f t="shared" si="68"/>
        <v>1500000</v>
      </c>
      <c r="L720" s="10">
        <f t="shared" si="69"/>
        <v>1.2636573333333334</v>
      </c>
      <c r="M720" t="str">
        <f t="shared" si="70"/>
        <v>125-150%</v>
      </c>
      <c r="N720" s="9">
        <f>MIN(H720, G720)*INDEX('2018_commission_structure'!$A$1:$I$4,
MATCH($D720, '2018_commission_structure'!$A$1:$A$4,0),
MATCH(N$1, '2018_commission_structure'!$A$1:$I$1,0))</f>
        <v>112500</v>
      </c>
      <c r="O720" s="11">
        <f>IF(G720&gt;H720, MIN(G720-H720, I720-H720)*
INDEX('2018_commission_structure'!$A$1:$I$4,
MATCH($D720, '2018_commission_structure'!$A$1:$A$4, 0),
MATCH(O$1, '2018_commission_structure'!$A$1:$I$1, 0)), 0)</f>
        <v>35625</v>
      </c>
      <c r="P720" s="11">
        <f>IF(G720&gt;H720, MIN(G720-H720, J720-H720)*
INDEX('2018_commission_structure'!$A$1:$I$4,
MATCH($D720, '2018_commission_structure'!$A$1:$A$4, 0),
MATCH(O$1, '2018_commission_structure'!$A$1:$I$1, 0)), 0)</f>
        <v>37571.17</v>
      </c>
      <c r="Q720" s="11">
        <f>IF(G720&gt;H720, MIN(G720-H720, I720-H720)*
INDEX('2018_commission_structure'!$A$1:$I$4,
MATCH($D720, '2018_commission_structure'!$A$1:$A$4, 0),
MATCH(P$1, '2018_commission_structure'!$A$1:$I$1, 0)), 0)</f>
        <v>43125</v>
      </c>
      <c r="R720" s="11">
        <f>IF(G720&gt;K720, (G720-K720) *
INDEX('2018_commission_structure'!$A$1:$I$4,
MATCH($D720, '2018_commission_structure'!$A$1:$A$4,0),
MATCH(R$1, '2018_commission_structure'!$A$1:$I$1,0)), 0)</f>
        <v>0</v>
      </c>
      <c r="S720" s="11">
        <f t="shared" si="71"/>
        <v>116321.17</v>
      </c>
      <c r="T720" s="11" cm="1">
        <f t="array" ref="T720">SUM(E720+O720:Q720)</f>
        <v>460856.17</v>
      </c>
    </row>
    <row r="721" spans="1:20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 xml:space="preserve"> COUNTIF(deals_closed!D:D,A721)</f>
        <v>22</v>
      </c>
      <c r="G721" s="5">
        <f>SUMIF(deals_closed!D:D, calculations!A721, deals_closed!C:C)</f>
        <v>721672</v>
      </c>
      <c r="H721" s="5">
        <f>VLOOKUP(D721,'2018_commission_structure'!$A$2:$I$4,9,FALSE)</f>
        <v>750000</v>
      </c>
      <c r="I721" s="9">
        <f t="shared" si="66"/>
        <v>937500</v>
      </c>
      <c r="J721" s="8">
        <f t="shared" si="67"/>
        <v>1125000</v>
      </c>
      <c r="K721" s="9">
        <f t="shared" si="68"/>
        <v>1500000</v>
      </c>
      <c r="L721" s="10">
        <f t="shared" si="69"/>
        <v>0.96222933333333338</v>
      </c>
      <c r="M721" t="str">
        <f t="shared" si="70"/>
        <v>0-100%</v>
      </c>
      <c r="N721" s="9">
        <f>MIN(H721, G721)*INDEX('2018_commission_structure'!$A$1:$I$4,
MATCH($D721, '2018_commission_structure'!$A$1:$A$4,0),
MATCH(N$1, '2018_commission_structure'!$A$1:$I$1,0))</f>
        <v>108250.8</v>
      </c>
      <c r="O721" s="11">
        <f>IF(G721&gt;H721, MIN(G721-H721, I721-H721)*
INDEX('2018_commission_structure'!$A$1:$I$4,
MATCH($D721, '2018_commission_structure'!$A$1:$A$4, 0),
MATCH(O$1, '2018_commission_structure'!$A$1:$I$1, 0)), 0)</f>
        <v>0</v>
      </c>
      <c r="P721" s="11">
        <f>IF(G721&gt;H721, MIN(G721-H721, J721-H721)*
INDEX('2018_commission_structure'!$A$1:$I$4,
MATCH($D721, '2018_commission_structure'!$A$1:$A$4, 0),
MATCH(O$1, '2018_commission_structure'!$A$1:$I$1, 0)), 0)</f>
        <v>0</v>
      </c>
      <c r="Q721" s="11">
        <f>IF(G721&gt;H721, MIN(G721-H721, I721-H721)*
INDEX('2018_commission_structure'!$A$1:$I$4,
MATCH($D721, '2018_commission_structure'!$A$1:$A$4, 0),
MATCH(P$1, '2018_commission_structure'!$A$1:$I$1, 0)), 0)</f>
        <v>0</v>
      </c>
      <c r="R721" s="11">
        <f>IF(G721&gt;K721, (G721-K721) *
INDEX('2018_commission_structure'!$A$1:$I$4,
MATCH($D721, '2018_commission_structure'!$A$1:$A$4,0),
MATCH(R$1, '2018_commission_structure'!$A$1:$I$1,0)), 0)</f>
        <v>0</v>
      </c>
      <c r="S721" s="11">
        <f t="shared" si="71"/>
        <v>0</v>
      </c>
      <c r="T721" s="11" cm="1">
        <f t="array" ref="T721">SUM(E721+O721:Q721)</f>
        <v>303354</v>
      </c>
    </row>
    <row r="722" spans="1:20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 xml:space="preserve"> COUNTIF(deals_closed!D:D,A722)</f>
        <v>21</v>
      </c>
      <c r="G722" s="5">
        <f>SUMIF(deals_closed!D:D, calculations!A722, deals_closed!C:C)</f>
        <v>631287</v>
      </c>
      <c r="H722" s="5">
        <f>VLOOKUP(D722,'2018_commission_structure'!$A$2:$I$4,9,FALSE)</f>
        <v>500000</v>
      </c>
      <c r="I722" s="9">
        <f t="shared" si="66"/>
        <v>625000</v>
      </c>
      <c r="J722" s="8">
        <f t="shared" si="67"/>
        <v>750000</v>
      </c>
      <c r="K722" s="9">
        <f t="shared" si="68"/>
        <v>1000000</v>
      </c>
      <c r="L722" s="10">
        <f t="shared" si="69"/>
        <v>1.2625740000000001</v>
      </c>
      <c r="M722" t="str">
        <f t="shared" si="70"/>
        <v>125-150%</v>
      </c>
      <c r="N722" s="9">
        <f>MIN(H722, G722)*INDEX('2018_commission_structure'!$A$1:$I$4,
MATCH($D722, '2018_commission_structure'!$A$1:$A$4,0),
MATCH(N$1, '2018_commission_structure'!$A$1:$I$1,0))</f>
        <v>50000</v>
      </c>
      <c r="O722" s="11">
        <f>IF(G722&gt;H722, MIN(G722-H722, I722-H722)*
INDEX('2018_commission_structure'!$A$1:$I$4,
MATCH($D722, '2018_commission_structure'!$A$1:$A$4, 0),
MATCH(O$1, '2018_commission_structure'!$A$1:$I$1, 0)), 0)</f>
        <v>18750</v>
      </c>
      <c r="P722" s="11">
        <f>IF(G722&gt;H722, MIN(G722-H722, J722-H722)*
INDEX('2018_commission_structure'!$A$1:$I$4,
MATCH($D722, '2018_commission_structure'!$A$1:$A$4, 0),
MATCH(O$1, '2018_commission_structure'!$A$1:$I$1, 0)), 0)</f>
        <v>19693.05</v>
      </c>
      <c r="Q722" s="11">
        <f>IF(G722&gt;H722, MIN(G722-H722, I722-H722)*
INDEX('2018_commission_structure'!$A$1:$I$4,
MATCH($D722, '2018_commission_structure'!$A$1:$A$4, 0),
MATCH(P$1, '2018_commission_structure'!$A$1:$I$1, 0)), 0)</f>
        <v>22500</v>
      </c>
      <c r="R722" s="11">
        <f>IF(G722&gt;K722, (G722-K722) *
INDEX('2018_commission_structure'!$A$1:$I$4,
MATCH($D722, '2018_commission_structure'!$A$1:$A$4,0),
MATCH(R$1, '2018_commission_structure'!$A$1:$I$1,0)), 0)</f>
        <v>0</v>
      </c>
      <c r="S722" s="11">
        <f t="shared" si="71"/>
        <v>60943.05</v>
      </c>
      <c r="T722" s="11" cm="1">
        <f t="array" ref="T722">SUM(E722+O722:Q722)</f>
        <v>204898.05</v>
      </c>
    </row>
    <row r="723" spans="1:20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 xml:space="preserve"> COUNTIF(deals_closed!D:D,A723)</f>
        <v>20</v>
      </c>
      <c r="G723" s="5">
        <f>SUMIF(deals_closed!D:D, calculations!A723, deals_closed!C:C)</f>
        <v>630390</v>
      </c>
      <c r="H723" s="5">
        <f>VLOOKUP(D723,'2018_commission_structure'!$A$2:$I$4,9,FALSE)</f>
        <v>500000</v>
      </c>
      <c r="I723" s="9">
        <f t="shared" si="66"/>
        <v>625000</v>
      </c>
      <c r="J723" s="8">
        <f t="shared" si="67"/>
        <v>750000</v>
      </c>
      <c r="K723" s="9">
        <f t="shared" si="68"/>
        <v>1000000</v>
      </c>
      <c r="L723" s="10">
        <f t="shared" si="69"/>
        <v>1.26078</v>
      </c>
      <c r="M723" t="str">
        <f t="shared" si="70"/>
        <v>125-150%</v>
      </c>
      <c r="N723" s="9">
        <f>MIN(H723, G723)*INDEX('2018_commission_structure'!$A$1:$I$4,
MATCH($D723, '2018_commission_structure'!$A$1:$A$4,0),
MATCH(N$1, '2018_commission_structure'!$A$1:$I$1,0))</f>
        <v>50000</v>
      </c>
      <c r="O723" s="11">
        <f>IF(G723&gt;H723, MIN(G723-H723, I723-H723)*
INDEX('2018_commission_structure'!$A$1:$I$4,
MATCH($D723, '2018_commission_structure'!$A$1:$A$4, 0),
MATCH(O$1, '2018_commission_structure'!$A$1:$I$1, 0)), 0)</f>
        <v>18750</v>
      </c>
      <c r="P723" s="11">
        <f>IF(G723&gt;H723, MIN(G723-H723, J723-H723)*
INDEX('2018_commission_structure'!$A$1:$I$4,
MATCH($D723, '2018_commission_structure'!$A$1:$A$4, 0),
MATCH(O$1, '2018_commission_structure'!$A$1:$I$1, 0)), 0)</f>
        <v>19558.5</v>
      </c>
      <c r="Q723" s="11">
        <f>IF(G723&gt;H723, MIN(G723-H723, I723-H723)*
INDEX('2018_commission_structure'!$A$1:$I$4,
MATCH($D723, '2018_commission_structure'!$A$1:$A$4, 0),
MATCH(P$1, '2018_commission_structure'!$A$1:$I$1, 0)), 0)</f>
        <v>22500</v>
      </c>
      <c r="R723" s="11">
        <f>IF(G723&gt;K723, (G723-K723) *
INDEX('2018_commission_structure'!$A$1:$I$4,
MATCH($D723, '2018_commission_structure'!$A$1:$A$4,0),
MATCH(R$1, '2018_commission_structure'!$A$1:$I$1,0)), 0)</f>
        <v>0</v>
      </c>
      <c r="S723" s="11">
        <f t="shared" si="71"/>
        <v>60808.5</v>
      </c>
      <c r="T723" s="11" cm="1">
        <f t="array" ref="T723">SUM(E723+O723:Q723)</f>
        <v>180676.5</v>
      </c>
    </row>
    <row r="724" spans="1:20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 xml:space="preserve"> COUNTIF(deals_closed!D:D,A724)</f>
        <v>21</v>
      </c>
      <c r="G724" s="5">
        <f>SUMIF(deals_closed!D:D, calculations!A724, deals_closed!C:C)</f>
        <v>792341</v>
      </c>
      <c r="H724" s="5">
        <f>VLOOKUP(D724,'2018_commission_structure'!$A$2:$I$4,9,FALSE)</f>
        <v>500000</v>
      </c>
      <c r="I724" s="9">
        <f t="shared" si="66"/>
        <v>625000</v>
      </c>
      <c r="J724" s="8">
        <f t="shared" si="67"/>
        <v>750000</v>
      </c>
      <c r="K724" s="9">
        <f t="shared" si="68"/>
        <v>1000000</v>
      </c>
      <c r="L724" s="10">
        <f t="shared" si="69"/>
        <v>1.5846819999999999</v>
      </c>
      <c r="M724" t="str">
        <f t="shared" si="70"/>
        <v>150-200%</v>
      </c>
      <c r="N724" s="9">
        <f>MIN(H724, G724)*INDEX('2018_commission_structure'!$A$1:$I$4,
MATCH($D724, '2018_commission_structure'!$A$1:$A$4,0),
MATCH(N$1, '2018_commission_structure'!$A$1:$I$1,0))</f>
        <v>50000</v>
      </c>
      <c r="O724" s="11">
        <f>IF(G724&gt;H724, MIN(G724-H724, I724-H724)*
INDEX('2018_commission_structure'!$A$1:$I$4,
MATCH($D724, '2018_commission_structure'!$A$1:$A$4, 0),
MATCH(O$1, '2018_commission_structure'!$A$1:$I$1, 0)), 0)</f>
        <v>18750</v>
      </c>
      <c r="P724" s="11">
        <f>IF(G724&gt;H724, MIN(G724-H724, J724-H724)*
INDEX('2018_commission_structure'!$A$1:$I$4,
MATCH($D724, '2018_commission_structure'!$A$1:$A$4, 0),
MATCH(O$1, '2018_commission_structure'!$A$1:$I$1, 0)), 0)</f>
        <v>37500</v>
      </c>
      <c r="Q724" s="11">
        <f>IF(G724&gt;H724, MIN(G724-H724, I724-H724)*
INDEX('2018_commission_structure'!$A$1:$I$4,
MATCH($D724, '2018_commission_structure'!$A$1:$A$4, 0),
MATCH(P$1, '2018_commission_structure'!$A$1:$I$1, 0)), 0)</f>
        <v>22500</v>
      </c>
      <c r="R724" s="11">
        <f>IF(G724&gt;K724, (G724-K724) *
INDEX('2018_commission_structure'!$A$1:$I$4,
MATCH($D724, '2018_commission_structure'!$A$1:$A$4,0),
MATCH(R$1, '2018_commission_structure'!$A$1:$I$1,0)), 0)</f>
        <v>0</v>
      </c>
      <c r="S724" s="11">
        <f t="shared" si="71"/>
        <v>78750</v>
      </c>
      <c r="T724" s="11" cm="1">
        <f t="array" ref="T724">SUM(E724+O724:Q724)</f>
        <v>185265</v>
      </c>
    </row>
    <row r="725" spans="1:20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 xml:space="preserve"> COUNTIF(deals_closed!D:D,A725)</f>
        <v>11</v>
      </c>
      <c r="G725" s="5">
        <f>SUMIF(deals_closed!D:D, calculations!A725, deals_closed!C:C)</f>
        <v>290823</v>
      </c>
      <c r="H725" s="5">
        <f>VLOOKUP(D725,'2018_commission_structure'!$A$2:$I$4,9,FALSE)</f>
        <v>750000</v>
      </c>
      <c r="I725" s="9">
        <f t="shared" si="66"/>
        <v>937500</v>
      </c>
      <c r="J725" s="8">
        <f t="shared" si="67"/>
        <v>1125000</v>
      </c>
      <c r="K725" s="9">
        <f t="shared" si="68"/>
        <v>1500000</v>
      </c>
      <c r="L725" s="10">
        <f t="shared" si="69"/>
        <v>0.387764</v>
      </c>
      <c r="M725" t="str">
        <f t="shared" si="70"/>
        <v>0-100%</v>
      </c>
      <c r="N725" s="9">
        <f>MIN(H725, G725)*INDEX('2018_commission_structure'!$A$1:$I$4,
MATCH($D725, '2018_commission_structure'!$A$1:$A$4,0),
MATCH(N$1, '2018_commission_structure'!$A$1:$I$1,0))</f>
        <v>43623.45</v>
      </c>
      <c r="O725" s="11">
        <f>IF(G725&gt;H725, MIN(G725-H725, I725-H725)*
INDEX('2018_commission_structure'!$A$1:$I$4,
MATCH($D725, '2018_commission_structure'!$A$1:$A$4, 0),
MATCH(O$1, '2018_commission_structure'!$A$1:$I$1, 0)), 0)</f>
        <v>0</v>
      </c>
      <c r="P725" s="11">
        <f>IF(G725&gt;H725, MIN(G725-H725, J725-H725)*
INDEX('2018_commission_structure'!$A$1:$I$4,
MATCH($D725, '2018_commission_structure'!$A$1:$A$4, 0),
MATCH(O$1, '2018_commission_structure'!$A$1:$I$1, 0)), 0)</f>
        <v>0</v>
      </c>
      <c r="Q725" s="11">
        <f>IF(G725&gt;H725, MIN(G725-H725, I725-H725)*
INDEX('2018_commission_structure'!$A$1:$I$4,
MATCH($D725, '2018_commission_structure'!$A$1:$A$4, 0),
MATCH(P$1, '2018_commission_structure'!$A$1:$I$1, 0)), 0)</f>
        <v>0</v>
      </c>
      <c r="R725" s="11">
        <f>IF(G725&gt;K725, (G725-K725) *
INDEX('2018_commission_structure'!$A$1:$I$4,
MATCH($D725, '2018_commission_structure'!$A$1:$A$4,0),
MATCH(R$1, '2018_commission_structure'!$A$1:$I$1,0)), 0)</f>
        <v>0</v>
      </c>
      <c r="S725" s="11">
        <f t="shared" si="71"/>
        <v>0</v>
      </c>
      <c r="T725" s="11" cm="1">
        <f t="array" ref="T725">SUM(E725+O725:Q725)</f>
        <v>256221</v>
      </c>
    </row>
    <row r="726" spans="1:20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 xml:space="preserve"> COUNTIF(deals_closed!D:D,A726)</f>
        <v>17</v>
      </c>
      <c r="G726" s="5">
        <f>SUMIF(deals_closed!D:D, calculations!A726, deals_closed!C:C)</f>
        <v>691255</v>
      </c>
      <c r="H726" s="5">
        <f>VLOOKUP(D726,'2018_commission_structure'!$A$2:$I$4,9,FALSE)</f>
        <v>750000</v>
      </c>
      <c r="I726" s="9">
        <f t="shared" si="66"/>
        <v>937500</v>
      </c>
      <c r="J726" s="8">
        <f t="shared" si="67"/>
        <v>1125000</v>
      </c>
      <c r="K726" s="9">
        <f t="shared" si="68"/>
        <v>1500000</v>
      </c>
      <c r="L726" s="10">
        <f t="shared" si="69"/>
        <v>0.92167333333333334</v>
      </c>
      <c r="M726" t="str">
        <f t="shared" si="70"/>
        <v>0-100%</v>
      </c>
      <c r="N726" s="9">
        <f>MIN(H726, G726)*INDEX('2018_commission_structure'!$A$1:$I$4,
MATCH($D726, '2018_commission_structure'!$A$1:$A$4,0),
MATCH(N$1, '2018_commission_structure'!$A$1:$I$1,0))</f>
        <v>103688.25</v>
      </c>
      <c r="O726" s="11">
        <f>IF(G726&gt;H726, MIN(G726-H726, I726-H726)*
INDEX('2018_commission_structure'!$A$1:$I$4,
MATCH($D726, '2018_commission_structure'!$A$1:$A$4, 0),
MATCH(O$1, '2018_commission_structure'!$A$1:$I$1, 0)), 0)</f>
        <v>0</v>
      </c>
      <c r="P726" s="11">
        <f>IF(G726&gt;H726, MIN(G726-H726, J726-H726)*
INDEX('2018_commission_structure'!$A$1:$I$4,
MATCH($D726, '2018_commission_structure'!$A$1:$A$4, 0),
MATCH(O$1, '2018_commission_structure'!$A$1:$I$1, 0)), 0)</f>
        <v>0</v>
      </c>
      <c r="Q726" s="11">
        <f>IF(G726&gt;H726, MIN(G726-H726, I726-H726)*
INDEX('2018_commission_structure'!$A$1:$I$4,
MATCH($D726, '2018_commission_structure'!$A$1:$A$4, 0),
MATCH(P$1, '2018_commission_structure'!$A$1:$I$1, 0)), 0)</f>
        <v>0</v>
      </c>
      <c r="R726" s="11">
        <f>IF(G726&gt;K726, (G726-K726) *
INDEX('2018_commission_structure'!$A$1:$I$4,
MATCH($D726, '2018_commission_structure'!$A$1:$A$4,0),
MATCH(R$1, '2018_commission_structure'!$A$1:$I$1,0)), 0)</f>
        <v>0</v>
      </c>
      <c r="S726" s="11">
        <f t="shared" si="71"/>
        <v>0</v>
      </c>
      <c r="T726" s="11" cm="1">
        <f t="array" ref="T726">SUM(E726+O726:Q726)</f>
        <v>296682</v>
      </c>
    </row>
    <row r="727" spans="1:20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 xml:space="preserve"> COUNTIF(deals_closed!D:D,A727)</f>
        <v>24</v>
      </c>
      <c r="G727" s="5">
        <f>SUMIF(deals_closed!D:D, calculations!A727, deals_closed!C:C)</f>
        <v>833601</v>
      </c>
      <c r="H727" s="5">
        <f>VLOOKUP(D727,'2018_commission_structure'!$A$2:$I$4,9,FALSE)</f>
        <v>600000</v>
      </c>
      <c r="I727" s="9">
        <f t="shared" si="66"/>
        <v>750000</v>
      </c>
      <c r="J727" s="8">
        <f t="shared" si="67"/>
        <v>900000</v>
      </c>
      <c r="K727" s="9">
        <f t="shared" si="68"/>
        <v>1200000</v>
      </c>
      <c r="L727" s="10">
        <f t="shared" si="69"/>
        <v>1.389335</v>
      </c>
      <c r="M727" t="str">
        <f t="shared" si="70"/>
        <v>125-150%</v>
      </c>
      <c r="N727" s="9">
        <f>MIN(H727, G727)*INDEX('2018_commission_structure'!$A$1:$I$4,
MATCH($D727, '2018_commission_structure'!$A$1:$A$4,0),
MATCH(N$1, '2018_commission_structure'!$A$1:$I$1,0))</f>
        <v>78000</v>
      </c>
      <c r="O727" s="11">
        <f>IF(G727&gt;H727, MIN(G727-H727, I727-H727)*
INDEX('2018_commission_structure'!$A$1:$I$4,
MATCH($D727, '2018_commission_structure'!$A$1:$A$4, 0),
MATCH(O$1, '2018_commission_structure'!$A$1:$I$1, 0)), 0)</f>
        <v>25500.000000000004</v>
      </c>
      <c r="P727" s="11">
        <f>IF(G727&gt;H727, MIN(G727-H727, J727-H727)*
INDEX('2018_commission_structure'!$A$1:$I$4,
MATCH($D727, '2018_commission_structure'!$A$1:$A$4, 0),
MATCH(O$1, '2018_commission_structure'!$A$1:$I$1, 0)), 0)</f>
        <v>39712.170000000006</v>
      </c>
      <c r="Q727" s="11">
        <f>IF(G727&gt;H727, MIN(G727-H727, I727-H727)*
INDEX('2018_commission_structure'!$A$1:$I$4,
MATCH($D727, '2018_commission_structure'!$A$1:$A$4, 0),
MATCH(P$1, '2018_commission_structure'!$A$1:$I$1, 0)), 0)</f>
        <v>31500</v>
      </c>
      <c r="R727" s="11">
        <f>IF(G727&gt;K727, (G727-K727) *
INDEX('2018_commission_structure'!$A$1:$I$4,
MATCH($D727, '2018_commission_structure'!$A$1:$A$4,0),
MATCH(R$1, '2018_commission_structure'!$A$1:$I$1,0)), 0)</f>
        <v>0</v>
      </c>
      <c r="S727" s="11">
        <f t="shared" si="71"/>
        <v>96712.170000000013</v>
      </c>
      <c r="T727" s="11" cm="1">
        <f t="array" ref="T727">SUM(E727+O727:Q727)</f>
        <v>296581.17000000004</v>
      </c>
    </row>
    <row r="728" spans="1:20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 xml:space="preserve"> COUNTIF(deals_closed!D:D,A728)</f>
        <v>23</v>
      </c>
      <c r="G728" s="5">
        <f>SUMIF(deals_closed!D:D, calculations!A728, deals_closed!C:C)</f>
        <v>857724</v>
      </c>
      <c r="H728" s="5">
        <f>VLOOKUP(D728,'2018_commission_structure'!$A$2:$I$4,9,FALSE)</f>
        <v>750000</v>
      </c>
      <c r="I728" s="9">
        <f t="shared" si="66"/>
        <v>937500</v>
      </c>
      <c r="J728" s="8">
        <f t="shared" si="67"/>
        <v>1125000</v>
      </c>
      <c r="K728" s="9">
        <f t="shared" si="68"/>
        <v>1500000</v>
      </c>
      <c r="L728" s="10">
        <f t="shared" si="69"/>
        <v>1.143632</v>
      </c>
      <c r="M728" t="str">
        <f t="shared" si="70"/>
        <v>100-125%</v>
      </c>
      <c r="N728" s="9">
        <f>MIN(H728, G728)*INDEX('2018_commission_structure'!$A$1:$I$4,
MATCH($D728, '2018_commission_structure'!$A$1:$A$4,0),
MATCH(N$1, '2018_commission_structure'!$A$1:$I$1,0))</f>
        <v>112500</v>
      </c>
      <c r="O728" s="11">
        <f>IF(G728&gt;H728, MIN(G728-H728, I728-H728)*
INDEX('2018_commission_structure'!$A$1:$I$4,
MATCH($D728, '2018_commission_structure'!$A$1:$A$4, 0),
MATCH(O$1, '2018_commission_structure'!$A$1:$I$1, 0)), 0)</f>
        <v>20467.560000000001</v>
      </c>
      <c r="P728" s="11">
        <f>IF(G728&gt;H728, MIN(G728-H728, J728-H728)*
INDEX('2018_commission_structure'!$A$1:$I$4,
MATCH($D728, '2018_commission_structure'!$A$1:$A$4, 0),
MATCH(O$1, '2018_commission_structure'!$A$1:$I$1, 0)), 0)</f>
        <v>20467.560000000001</v>
      </c>
      <c r="Q728" s="11">
        <f>IF(G728&gt;H728, MIN(G728-H728, I728-H728)*
INDEX('2018_commission_structure'!$A$1:$I$4,
MATCH($D728, '2018_commission_structure'!$A$1:$A$4, 0),
MATCH(P$1, '2018_commission_structure'!$A$1:$I$1, 0)), 0)</f>
        <v>24776.52</v>
      </c>
      <c r="R728" s="11">
        <f>IF(G728&gt;K728, (G728-K728) *
INDEX('2018_commission_structure'!$A$1:$I$4,
MATCH($D728, '2018_commission_structure'!$A$1:$A$4,0),
MATCH(R$1, '2018_commission_structure'!$A$1:$I$1,0)), 0)</f>
        <v>0</v>
      </c>
      <c r="S728" s="11">
        <f t="shared" si="71"/>
        <v>65711.64</v>
      </c>
      <c r="T728" s="11" cm="1">
        <f t="array" ref="T728">SUM(E728+O728:Q728)</f>
        <v>334040.64</v>
      </c>
    </row>
    <row r="729" spans="1:20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 xml:space="preserve"> COUNTIF(deals_closed!D:D,A729)</f>
        <v>22</v>
      </c>
      <c r="G729" s="5">
        <f>SUMIF(deals_closed!D:D, calculations!A729, deals_closed!C:C)</f>
        <v>606785</v>
      </c>
      <c r="H729" s="5">
        <f>VLOOKUP(D729,'2018_commission_structure'!$A$2:$I$4,9,FALSE)</f>
        <v>500000</v>
      </c>
      <c r="I729" s="9">
        <f t="shared" si="66"/>
        <v>625000</v>
      </c>
      <c r="J729" s="8">
        <f t="shared" si="67"/>
        <v>750000</v>
      </c>
      <c r="K729" s="9">
        <f t="shared" si="68"/>
        <v>1000000</v>
      </c>
      <c r="L729" s="10">
        <f t="shared" si="69"/>
        <v>1.21357</v>
      </c>
      <c r="M729" t="str">
        <f t="shared" si="70"/>
        <v>100-125%</v>
      </c>
      <c r="N729" s="9">
        <f>MIN(H729, G729)*INDEX('2018_commission_structure'!$A$1:$I$4,
MATCH($D729, '2018_commission_structure'!$A$1:$A$4,0),
MATCH(N$1, '2018_commission_structure'!$A$1:$I$1,0))</f>
        <v>50000</v>
      </c>
      <c r="O729" s="11">
        <f>IF(G729&gt;H729, MIN(G729-H729, I729-H729)*
INDEX('2018_commission_structure'!$A$1:$I$4,
MATCH($D729, '2018_commission_structure'!$A$1:$A$4, 0),
MATCH(O$1, '2018_commission_structure'!$A$1:$I$1, 0)), 0)</f>
        <v>16017.75</v>
      </c>
      <c r="P729" s="11">
        <f>IF(G729&gt;H729, MIN(G729-H729, J729-H729)*
INDEX('2018_commission_structure'!$A$1:$I$4,
MATCH($D729, '2018_commission_structure'!$A$1:$A$4, 0),
MATCH(O$1, '2018_commission_structure'!$A$1:$I$1, 0)), 0)</f>
        <v>16017.75</v>
      </c>
      <c r="Q729" s="11">
        <f>IF(G729&gt;H729, MIN(G729-H729, I729-H729)*
INDEX('2018_commission_structure'!$A$1:$I$4,
MATCH($D729, '2018_commission_structure'!$A$1:$A$4, 0),
MATCH(P$1, '2018_commission_structure'!$A$1:$I$1, 0)), 0)</f>
        <v>19221.3</v>
      </c>
      <c r="R729" s="11">
        <f>IF(G729&gt;K729, (G729-K729) *
INDEX('2018_commission_structure'!$A$1:$I$4,
MATCH($D729, '2018_commission_structure'!$A$1:$A$4,0),
MATCH(R$1, '2018_commission_structure'!$A$1:$I$1,0)), 0)</f>
        <v>0</v>
      </c>
      <c r="S729" s="11">
        <f t="shared" si="71"/>
        <v>51256.800000000003</v>
      </c>
      <c r="T729" s="11" cm="1">
        <f t="array" ref="T729">SUM(E729+O729:Q729)</f>
        <v>195904.8</v>
      </c>
    </row>
    <row r="730" spans="1:20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 xml:space="preserve"> COUNTIF(deals_closed!D:D,A730)</f>
        <v>15</v>
      </c>
      <c r="G730" s="5">
        <f>SUMIF(deals_closed!D:D, calculations!A730, deals_closed!C:C)</f>
        <v>450041</v>
      </c>
      <c r="H730" s="5">
        <f>VLOOKUP(D730,'2018_commission_structure'!$A$2:$I$4,9,FALSE)</f>
        <v>750000</v>
      </c>
      <c r="I730" s="9">
        <f t="shared" si="66"/>
        <v>937500</v>
      </c>
      <c r="J730" s="8">
        <f t="shared" si="67"/>
        <v>1125000</v>
      </c>
      <c r="K730" s="9">
        <f t="shared" si="68"/>
        <v>1500000</v>
      </c>
      <c r="L730" s="10">
        <f t="shared" si="69"/>
        <v>0.60005466666666663</v>
      </c>
      <c r="M730" t="str">
        <f t="shared" si="70"/>
        <v>0-100%</v>
      </c>
      <c r="N730" s="9">
        <f>MIN(H730, G730)*INDEX('2018_commission_structure'!$A$1:$I$4,
MATCH($D730, '2018_commission_structure'!$A$1:$A$4,0),
MATCH(N$1, '2018_commission_structure'!$A$1:$I$1,0))</f>
        <v>67506.149999999994</v>
      </c>
      <c r="O730" s="11">
        <f>IF(G730&gt;H730, MIN(G730-H730, I730-H730)*
INDEX('2018_commission_structure'!$A$1:$I$4,
MATCH($D730, '2018_commission_structure'!$A$1:$A$4, 0),
MATCH(O$1, '2018_commission_structure'!$A$1:$I$1, 0)), 0)</f>
        <v>0</v>
      </c>
      <c r="P730" s="11">
        <f>IF(G730&gt;H730, MIN(G730-H730, J730-H730)*
INDEX('2018_commission_structure'!$A$1:$I$4,
MATCH($D730, '2018_commission_structure'!$A$1:$A$4, 0),
MATCH(O$1, '2018_commission_structure'!$A$1:$I$1, 0)), 0)</f>
        <v>0</v>
      </c>
      <c r="Q730" s="11">
        <f>IF(G730&gt;H730, MIN(G730-H730, I730-H730)*
INDEX('2018_commission_structure'!$A$1:$I$4,
MATCH($D730, '2018_commission_structure'!$A$1:$A$4, 0),
MATCH(P$1, '2018_commission_structure'!$A$1:$I$1, 0)), 0)</f>
        <v>0</v>
      </c>
      <c r="R730" s="11">
        <f>IF(G730&gt;K730, (G730-K730) *
INDEX('2018_commission_structure'!$A$1:$I$4,
MATCH($D730, '2018_commission_structure'!$A$1:$A$4,0),
MATCH(R$1, '2018_commission_structure'!$A$1:$I$1,0)), 0)</f>
        <v>0</v>
      </c>
      <c r="S730" s="11">
        <f t="shared" si="71"/>
        <v>0</v>
      </c>
      <c r="T730" s="11" cm="1">
        <f t="array" ref="T730">SUM(E730+O730:Q730)</f>
        <v>233385</v>
      </c>
    </row>
    <row r="731" spans="1:20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 xml:space="preserve"> COUNTIF(deals_closed!D:D,A731)</f>
        <v>22</v>
      </c>
      <c r="G731" s="5">
        <f>SUMIF(deals_closed!D:D, calculations!A731, deals_closed!C:C)</f>
        <v>690813</v>
      </c>
      <c r="H731" s="5">
        <f>VLOOKUP(D731,'2018_commission_structure'!$A$2:$I$4,9,FALSE)</f>
        <v>600000</v>
      </c>
      <c r="I731" s="9">
        <f t="shared" si="66"/>
        <v>750000</v>
      </c>
      <c r="J731" s="8">
        <f t="shared" si="67"/>
        <v>900000</v>
      </c>
      <c r="K731" s="9">
        <f t="shared" si="68"/>
        <v>1200000</v>
      </c>
      <c r="L731" s="10">
        <f t="shared" si="69"/>
        <v>1.1513549999999999</v>
      </c>
      <c r="M731" t="str">
        <f t="shared" si="70"/>
        <v>100-125%</v>
      </c>
      <c r="N731" s="9">
        <f>MIN(H731, G731)*INDEX('2018_commission_structure'!$A$1:$I$4,
MATCH($D731, '2018_commission_structure'!$A$1:$A$4,0),
MATCH(N$1, '2018_commission_structure'!$A$1:$I$1,0))</f>
        <v>78000</v>
      </c>
      <c r="O731" s="11">
        <f>IF(G731&gt;H731, MIN(G731-H731, I731-H731)*
INDEX('2018_commission_structure'!$A$1:$I$4,
MATCH($D731, '2018_commission_structure'!$A$1:$A$4, 0),
MATCH(O$1, '2018_commission_structure'!$A$1:$I$1, 0)), 0)</f>
        <v>15438.210000000001</v>
      </c>
      <c r="P731" s="11">
        <f>IF(G731&gt;H731, MIN(G731-H731, J731-H731)*
INDEX('2018_commission_structure'!$A$1:$I$4,
MATCH($D731, '2018_commission_structure'!$A$1:$A$4, 0),
MATCH(O$1, '2018_commission_structure'!$A$1:$I$1, 0)), 0)</f>
        <v>15438.210000000001</v>
      </c>
      <c r="Q731" s="11">
        <f>IF(G731&gt;H731, MIN(G731-H731, I731-H731)*
INDEX('2018_commission_structure'!$A$1:$I$4,
MATCH($D731, '2018_commission_structure'!$A$1:$A$4, 0),
MATCH(P$1, '2018_commission_structure'!$A$1:$I$1, 0)), 0)</f>
        <v>19070.73</v>
      </c>
      <c r="R731" s="11">
        <f>IF(G731&gt;K731, (G731-K731) *
INDEX('2018_commission_structure'!$A$1:$I$4,
MATCH($D731, '2018_commission_structure'!$A$1:$A$4,0),
MATCH(R$1, '2018_commission_structure'!$A$1:$I$1,0)), 0)</f>
        <v>0</v>
      </c>
      <c r="S731" s="11">
        <f t="shared" si="71"/>
        <v>49947.15</v>
      </c>
      <c r="T731" s="11" cm="1">
        <f t="array" ref="T731">SUM(E731+O731:Q731)</f>
        <v>246657.15000000002</v>
      </c>
    </row>
    <row r="732" spans="1:20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 xml:space="preserve"> COUNTIF(deals_closed!D:D,A732)</f>
        <v>23</v>
      </c>
      <c r="G732" s="5">
        <f>SUMIF(deals_closed!D:D, calculations!A732, deals_closed!C:C)</f>
        <v>826017</v>
      </c>
      <c r="H732" s="5">
        <f>VLOOKUP(D732,'2018_commission_structure'!$A$2:$I$4,9,FALSE)</f>
        <v>500000</v>
      </c>
      <c r="I732" s="9">
        <f t="shared" si="66"/>
        <v>625000</v>
      </c>
      <c r="J732" s="8">
        <f t="shared" si="67"/>
        <v>750000</v>
      </c>
      <c r="K732" s="9">
        <f t="shared" si="68"/>
        <v>1000000</v>
      </c>
      <c r="L732" s="10">
        <f t="shared" si="69"/>
        <v>1.652034</v>
      </c>
      <c r="M732" t="str">
        <f t="shared" si="70"/>
        <v>150-200%</v>
      </c>
      <c r="N732" s="9">
        <f>MIN(H732, G732)*INDEX('2018_commission_structure'!$A$1:$I$4,
MATCH($D732, '2018_commission_structure'!$A$1:$A$4,0),
MATCH(N$1, '2018_commission_structure'!$A$1:$I$1,0))</f>
        <v>50000</v>
      </c>
      <c r="O732" s="11">
        <f>IF(G732&gt;H732, MIN(G732-H732, I732-H732)*
INDEX('2018_commission_structure'!$A$1:$I$4,
MATCH($D732, '2018_commission_structure'!$A$1:$A$4, 0),
MATCH(O$1, '2018_commission_structure'!$A$1:$I$1, 0)), 0)</f>
        <v>18750</v>
      </c>
      <c r="P732" s="11">
        <f>IF(G732&gt;H732, MIN(G732-H732, J732-H732)*
INDEX('2018_commission_structure'!$A$1:$I$4,
MATCH($D732, '2018_commission_structure'!$A$1:$A$4, 0),
MATCH(O$1, '2018_commission_structure'!$A$1:$I$1, 0)), 0)</f>
        <v>37500</v>
      </c>
      <c r="Q732" s="11">
        <f>IF(G732&gt;H732, MIN(G732-H732, I732-H732)*
INDEX('2018_commission_structure'!$A$1:$I$4,
MATCH($D732, '2018_commission_structure'!$A$1:$A$4, 0),
MATCH(P$1, '2018_commission_structure'!$A$1:$I$1, 0)), 0)</f>
        <v>22500</v>
      </c>
      <c r="R732" s="11">
        <f>IF(G732&gt;K732, (G732-K732) *
INDEX('2018_commission_structure'!$A$1:$I$4,
MATCH($D732, '2018_commission_structure'!$A$1:$A$4,0),
MATCH(R$1, '2018_commission_structure'!$A$1:$I$1,0)), 0)</f>
        <v>0</v>
      </c>
      <c r="S732" s="11">
        <f t="shared" si="71"/>
        <v>78750</v>
      </c>
      <c r="T732" s="11" cm="1">
        <f t="array" ref="T732">SUM(E732+O732:Q732)</f>
        <v>252630</v>
      </c>
    </row>
    <row r="733" spans="1:20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 xml:space="preserve"> COUNTIF(deals_closed!D:D,A733)</f>
        <v>17</v>
      </c>
      <c r="G733" s="5">
        <f>SUMIF(deals_closed!D:D, calculations!A733, deals_closed!C:C)</f>
        <v>594518</v>
      </c>
      <c r="H733" s="5">
        <f>VLOOKUP(D733,'2018_commission_structure'!$A$2:$I$4,9,FALSE)</f>
        <v>600000</v>
      </c>
      <c r="I733" s="9">
        <f t="shared" si="66"/>
        <v>750000</v>
      </c>
      <c r="J733" s="8">
        <f t="shared" si="67"/>
        <v>900000</v>
      </c>
      <c r="K733" s="9">
        <f t="shared" si="68"/>
        <v>1200000</v>
      </c>
      <c r="L733" s="10">
        <f t="shared" si="69"/>
        <v>0.99086333333333332</v>
      </c>
      <c r="M733" t="str">
        <f t="shared" si="70"/>
        <v>0-100%</v>
      </c>
      <c r="N733" s="9">
        <f>MIN(H733, G733)*INDEX('2018_commission_structure'!$A$1:$I$4,
MATCH($D733, '2018_commission_structure'!$A$1:$A$4,0),
MATCH(N$1, '2018_commission_structure'!$A$1:$I$1,0))</f>
        <v>77287.34</v>
      </c>
      <c r="O733" s="11">
        <f>IF(G733&gt;H733, MIN(G733-H733, I733-H733)*
INDEX('2018_commission_structure'!$A$1:$I$4,
MATCH($D733, '2018_commission_structure'!$A$1:$A$4, 0),
MATCH(O$1, '2018_commission_structure'!$A$1:$I$1, 0)), 0)</f>
        <v>0</v>
      </c>
      <c r="P733" s="11">
        <f>IF(G733&gt;H733, MIN(G733-H733, J733-H733)*
INDEX('2018_commission_structure'!$A$1:$I$4,
MATCH($D733, '2018_commission_structure'!$A$1:$A$4, 0),
MATCH(O$1, '2018_commission_structure'!$A$1:$I$1, 0)), 0)</f>
        <v>0</v>
      </c>
      <c r="Q733" s="11">
        <f>IF(G733&gt;H733, MIN(G733-H733, I733-H733)*
INDEX('2018_commission_structure'!$A$1:$I$4,
MATCH($D733, '2018_commission_structure'!$A$1:$A$4, 0),
MATCH(P$1, '2018_commission_structure'!$A$1:$I$1, 0)), 0)</f>
        <v>0</v>
      </c>
      <c r="R733" s="11">
        <f>IF(G733&gt;K733, (G733-K733) *
INDEX('2018_commission_structure'!$A$1:$I$4,
MATCH($D733, '2018_commission_structure'!$A$1:$A$4,0),
MATCH(R$1, '2018_commission_structure'!$A$1:$I$1,0)), 0)</f>
        <v>0</v>
      </c>
      <c r="S733" s="11">
        <f t="shared" si="71"/>
        <v>0</v>
      </c>
      <c r="T733" s="11" cm="1">
        <f t="array" ref="T733">SUM(E733+O733:Q733)</f>
        <v>204858</v>
      </c>
    </row>
    <row r="734" spans="1:20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 xml:space="preserve"> COUNTIF(deals_closed!D:D,A734)</f>
        <v>18</v>
      </c>
      <c r="G734" s="5">
        <f>SUMIF(deals_closed!D:D, calculations!A734, deals_closed!C:C)</f>
        <v>567584</v>
      </c>
      <c r="H734" s="5">
        <f>VLOOKUP(D734,'2018_commission_structure'!$A$2:$I$4,9,FALSE)</f>
        <v>500000</v>
      </c>
      <c r="I734" s="9">
        <f t="shared" si="66"/>
        <v>625000</v>
      </c>
      <c r="J734" s="8">
        <f t="shared" si="67"/>
        <v>750000</v>
      </c>
      <c r="K734" s="9">
        <f t="shared" si="68"/>
        <v>1000000</v>
      </c>
      <c r="L734" s="10">
        <f t="shared" si="69"/>
        <v>1.135168</v>
      </c>
      <c r="M734" t="str">
        <f t="shared" si="70"/>
        <v>100-125%</v>
      </c>
      <c r="N734" s="9">
        <f>MIN(H734, G734)*INDEX('2018_commission_structure'!$A$1:$I$4,
MATCH($D734, '2018_commission_structure'!$A$1:$A$4,0),
MATCH(N$1, '2018_commission_structure'!$A$1:$I$1,0))</f>
        <v>50000</v>
      </c>
      <c r="O734" s="11">
        <f>IF(G734&gt;H734, MIN(G734-H734, I734-H734)*
INDEX('2018_commission_structure'!$A$1:$I$4,
MATCH($D734, '2018_commission_structure'!$A$1:$A$4, 0),
MATCH(O$1, '2018_commission_structure'!$A$1:$I$1, 0)), 0)</f>
        <v>10137.6</v>
      </c>
      <c r="P734" s="11">
        <f>IF(G734&gt;H734, MIN(G734-H734, J734-H734)*
INDEX('2018_commission_structure'!$A$1:$I$4,
MATCH($D734, '2018_commission_structure'!$A$1:$A$4, 0),
MATCH(O$1, '2018_commission_structure'!$A$1:$I$1, 0)), 0)</f>
        <v>10137.6</v>
      </c>
      <c r="Q734" s="11">
        <f>IF(G734&gt;H734, MIN(G734-H734, I734-H734)*
INDEX('2018_commission_structure'!$A$1:$I$4,
MATCH($D734, '2018_commission_structure'!$A$1:$A$4, 0),
MATCH(P$1, '2018_commission_structure'!$A$1:$I$1, 0)), 0)</f>
        <v>12165.119999999999</v>
      </c>
      <c r="R734" s="11">
        <f>IF(G734&gt;K734, (G734-K734) *
INDEX('2018_commission_structure'!$A$1:$I$4,
MATCH($D734, '2018_commission_structure'!$A$1:$A$4,0),
MATCH(R$1, '2018_commission_structure'!$A$1:$I$1,0)), 0)</f>
        <v>0</v>
      </c>
      <c r="S734" s="11">
        <f t="shared" si="71"/>
        <v>32440.32</v>
      </c>
      <c r="T734" s="11" cm="1">
        <f t="array" ref="T734">SUM(E734+O734:Q734)</f>
        <v>140950.32</v>
      </c>
    </row>
    <row r="735" spans="1:20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 xml:space="preserve"> COUNTIF(deals_closed!D:D,A735)</f>
        <v>16</v>
      </c>
      <c r="G735" s="5">
        <f>SUMIF(deals_closed!D:D, calculations!A735, deals_closed!C:C)</f>
        <v>612398</v>
      </c>
      <c r="H735" s="5">
        <f>VLOOKUP(D735,'2018_commission_structure'!$A$2:$I$4,9,FALSE)</f>
        <v>600000</v>
      </c>
      <c r="I735" s="9">
        <f t="shared" si="66"/>
        <v>750000</v>
      </c>
      <c r="J735" s="8">
        <f t="shared" si="67"/>
        <v>900000</v>
      </c>
      <c r="K735" s="9">
        <f t="shared" si="68"/>
        <v>1200000</v>
      </c>
      <c r="L735" s="10">
        <f t="shared" si="69"/>
        <v>1.0206633333333333</v>
      </c>
      <c r="M735" t="str">
        <f t="shared" si="70"/>
        <v>100-125%</v>
      </c>
      <c r="N735" s="9">
        <f>MIN(H735, G735)*INDEX('2018_commission_structure'!$A$1:$I$4,
MATCH($D735, '2018_commission_structure'!$A$1:$A$4,0),
MATCH(N$1, '2018_commission_structure'!$A$1:$I$1,0))</f>
        <v>78000</v>
      </c>
      <c r="O735" s="11">
        <f>IF(G735&gt;H735, MIN(G735-H735, I735-H735)*
INDEX('2018_commission_structure'!$A$1:$I$4,
MATCH($D735, '2018_commission_structure'!$A$1:$A$4, 0),
MATCH(O$1, '2018_commission_structure'!$A$1:$I$1, 0)), 0)</f>
        <v>2107.6600000000003</v>
      </c>
      <c r="P735" s="11">
        <f>IF(G735&gt;H735, MIN(G735-H735, J735-H735)*
INDEX('2018_commission_structure'!$A$1:$I$4,
MATCH($D735, '2018_commission_structure'!$A$1:$A$4, 0),
MATCH(O$1, '2018_commission_structure'!$A$1:$I$1, 0)), 0)</f>
        <v>2107.6600000000003</v>
      </c>
      <c r="Q735" s="11">
        <f>IF(G735&gt;H735, MIN(G735-H735, I735-H735)*
INDEX('2018_commission_structure'!$A$1:$I$4,
MATCH($D735, '2018_commission_structure'!$A$1:$A$4, 0),
MATCH(P$1, '2018_commission_structure'!$A$1:$I$1, 0)), 0)</f>
        <v>2603.58</v>
      </c>
      <c r="R735" s="11">
        <f>IF(G735&gt;K735, (G735-K735) *
INDEX('2018_commission_structure'!$A$1:$I$4,
MATCH($D735, '2018_commission_structure'!$A$1:$A$4,0),
MATCH(R$1, '2018_commission_structure'!$A$1:$I$1,0)), 0)</f>
        <v>0</v>
      </c>
      <c r="S735" s="11">
        <f t="shared" si="71"/>
        <v>6818.9000000000005</v>
      </c>
      <c r="T735" s="11" cm="1">
        <f t="array" ref="T735">SUM(E735+O735:Q735)</f>
        <v>237908.90000000002</v>
      </c>
    </row>
    <row r="736" spans="1:20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 xml:space="preserve"> COUNTIF(deals_closed!D:D,A736)</f>
        <v>25</v>
      </c>
      <c r="G736" s="5">
        <f>SUMIF(deals_closed!D:D, calculations!A736, deals_closed!C:C)</f>
        <v>795363</v>
      </c>
      <c r="H736" s="5">
        <f>VLOOKUP(D736,'2018_commission_structure'!$A$2:$I$4,9,FALSE)</f>
        <v>750000</v>
      </c>
      <c r="I736" s="9">
        <f t="shared" si="66"/>
        <v>937500</v>
      </c>
      <c r="J736" s="8">
        <f t="shared" si="67"/>
        <v>1125000</v>
      </c>
      <c r="K736" s="9">
        <f t="shared" si="68"/>
        <v>1500000</v>
      </c>
      <c r="L736" s="10">
        <f t="shared" si="69"/>
        <v>1.060484</v>
      </c>
      <c r="M736" t="str">
        <f t="shared" si="70"/>
        <v>100-125%</v>
      </c>
      <c r="N736" s="9">
        <f>MIN(H736, G736)*INDEX('2018_commission_structure'!$A$1:$I$4,
MATCH($D736, '2018_commission_structure'!$A$1:$A$4,0),
MATCH(N$1, '2018_commission_structure'!$A$1:$I$1,0))</f>
        <v>112500</v>
      </c>
      <c r="O736" s="11">
        <f>IF(G736&gt;H736, MIN(G736-H736, I736-H736)*
INDEX('2018_commission_structure'!$A$1:$I$4,
MATCH($D736, '2018_commission_structure'!$A$1:$A$4, 0),
MATCH(O$1, '2018_commission_structure'!$A$1:$I$1, 0)), 0)</f>
        <v>8618.9699999999993</v>
      </c>
      <c r="P736" s="11">
        <f>IF(G736&gt;H736, MIN(G736-H736, J736-H736)*
INDEX('2018_commission_structure'!$A$1:$I$4,
MATCH($D736, '2018_commission_structure'!$A$1:$A$4, 0),
MATCH(O$1, '2018_commission_structure'!$A$1:$I$1, 0)), 0)</f>
        <v>8618.9699999999993</v>
      </c>
      <c r="Q736" s="11">
        <f>IF(G736&gt;H736, MIN(G736-H736, I736-H736)*
INDEX('2018_commission_structure'!$A$1:$I$4,
MATCH($D736, '2018_commission_structure'!$A$1:$A$4, 0),
MATCH(P$1, '2018_commission_structure'!$A$1:$I$1, 0)), 0)</f>
        <v>10433.49</v>
      </c>
      <c r="R736" s="11">
        <f>IF(G736&gt;K736, (G736-K736) *
INDEX('2018_commission_structure'!$A$1:$I$4,
MATCH($D736, '2018_commission_structure'!$A$1:$A$4,0),
MATCH(R$1, '2018_commission_structure'!$A$1:$I$1,0)), 0)</f>
        <v>0</v>
      </c>
      <c r="S736" s="11">
        <f t="shared" si="71"/>
        <v>27671.43</v>
      </c>
      <c r="T736" s="11" cm="1">
        <f t="array" ref="T736">SUM(E736+O736:Q736)</f>
        <v>337274.43</v>
      </c>
    </row>
    <row r="737" spans="1:20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 xml:space="preserve"> COUNTIF(deals_closed!D:D,A737)</f>
        <v>17</v>
      </c>
      <c r="G737" s="5">
        <f>SUMIF(deals_closed!D:D, calculations!A737, deals_closed!C:C)</f>
        <v>543073</v>
      </c>
      <c r="H737" s="5">
        <f>VLOOKUP(D737,'2018_commission_structure'!$A$2:$I$4,9,FALSE)</f>
        <v>500000</v>
      </c>
      <c r="I737" s="9">
        <f t="shared" si="66"/>
        <v>625000</v>
      </c>
      <c r="J737" s="8">
        <f t="shared" si="67"/>
        <v>750000</v>
      </c>
      <c r="K737" s="9">
        <f t="shared" si="68"/>
        <v>1000000</v>
      </c>
      <c r="L737" s="10">
        <f t="shared" si="69"/>
        <v>1.0861460000000001</v>
      </c>
      <c r="M737" t="str">
        <f t="shared" si="70"/>
        <v>100-125%</v>
      </c>
      <c r="N737" s="9">
        <f>MIN(H737, G737)*INDEX('2018_commission_structure'!$A$1:$I$4,
MATCH($D737, '2018_commission_structure'!$A$1:$A$4,0),
MATCH(N$1, '2018_commission_structure'!$A$1:$I$1,0))</f>
        <v>50000</v>
      </c>
      <c r="O737" s="11">
        <f>IF(G737&gt;H737, MIN(G737-H737, I737-H737)*
INDEX('2018_commission_structure'!$A$1:$I$4,
MATCH($D737, '2018_commission_structure'!$A$1:$A$4, 0),
MATCH(O$1, '2018_commission_structure'!$A$1:$I$1, 0)), 0)</f>
        <v>6460.95</v>
      </c>
      <c r="P737" s="11">
        <f>IF(G737&gt;H737, MIN(G737-H737, J737-H737)*
INDEX('2018_commission_structure'!$A$1:$I$4,
MATCH($D737, '2018_commission_structure'!$A$1:$A$4, 0),
MATCH(O$1, '2018_commission_structure'!$A$1:$I$1, 0)), 0)</f>
        <v>6460.95</v>
      </c>
      <c r="Q737" s="11">
        <f>IF(G737&gt;H737, MIN(G737-H737, I737-H737)*
INDEX('2018_commission_structure'!$A$1:$I$4,
MATCH($D737, '2018_commission_structure'!$A$1:$A$4, 0),
MATCH(P$1, '2018_commission_structure'!$A$1:$I$1, 0)), 0)</f>
        <v>7753.1399999999994</v>
      </c>
      <c r="R737" s="11">
        <f>IF(G737&gt;K737, (G737-K737) *
INDEX('2018_commission_structure'!$A$1:$I$4,
MATCH($D737, '2018_commission_structure'!$A$1:$A$4,0),
MATCH(R$1, '2018_commission_structure'!$A$1:$I$1,0)), 0)</f>
        <v>0</v>
      </c>
      <c r="S737" s="11">
        <f t="shared" si="71"/>
        <v>20675.04</v>
      </c>
      <c r="T737" s="11" cm="1">
        <f t="array" ref="T737">SUM(E737+O737:Q737)</f>
        <v>169187.03999999998</v>
      </c>
    </row>
    <row r="738" spans="1:20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 xml:space="preserve"> COUNTIF(deals_closed!D:D,A738)</f>
        <v>22</v>
      </c>
      <c r="G738" s="5">
        <f>SUMIF(deals_closed!D:D, calculations!A738, deals_closed!C:C)</f>
        <v>737282</v>
      </c>
      <c r="H738" s="5">
        <f>VLOOKUP(D738,'2018_commission_structure'!$A$2:$I$4,9,FALSE)</f>
        <v>600000</v>
      </c>
      <c r="I738" s="9">
        <f t="shared" si="66"/>
        <v>750000</v>
      </c>
      <c r="J738" s="8">
        <f t="shared" si="67"/>
        <v>900000</v>
      </c>
      <c r="K738" s="9">
        <f t="shared" si="68"/>
        <v>1200000</v>
      </c>
      <c r="L738" s="10">
        <f t="shared" si="69"/>
        <v>1.2288033333333332</v>
      </c>
      <c r="M738" t="str">
        <f t="shared" si="70"/>
        <v>100-125%</v>
      </c>
      <c r="N738" s="9">
        <f>MIN(H738, G738)*INDEX('2018_commission_structure'!$A$1:$I$4,
MATCH($D738, '2018_commission_structure'!$A$1:$A$4,0),
MATCH(N$1, '2018_commission_structure'!$A$1:$I$1,0))</f>
        <v>78000</v>
      </c>
      <c r="O738" s="11">
        <f>IF(G738&gt;H738, MIN(G738-H738, I738-H738)*
INDEX('2018_commission_structure'!$A$1:$I$4,
MATCH($D738, '2018_commission_structure'!$A$1:$A$4, 0),
MATCH(O$1, '2018_commission_structure'!$A$1:$I$1, 0)), 0)</f>
        <v>23337.940000000002</v>
      </c>
      <c r="P738" s="11">
        <f>IF(G738&gt;H738, MIN(G738-H738, J738-H738)*
INDEX('2018_commission_structure'!$A$1:$I$4,
MATCH($D738, '2018_commission_structure'!$A$1:$A$4, 0),
MATCH(O$1, '2018_commission_structure'!$A$1:$I$1, 0)), 0)</f>
        <v>23337.940000000002</v>
      </c>
      <c r="Q738" s="11">
        <f>IF(G738&gt;H738, MIN(G738-H738, I738-H738)*
INDEX('2018_commission_structure'!$A$1:$I$4,
MATCH($D738, '2018_commission_structure'!$A$1:$A$4, 0),
MATCH(P$1, '2018_commission_structure'!$A$1:$I$1, 0)), 0)</f>
        <v>28829.219999999998</v>
      </c>
      <c r="R738" s="11">
        <f>IF(G738&gt;K738, (G738-K738) *
INDEX('2018_commission_structure'!$A$1:$I$4,
MATCH($D738, '2018_commission_structure'!$A$1:$A$4,0),
MATCH(R$1, '2018_commission_structure'!$A$1:$I$1,0)), 0)</f>
        <v>0</v>
      </c>
      <c r="S738" s="11">
        <f t="shared" si="71"/>
        <v>75505.100000000006</v>
      </c>
      <c r="T738" s="11" cm="1">
        <f t="array" ref="T738">SUM(E738+O738:Q738)</f>
        <v>312559.09999999998</v>
      </c>
    </row>
    <row r="739" spans="1:20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 xml:space="preserve"> COUNTIF(deals_closed!D:D,A739)</f>
        <v>20</v>
      </c>
      <c r="G739" s="5">
        <f>SUMIF(deals_closed!D:D, calculations!A739, deals_closed!C:C)</f>
        <v>599501</v>
      </c>
      <c r="H739" s="5">
        <f>VLOOKUP(D739,'2018_commission_structure'!$A$2:$I$4,9,FALSE)</f>
        <v>600000</v>
      </c>
      <c r="I739" s="9">
        <f t="shared" si="66"/>
        <v>750000</v>
      </c>
      <c r="J739" s="8">
        <f t="shared" si="67"/>
        <v>900000</v>
      </c>
      <c r="K739" s="9">
        <f t="shared" si="68"/>
        <v>1200000</v>
      </c>
      <c r="L739" s="10">
        <f t="shared" si="69"/>
        <v>0.99916833333333333</v>
      </c>
      <c r="M739" t="str">
        <f t="shared" si="70"/>
        <v>0-100%</v>
      </c>
      <c r="N739" s="9">
        <f>MIN(H739, G739)*INDEX('2018_commission_structure'!$A$1:$I$4,
MATCH($D739, '2018_commission_structure'!$A$1:$A$4,0),
MATCH(N$1, '2018_commission_structure'!$A$1:$I$1,0))</f>
        <v>77935.13</v>
      </c>
      <c r="O739" s="11">
        <f>IF(G739&gt;H739, MIN(G739-H739, I739-H739)*
INDEX('2018_commission_structure'!$A$1:$I$4,
MATCH($D739, '2018_commission_structure'!$A$1:$A$4, 0),
MATCH(O$1, '2018_commission_structure'!$A$1:$I$1, 0)), 0)</f>
        <v>0</v>
      </c>
      <c r="P739" s="11">
        <f>IF(G739&gt;H739, MIN(G739-H739, J739-H739)*
INDEX('2018_commission_structure'!$A$1:$I$4,
MATCH($D739, '2018_commission_structure'!$A$1:$A$4, 0),
MATCH(O$1, '2018_commission_structure'!$A$1:$I$1, 0)), 0)</f>
        <v>0</v>
      </c>
      <c r="Q739" s="11">
        <f>IF(G739&gt;H739, MIN(G739-H739, I739-H739)*
INDEX('2018_commission_structure'!$A$1:$I$4,
MATCH($D739, '2018_commission_structure'!$A$1:$A$4, 0),
MATCH(P$1, '2018_commission_structure'!$A$1:$I$1, 0)), 0)</f>
        <v>0</v>
      </c>
      <c r="R739" s="11">
        <f>IF(G739&gt;K739, (G739-K739) *
INDEX('2018_commission_structure'!$A$1:$I$4,
MATCH($D739, '2018_commission_structure'!$A$1:$A$4,0),
MATCH(R$1, '2018_commission_structure'!$A$1:$I$1,0)), 0)</f>
        <v>0</v>
      </c>
      <c r="S739" s="11">
        <f t="shared" si="71"/>
        <v>0</v>
      </c>
      <c r="T739" s="11" cm="1">
        <f t="array" ref="T739">SUM(E739+O739:Q739)</f>
        <v>178047</v>
      </c>
    </row>
    <row r="740" spans="1:20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 xml:space="preserve"> COUNTIF(deals_closed!D:D,A740)</f>
        <v>16</v>
      </c>
      <c r="G740" s="5">
        <f>SUMIF(deals_closed!D:D, calculations!A740, deals_closed!C:C)</f>
        <v>601796</v>
      </c>
      <c r="H740" s="5">
        <f>VLOOKUP(D740,'2018_commission_structure'!$A$2:$I$4,9,FALSE)</f>
        <v>600000</v>
      </c>
      <c r="I740" s="9">
        <f t="shared" si="66"/>
        <v>750000</v>
      </c>
      <c r="J740" s="8">
        <f t="shared" si="67"/>
        <v>900000</v>
      </c>
      <c r="K740" s="9">
        <f t="shared" si="68"/>
        <v>1200000</v>
      </c>
      <c r="L740" s="10">
        <f t="shared" si="69"/>
        <v>1.0029933333333334</v>
      </c>
      <c r="M740" t="str">
        <f t="shared" si="70"/>
        <v>100-125%</v>
      </c>
      <c r="N740" s="9">
        <f>MIN(H740, G740)*INDEX('2018_commission_structure'!$A$1:$I$4,
MATCH($D740, '2018_commission_structure'!$A$1:$A$4,0),
MATCH(N$1, '2018_commission_structure'!$A$1:$I$1,0))</f>
        <v>78000</v>
      </c>
      <c r="O740" s="11">
        <f>IF(G740&gt;H740, MIN(G740-H740, I740-H740)*
INDEX('2018_commission_structure'!$A$1:$I$4,
MATCH($D740, '2018_commission_structure'!$A$1:$A$4, 0),
MATCH(O$1, '2018_commission_structure'!$A$1:$I$1, 0)), 0)</f>
        <v>305.32000000000005</v>
      </c>
      <c r="P740" s="11">
        <f>IF(G740&gt;H740, MIN(G740-H740, J740-H740)*
INDEX('2018_commission_structure'!$A$1:$I$4,
MATCH($D740, '2018_commission_structure'!$A$1:$A$4, 0),
MATCH(O$1, '2018_commission_structure'!$A$1:$I$1, 0)), 0)</f>
        <v>305.32000000000005</v>
      </c>
      <c r="Q740" s="11">
        <f>IF(G740&gt;H740, MIN(G740-H740, I740-H740)*
INDEX('2018_commission_structure'!$A$1:$I$4,
MATCH($D740, '2018_commission_structure'!$A$1:$A$4, 0),
MATCH(P$1, '2018_commission_structure'!$A$1:$I$1, 0)), 0)</f>
        <v>377.15999999999997</v>
      </c>
      <c r="R740" s="11">
        <f>IF(G740&gt;K740, (G740-K740) *
INDEX('2018_commission_structure'!$A$1:$I$4,
MATCH($D740, '2018_commission_structure'!$A$1:$A$4,0),
MATCH(R$1, '2018_commission_structure'!$A$1:$I$1,0)), 0)</f>
        <v>0</v>
      </c>
      <c r="S740" s="11">
        <f t="shared" si="71"/>
        <v>987.80000000000007</v>
      </c>
      <c r="T740" s="11" cm="1">
        <f t="array" ref="T740">SUM(E740+O740:Q740)</f>
        <v>238116.80000000002</v>
      </c>
    </row>
    <row r="741" spans="1:20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 xml:space="preserve"> COUNTIF(deals_closed!D:D,A741)</f>
        <v>17</v>
      </c>
      <c r="G741" s="5">
        <f>SUMIF(deals_closed!D:D, calculations!A741, deals_closed!C:C)</f>
        <v>516004</v>
      </c>
      <c r="H741" s="5">
        <f>VLOOKUP(D741,'2018_commission_structure'!$A$2:$I$4,9,FALSE)</f>
        <v>500000</v>
      </c>
      <c r="I741" s="9">
        <f t="shared" si="66"/>
        <v>625000</v>
      </c>
      <c r="J741" s="8">
        <f t="shared" si="67"/>
        <v>750000</v>
      </c>
      <c r="K741" s="9">
        <f t="shared" si="68"/>
        <v>1000000</v>
      </c>
      <c r="L741" s="10">
        <f t="shared" si="69"/>
        <v>1.032008</v>
      </c>
      <c r="M741" t="str">
        <f t="shared" si="70"/>
        <v>100-125%</v>
      </c>
      <c r="N741" s="9">
        <f>MIN(H741, G741)*INDEX('2018_commission_structure'!$A$1:$I$4,
MATCH($D741, '2018_commission_structure'!$A$1:$A$4,0),
MATCH(N$1, '2018_commission_structure'!$A$1:$I$1,0))</f>
        <v>50000</v>
      </c>
      <c r="O741" s="11">
        <f>IF(G741&gt;H741, MIN(G741-H741, I741-H741)*
INDEX('2018_commission_structure'!$A$1:$I$4,
MATCH($D741, '2018_commission_structure'!$A$1:$A$4, 0),
MATCH(O$1, '2018_commission_structure'!$A$1:$I$1, 0)), 0)</f>
        <v>2400.6</v>
      </c>
      <c r="P741" s="11">
        <f>IF(G741&gt;H741, MIN(G741-H741, J741-H741)*
INDEX('2018_commission_structure'!$A$1:$I$4,
MATCH($D741, '2018_commission_structure'!$A$1:$A$4, 0),
MATCH(O$1, '2018_commission_structure'!$A$1:$I$1, 0)), 0)</f>
        <v>2400.6</v>
      </c>
      <c r="Q741" s="11">
        <f>IF(G741&gt;H741, MIN(G741-H741, I741-H741)*
INDEX('2018_commission_structure'!$A$1:$I$4,
MATCH($D741, '2018_commission_structure'!$A$1:$A$4, 0),
MATCH(P$1, '2018_commission_structure'!$A$1:$I$1, 0)), 0)</f>
        <v>2880.72</v>
      </c>
      <c r="R741" s="11">
        <f>IF(G741&gt;K741, (G741-K741) *
INDEX('2018_commission_structure'!$A$1:$I$4,
MATCH($D741, '2018_commission_structure'!$A$1:$A$4,0),
MATCH(R$1, '2018_commission_structure'!$A$1:$I$1,0)), 0)</f>
        <v>0</v>
      </c>
      <c r="S741" s="11">
        <f t="shared" si="71"/>
        <v>7681.92</v>
      </c>
      <c r="T741" s="11" cm="1">
        <f t="array" ref="T741">SUM(E741+O741:Q741)</f>
        <v>114502.92</v>
      </c>
    </row>
    <row r="742" spans="1:20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 xml:space="preserve"> COUNTIF(deals_closed!D:D,A742)</f>
        <v>19</v>
      </c>
      <c r="G742" s="5">
        <f>SUMIF(deals_closed!D:D, calculations!A742, deals_closed!C:C)</f>
        <v>649888</v>
      </c>
      <c r="H742" s="5">
        <f>VLOOKUP(D742,'2018_commission_structure'!$A$2:$I$4,9,FALSE)</f>
        <v>500000</v>
      </c>
      <c r="I742" s="9">
        <f t="shared" si="66"/>
        <v>625000</v>
      </c>
      <c r="J742" s="8">
        <f t="shared" si="67"/>
        <v>750000</v>
      </c>
      <c r="K742" s="9">
        <f t="shared" si="68"/>
        <v>1000000</v>
      </c>
      <c r="L742" s="10">
        <f t="shared" si="69"/>
        <v>1.299776</v>
      </c>
      <c r="M742" t="str">
        <f t="shared" si="70"/>
        <v>125-150%</v>
      </c>
      <c r="N742" s="9">
        <f>MIN(H742, G742)*INDEX('2018_commission_structure'!$A$1:$I$4,
MATCH($D742, '2018_commission_structure'!$A$1:$A$4,0),
MATCH(N$1, '2018_commission_structure'!$A$1:$I$1,0))</f>
        <v>50000</v>
      </c>
      <c r="O742" s="11">
        <f>IF(G742&gt;H742, MIN(G742-H742, I742-H742)*
INDEX('2018_commission_structure'!$A$1:$I$4,
MATCH($D742, '2018_commission_structure'!$A$1:$A$4, 0),
MATCH(O$1, '2018_commission_structure'!$A$1:$I$1, 0)), 0)</f>
        <v>18750</v>
      </c>
      <c r="P742" s="11">
        <f>IF(G742&gt;H742, MIN(G742-H742, J742-H742)*
INDEX('2018_commission_structure'!$A$1:$I$4,
MATCH($D742, '2018_commission_structure'!$A$1:$A$4, 0),
MATCH(O$1, '2018_commission_structure'!$A$1:$I$1, 0)), 0)</f>
        <v>22483.200000000001</v>
      </c>
      <c r="Q742" s="11">
        <f>IF(G742&gt;H742, MIN(G742-H742, I742-H742)*
INDEX('2018_commission_structure'!$A$1:$I$4,
MATCH($D742, '2018_commission_structure'!$A$1:$A$4, 0),
MATCH(P$1, '2018_commission_structure'!$A$1:$I$1, 0)), 0)</f>
        <v>22500</v>
      </c>
      <c r="R742" s="11">
        <f>IF(G742&gt;K742, (G742-K742) *
INDEX('2018_commission_structure'!$A$1:$I$4,
MATCH($D742, '2018_commission_structure'!$A$1:$A$4,0),
MATCH(R$1, '2018_commission_structure'!$A$1:$I$1,0)), 0)</f>
        <v>0</v>
      </c>
      <c r="S742" s="11">
        <f t="shared" si="71"/>
        <v>63733.2</v>
      </c>
      <c r="T742" s="11" cm="1">
        <f t="array" ref="T742">SUM(E742+O742:Q742)</f>
        <v>206797.2</v>
      </c>
    </row>
    <row r="743" spans="1:20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 xml:space="preserve"> COUNTIF(deals_closed!D:D,A743)</f>
        <v>22</v>
      </c>
      <c r="G743" s="5">
        <f>SUMIF(deals_closed!D:D, calculations!A743, deals_closed!C:C)</f>
        <v>860163</v>
      </c>
      <c r="H743" s="5">
        <f>VLOOKUP(D743,'2018_commission_structure'!$A$2:$I$4,9,FALSE)</f>
        <v>500000</v>
      </c>
      <c r="I743" s="9">
        <f t="shared" si="66"/>
        <v>625000</v>
      </c>
      <c r="J743" s="8">
        <f t="shared" si="67"/>
        <v>750000</v>
      </c>
      <c r="K743" s="9">
        <f t="shared" si="68"/>
        <v>1000000</v>
      </c>
      <c r="L743" s="10">
        <f t="shared" si="69"/>
        <v>1.720326</v>
      </c>
      <c r="M743" t="str">
        <f t="shared" si="70"/>
        <v>150-200%</v>
      </c>
      <c r="N743" s="9">
        <f>MIN(H743, G743)*INDEX('2018_commission_structure'!$A$1:$I$4,
MATCH($D743, '2018_commission_structure'!$A$1:$A$4,0),
MATCH(N$1, '2018_commission_structure'!$A$1:$I$1,0))</f>
        <v>50000</v>
      </c>
      <c r="O743" s="11">
        <f>IF(G743&gt;H743, MIN(G743-H743, I743-H743)*
INDEX('2018_commission_structure'!$A$1:$I$4,
MATCH($D743, '2018_commission_structure'!$A$1:$A$4, 0),
MATCH(O$1, '2018_commission_structure'!$A$1:$I$1, 0)), 0)</f>
        <v>18750</v>
      </c>
      <c r="P743" s="11">
        <f>IF(G743&gt;H743, MIN(G743-H743, J743-H743)*
INDEX('2018_commission_structure'!$A$1:$I$4,
MATCH($D743, '2018_commission_structure'!$A$1:$A$4, 0),
MATCH(O$1, '2018_commission_structure'!$A$1:$I$1, 0)), 0)</f>
        <v>37500</v>
      </c>
      <c r="Q743" s="11">
        <f>IF(G743&gt;H743, MIN(G743-H743, I743-H743)*
INDEX('2018_commission_structure'!$A$1:$I$4,
MATCH($D743, '2018_commission_structure'!$A$1:$A$4, 0),
MATCH(P$1, '2018_commission_structure'!$A$1:$I$1, 0)), 0)</f>
        <v>22500</v>
      </c>
      <c r="R743" s="11">
        <f>IF(G743&gt;K743, (G743-K743) *
INDEX('2018_commission_structure'!$A$1:$I$4,
MATCH($D743, '2018_commission_structure'!$A$1:$A$4,0),
MATCH(R$1, '2018_commission_structure'!$A$1:$I$1,0)), 0)</f>
        <v>0</v>
      </c>
      <c r="S743" s="11">
        <f t="shared" si="71"/>
        <v>78750</v>
      </c>
      <c r="T743" s="11" cm="1">
        <f t="array" ref="T743">SUM(E743+O743:Q743)</f>
        <v>189798</v>
      </c>
    </row>
    <row r="744" spans="1:20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 xml:space="preserve"> COUNTIF(deals_closed!D:D,A744)</f>
        <v>23</v>
      </c>
      <c r="G744" s="5">
        <f>SUMIF(deals_closed!D:D, calculations!A744, deals_closed!C:C)</f>
        <v>841032</v>
      </c>
      <c r="H744" s="5">
        <f>VLOOKUP(D744,'2018_commission_structure'!$A$2:$I$4,9,FALSE)</f>
        <v>600000</v>
      </c>
      <c r="I744" s="9">
        <f t="shared" si="66"/>
        <v>750000</v>
      </c>
      <c r="J744" s="8">
        <f t="shared" si="67"/>
        <v>900000</v>
      </c>
      <c r="K744" s="9">
        <f t="shared" si="68"/>
        <v>1200000</v>
      </c>
      <c r="L744" s="10">
        <f t="shared" si="69"/>
        <v>1.4017200000000001</v>
      </c>
      <c r="M744" t="str">
        <f t="shared" si="70"/>
        <v>125-150%</v>
      </c>
      <c r="N744" s="9">
        <f>MIN(H744, G744)*INDEX('2018_commission_structure'!$A$1:$I$4,
MATCH($D744, '2018_commission_structure'!$A$1:$A$4,0),
MATCH(N$1, '2018_commission_structure'!$A$1:$I$1,0))</f>
        <v>78000</v>
      </c>
      <c r="O744" s="11">
        <f>IF(G744&gt;H744, MIN(G744-H744, I744-H744)*
INDEX('2018_commission_structure'!$A$1:$I$4,
MATCH($D744, '2018_commission_structure'!$A$1:$A$4, 0),
MATCH(O$1, '2018_commission_structure'!$A$1:$I$1, 0)), 0)</f>
        <v>25500.000000000004</v>
      </c>
      <c r="P744" s="11">
        <f>IF(G744&gt;H744, MIN(G744-H744, J744-H744)*
INDEX('2018_commission_structure'!$A$1:$I$4,
MATCH($D744, '2018_commission_structure'!$A$1:$A$4, 0),
MATCH(O$1, '2018_commission_structure'!$A$1:$I$1, 0)), 0)</f>
        <v>40975.440000000002</v>
      </c>
      <c r="Q744" s="11">
        <f>IF(G744&gt;H744, MIN(G744-H744, I744-H744)*
INDEX('2018_commission_structure'!$A$1:$I$4,
MATCH($D744, '2018_commission_structure'!$A$1:$A$4, 0),
MATCH(P$1, '2018_commission_structure'!$A$1:$I$1, 0)), 0)</f>
        <v>31500</v>
      </c>
      <c r="R744" s="11">
        <f>IF(G744&gt;K744, (G744-K744) *
INDEX('2018_commission_structure'!$A$1:$I$4,
MATCH($D744, '2018_commission_structure'!$A$1:$A$4,0),
MATCH(R$1, '2018_commission_structure'!$A$1:$I$1,0)), 0)</f>
        <v>0</v>
      </c>
      <c r="S744" s="11">
        <f t="shared" si="71"/>
        <v>97975.44</v>
      </c>
      <c r="T744" s="11" cm="1">
        <f t="array" ref="T744">SUM(E744+O744:Q744)</f>
        <v>293071.44</v>
      </c>
    </row>
    <row r="745" spans="1:20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 xml:space="preserve"> COUNTIF(deals_closed!D:D,A745)</f>
        <v>17</v>
      </c>
      <c r="G745" s="5">
        <f>SUMIF(deals_closed!D:D, calculations!A745, deals_closed!C:C)</f>
        <v>791364</v>
      </c>
      <c r="H745" s="5">
        <f>VLOOKUP(D745,'2018_commission_structure'!$A$2:$I$4,9,FALSE)</f>
        <v>750000</v>
      </c>
      <c r="I745" s="9">
        <f t="shared" si="66"/>
        <v>937500</v>
      </c>
      <c r="J745" s="8">
        <f t="shared" si="67"/>
        <v>1125000</v>
      </c>
      <c r="K745" s="9">
        <f t="shared" si="68"/>
        <v>1500000</v>
      </c>
      <c r="L745" s="10">
        <f t="shared" si="69"/>
        <v>1.0551520000000001</v>
      </c>
      <c r="M745" t="str">
        <f t="shared" si="70"/>
        <v>100-125%</v>
      </c>
      <c r="N745" s="9">
        <f>MIN(H745, G745)*INDEX('2018_commission_structure'!$A$1:$I$4,
MATCH($D745, '2018_commission_structure'!$A$1:$A$4,0),
MATCH(N$1, '2018_commission_structure'!$A$1:$I$1,0))</f>
        <v>112500</v>
      </c>
      <c r="O745" s="11">
        <f>IF(G745&gt;H745, MIN(G745-H745, I745-H745)*
INDEX('2018_commission_structure'!$A$1:$I$4,
MATCH($D745, '2018_commission_structure'!$A$1:$A$4, 0),
MATCH(O$1, '2018_commission_structure'!$A$1:$I$1, 0)), 0)</f>
        <v>7859.16</v>
      </c>
      <c r="P745" s="11">
        <f>IF(G745&gt;H745, MIN(G745-H745, J745-H745)*
INDEX('2018_commission_structure'!$A$1:$I$4,
MATCH($D745, '2018_commission_structure'!$A$1:$A$4, 0),
MATCH(O$1, '2018_commission_structure'!$A$1:$I$1, 0)), 0)</f>
        <v>7859.16</v>
      </c>
      <c r="Q745" s="11">
        <f>IF(G745&gt;H745, MIN(G745-H745, I745-H745)*
INDEX('2018_commission_structure'!$A$1:$I$4,
MATCH($D745, '2018_commission_structure'!$A$1:$A$4, 0),
MATCH(P$1, '2018_commission_structure'!$A$1:$I$1, 0)), 0)</f>
        <v>9513.7200000000012</v>
      </c>
      <c r="R745" s="11">
        <f>IF(G745&gt;K745, (G745-K745) *
INDEX('2018_commission_structure'!$A$1:$I$4,
MATCH($D745, '2018_commission_structure'!$A$1:$A$4,0),
MATCH(R$1, '2018_commission_structure'!$A$1:$I$1,0)), 0)</f>
        <v>0</v>
      </c>
      <c r="S745" s="11">
        <f t="shared" si="71"/>
        <v>25232.04</v>
      </c>
      <c r="T745" s="11" cm="1">
        <f t="array" ref="T745">SUM(E745+O745:Q745)</f>
        <v>288701.04000000004</v>
      </c>
    </row>
    <row r="746" spans="1:20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 xml:space="preserve"> COUNTIF(deals_closed!D:D,A746)</f>
        <v>22</v>
      </c>
      <c r="G746" s="5">
        <f>SUMIF(deals_closed!D:D, calculations!A746, deals_closed!C:C)</f>
        <v>787252</v>
      </c>
      <c r="H746" s="5">
        <f>VLOOKUP(D746,'2018_commission_structure'!$A$2:$I$4,9,FALSE)</f>
        <v>600000</v>
      </c>
      <c r="I746" s="9">
        <f t="shared" si="66"/>
        <v>750000</v>
      </c>
      <c r="J746" s="8">
        <f t="shared" si="67"/>
        <v>900000</v>
      </c>
      <c r="K746" s="9">
        <f t="shared" si="68"/>
        <v>1200000</v>
      </c>
      <c r="L746" s="10">
        <f t="shared" si="69"/>
        <v>1.3120866666666666</v>
      </c>
      <c r="M746" t="str">
        <f t="shared" si="70"/>
        <v>125-150%</v>
      </c>
      <c r="N746" s="9">
        <f>MIN(H746, G746)*INDEX('2018_commission_structure'!$A$1:$I$4,
MATCH($D746, '2018_commission_structure'!$A$1:$A$4,0),
MATCH(N$1, '2018_commission_structure'!$A$1:$I$1,0))</f>
        <v>78000</v>
      </c>
      <c r="O746" s="11">
        <f>IF(G746&gt;H746, MIN(G746-H746, I746-H746)*
INDEX('2018_commission_structure'!$A$1:$I$4,
MATCH($D746, '2018_commission_structure'!$A$1:$A$4, 0),
MATCH(O$1, '2018_commission_structure'!$A$1:$I$1, 0)), 0)</f>
        <v>25500.000000000004</v>
      </c>
      <c r="P746" s="11">
        <f>IF(G746&gt;H746, MIN(G746-H746, J746-H746)*
INDEX('2018_commission_structure'!$A$1:$I$4,
MATCH($D746, '2018_commission_structure'!$A$1:$A$4, 0),
MATCH(O$1, '2018_commission_structure'!$A$1:$I$1, 0)), 0)</f>
        <v>31832.840000000004</v>
      </c>
      <c r="Q746" s="11">
        <f>IF(G746&gt;H746, MIN(G746-H746, I746-H746)*
INDEX('2018_commission_structure'!$A$1:$I$4,
MATCH($D746, '2018_commission_structure'!$A$1:$A$4, 0),
MATCH(P$1, '2018_commission_structure'!$A$1:$I$1, 0)), 0)</f>
        <v>31500</v>
      </c>
      <c r="R746" s="11">
        <f>IF(G746&gt;K746, (G746-K746) *
INDEX('2018_commission_structure'!$A$1:$I$4,
MATCH($D746, '2018_commission_structure'!$A$1:$A$4,0),
MATCH(R$1, '2018_commission_structure'!$A$1:$I$1,0)), 0)</f>
        <v>0</v>
      </c>
      <c r="S746" s="11">
        <f t="shared" si="71"/>
        <v>88832.840000000011</v>
      </c>
      <c r="T746" s="11" cm="1">
        <f t="array" ref="T746">SUM(E746+O746:Q746)</f>
        <v>284657.83999999997</v>
      </c>
    </row>
    <row r="747" spans="1:20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 xml:space="preserve"> COUNTIF(deals_closed!D:D,A747)</f>
        <v>25</v>
      </c>
      <c r="G747" s="5">
        <f>SUMIF(deals_closed!D:D, calculations!A747, deals_closed!C:C)</f>
        <v>921203</v>
      </c>
      <c r="H747" s="5">
        <f>VLOOKUP(D747,'2018_commission_structure'!$A$2:$I$4,9,FALSE)</f>
        <v>600000</v>
      </c>
      <c r="I747" s="9">
        <f t="shared" si="66"/>
        <v>750000</v>
      </c>
      <c r="J747" s="8">
        <f t="shared" si="67"/>
        <v>900000</v>
      </c>
      <c r="K747" s="9">
        <f t="shared" si="68"/>
        <v>1200000</v>
      </c>
      <c r="L747" s="10">
        <f t="shared" si="69"/>
        <v>1.5353383333333332</v>
      </c>
      <c r="M747" t="str">
        <f t="shared" si="70"/>
        <v>150-200%</v>
      </c>
      <c r="N747" s="9">
        <f>MIN(H747, G747)*INDEX('2018_commission_structure'!$A$1:$I$4,
MATCH($D747, '2018_commission_structure'!$A$1:$A$4,0),
MATCH(N$1, '2018_commission_structure'!$A$1:$I$1,0))</f>
        <v>78000</v>
      </c>
      <c r="O747" s="11">
        <f>IF(G747&gt;H747, MIN(G747-H747, I747-H747)*
INDEX('2018_commission_structure'!$A$1:$I$4,
MATCH($D747, '2018_commission_structure'!$A$1:$A$4, 0),
MATCH(O$1, '2018_commission_structure'!$A$1:$I$1, 0)), 0)</f>
        <v>25500.000000000004</v>
      </c>
      <c r="P747" s="11">
        <f>IF(G747&gt;H747, MIN(G747-H747, J747-H747)*
INDEX('2018_commission_structure'!$A$1:$I$4,
MATCH($D747, '2018_commission_structure'!$A$1:$A$4, 0),
MATCH(O$1, '2018_commission_structure'!$A$1:$I$1, 0)), 0)</f>
        <v>51000.000000000007</v>
      </c>
      <c r="Q747" s="11">
        <f>IF(G747&gt;H747, MIN(G747-H747, I747-H747)*
INDEX('2018_commission_structure'!$A$1:$I$4,
MATCH($D747, '2018_commission_structure'!$A$1:$A$4, 0),
MATCH(P$1, '2018_commission_structure'!$A$1:$I$1, 0)), 0)</f>
        <v>31500</v>
      </c>
      <c r="R747" s="11">
        <f>IF(G747&gt;K747, (G747-K747) *
INDEX('2018_commission_structure'!$A$1:$I$4,
MATCH($D747, '2018_commission_structure'!$A$1:$A$4,0),
MATCH(R$1, '2018_commission_structure'!$A$1:$I$1,0)), 0)</f>
        <v>0</v>
      </c>
      <c r="S747" s="11">
        <f t="shared" si="71"/>
        <v>108000.00000000001</v>
      </c>
      <c r="T747" s="11" cm="1">
        <f t="array" ref="T747">SUM(E747+O747:Q747)</f>
        <v>332775</v>
      </c>
    </row>
    <row r="748" spans="1:20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 xml:space="preserve"> COUNTIF(deals_closed!D:D,A748)</f>
        <v>20</v>
      </c>
      <c r="G748" s="5">
        <f>SUMIF(deals_closed!D:D, calculations!A748, deals_closed!C:C)</f>
        <v>694093</v>
      </c>
      <c r="H748" s="5">
        <f>VLOOKUP(D748,'2018_commission_structure'!$A$2:$I$4,9,FALSE)</f>
        <v>600000</v>
      </c>
      <c r="I748" s="9">
        <f t="shared" si="66"/>
        <v>750000</v>
      </c>
      <c r="J748" s="8">
        <f t="shared" si="67"/>
        <v>900000</v>
      </c>
      <c r="K748" s="9">
        <f t="shared" si="68"/>
        <v>1200000</v>
      </c>
      <c r="L748" s="10">
        <f t="shared" si="69"/>
        <v>1.1568216666666666</v>
      </c>
      <c r="M748" t="str">
        <f t="shared" si="70"/>
        <v>100-125%</v>
      </c>
      <c r="N748" s="9">
        <f>MIN(H748, G748)*INDEX('2018_commission_structure'!$A$1:$I$4,
MATCH($D748, '2018_commission_structure'!$A$1:$A$4,0),
MATCH(N$1, '2018_commission_structure'!$A$1:$I$1,0))</f>
        <v>78000</v>
      </c>
      <c r="O748" s="11">
        <f>IF(G748&gt;H748, MIN(G748-H748, I748-H748)*
INDEX('2018_commission_structure'!$A$1:$I$4,
MATCH($D748, '2018_commission_structure'!$A$1:$A$4, 0),
MATCH(O$1, '2018_commission_structure'!$A$1:$I$1, 0)), 0)</f>
        <v>15995.810000000001</v>
      </c>
      <c r="P748" s="11">
        <f>IF(G748&gt;H748, MIN(G748-H748, J748-H748)*
INDEX('2018_commission_structure'!$A$1:$I$4,
MATCH($D748, '2018_commission_structure'!$A$1:$A$4, 0),
MATCH(O$1, '2018_commission_structure'!$A$1:$I$1, 0)), 0)</f>
        <v>15995.810000000001</v>
      </c>
      <c r="Q748" s="11">
        <f>IF(G748&gt;H748, MIN(G748-H748, I748-H748)*
INDEX('2018_commission_structure'!$A$1:$I$4,
MATCH($D748, '2018_commission_structure'!$A$1:$A$4, 0),
MATCH(P$1, '2018_commission_structure'!$A$1:$I$1, 0)), 0)</f>
        <v>19759.53</v>
      </c>
      <c r="R748" s="11">
        <f>IF(G748&gt;K748, (G748-K748) *
INDEX('2018_commission_structure'!$A$1:$I$4,
MATCH($D748, '2018_commission_structure'!$A$1:$A$4,0),
MATCH(R$1, '2018_commission_structure'!$A$1:$I$1,0)), 0)</f>
        <v>0</v>
      </c>
      <c r="S748" s="11">
        <f t="shared" si="71"/>
        <v>51751.15</v>
      </c>
      <c r="T748" s="11" cm="1">
        <f t="array" ref="T748">SUM(E748+O748:Q748)</f>
        <v>273652.15000000002</v>
      </c>
    </row>
    <row r="749" spans="1:20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 xml:space="preserve"> COUNTIF(deals_closed!D:D,A749)</f>
        <v>19</v>
      </c>
      <c r="G749" s="5">
        <f>SUMIF(deals_closed!D:D, calculations!A749, deals_closed!C:C)</f>
        <v>664872</v>
      </c>
      <c r="H749" s="5">
        <f>VLOOKUP(D749,'2018_commission_structure'!$A$2:$I$4,9,FALSE)</f>
        <v>750000</v>
      </c>
      <c r="I749" s="9">
        <f t="shared" si="66"/>
        <v>937500</v>
      </c>
      <c r="J749" s="8">
        <f t="shared" si="67"/>
        <v>1125000</v>
      </c>
      <c r="K749" s="9">
        <f t="shared" si="68"/>
        <v>1500000</v>
      </c>
      <c r="L749" s="10">
        <f t="shared" si="69"/>
        <v>0.88649599999999995</v>
      </c>
      <c r="M749" t="str">
        <f t="shared" si="70"/>
        <v>0-100%</v>
      </c>
      <c r="N749" s="9">
        <f>MIN(H749, G749)*INDEX('2018_commission_structure'!$A$1:$I$4,
MATCH($D749, '2018_commission_structure'!$A$1:$A$4,0),
MATCH(N$1, '2018_commission_structure'!$A$1:$I$1,0))</f>
        <v>99730.8</v>
      </c>
      <c r="O749" s="11">
        <f>IF(G749&gt;H749, MIN(G749-H749, I749-H749)*
INDEX('2018_commission_structure'!$A$1:$I$4,
MATCH($D749, '2018_commission_structure'!$A$1:$A$4, 0),
MATCH(O$1, '2018_commission_structure'!$A$1:$I$1, 0)), 0)</f>
        <v>0</v>
      </c>
      <c r="P749" s="11">
        <f>IF(G749&gt;H749, MIN(G749-H749, J749-H749)*
INDEX('2018_commission_structure'!$A$1:$I$4,
MATCH($D749, '2018_commission_structure'!$A$1:$A$4, 0),
MATCH(O$1, '2018_commission_structure'!$A$1:$I$1, 0)), 0)</f>
        <v>0</v>
      </c>
      <c r="Q749" s="11">
        <f>IF(G749&gt;H749, MIN(G749-H749, I749-H749)*
INDEX('2018_commission_structure'!$A$1:$I$4,
MATCH($D749, '2018_commission_structure'!$A$1:$A$4, 0),
MATCH(P$1, '2018_commission_structure'!$A$1:$I$1, 0)), 0)</f>
        <v>0</v>
      </c>
      <c r="R749" s="11">
        <f>IF(G749&gt;K749, (G749-K749) *
INDEX('2018_commission_structure'!$A$1:$I$4,
MATCH($D749, '2018_commission_structure'!$A$1:$A$4,0),
MATCH(R$1, '2018_commission_structure'!$A$1:$I$1,0)), 0)</f>
        <v>0</v>
      </c>
      <c r="S749" s="11">
        <f t="shared" si="71"/>
        <v>0</v>
      </c>
      <c r="T749" s="11" cm="1">
        <f t="array" ref="T749">SUM(E749+O749:Q749)</f>
        <v>282489</v>
      </c>
    </row>
    <row r="750" spans="1:20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 xml:space="preserve"> COUNTIF(deals_closed!D:D,A750)</f>
        <v>17</v>
      </c>
      <c r="G750" s="5">
        <f>SUMIF(deals_closed!D:D, calculations!A750, deals_closed!C:C)</f>
        <v>496536</v>
      </c>
      <c r="H750" s="5">
        <f>VLOOKUP(D750,'2018_commission_structure'!$A$2:$I$4,9,FALSE)</f>
        <v>500000</v>
      </c>
      <c r="I750" s="9">
        <f t="shared" si="66"/>
        <v>625000</v>
      </c>
      <c r="J750" s="8">
        <f t="shared" si="67"/>
        <v>750000</v>
      </c>
      <c r="K750" s="9">
        <f t="shared" si="68"/>
        <v>1000000</v>
      </c>
      <c r="L750" s="10">
        <f t="shared" si="69"/>
        <v>0.99307199999999995</v>
      </c>
      <c r="M750" t="str">
        <f t="shared" si="70"/>
        <v>0-100%</v>
      </c>
      <c r="N750" s="9">
        <f>MIN(H750, G750)*INDEX('2018_commission_structure'!$A$1:$I$4,
MATCH($D750, '2018_commission_structure'!$A$1:$A$4,0),
MATCH(N$1, '2018_commission_structure'!$A$1:$I$1,0))</f>
        <v>49653.600000000006</v>
      </c>
      <c r="O750" s="11">
        <f>IF(G750&gt;H750, MIN(G750-H750, I750-H750)*
INDEX('2018_commission_structure'!$A$1:$I$4,
MATCH($D750, '2018_commission_structure'!$A$1:$A$4, 0),
MATCH(O$1, '2018_commission_structure'!$A$1:$I$1, 0)), 0)</f>
        <v>0</v>
      </c>
      <c r="P750" s="11">
        <f>IF(G750&gt;H750, MIN(G750-H750, J750-H750)*
INDEX('2018_commission_structure'!$A$1:$I$4,
MATCH($D750, '2018_commission_structure'!$A$1:$A$4, 0),
MATCH(O$1, '2018_commission_structure'!$A$1:$I$1, 0)), 0)</f>
        <v>0</v>
      </c>
      <c r="Q750" s="11">
        <f>IF(G750&gt;H750, MIN(G750-H750, I750-H750)*
INDEX('2018_commission_structure'!$A$1:$I$4,
MATCH($D750, '2018_commission_structure'!$A$1:$A$4, 0),
MATCH(P$1, '2018_commission_structure'!$A$1:$I$1, 0)), 0)</f>
        <v>0</v>
      </c>
      <c r="R750" s="11">
        <f>IF(G750&gt;K750, (G750-K750) *
INDEX('2018_commission_structure'!$A$1:$I$4,
MATCH($D750, '2018_commission_structure'!$A$1:$A$4,0),
MATCH(R$1, '2018_commission_structure'!$A$1:$I$1,0)), 0)</f>
        <v>0</v>
      </c>
      <c r="S750" s="11">
        <f t="shared" si="71"/>
        <v>0</v>
      </c>
      <c r="T750" s="11" cm="1">
        <f t="array" ref="T750">SUM(E750+O750:Q750)</f>
        <v>181899</v>
      </c>
    </row>
    <row r="751" spans="1:20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 xml:space="preserve"> COUNTIF(deals_closed!D:D,A751)</f>
        <v>18</v>
      </c>
      <c r="G751" s="5">
        <f>SUMIF(deals_closed!D:D, calculations!A751, deals_closed!C:C)</f>
        <v>570118</v>
      </c>
      <c r="H751" s="5">
        <f>VLOOKUP(D751,'2018_commission_structure'!$A$2:$I$4,9,FALSE)</f>
        <v>500000</v>
      </c>
      <c r="I751" s="9">
        <f t="shared" si="66"/>
        <v>625000</v>
      </c>
      <c r="J751" s="8">
        <f t="shared" si="67"/>
        <v>750000</v>
      </c>
      <c r="K751" s="9">
        <f t="shared" si="68"/>
        <v>1000000</v>
      </c>
      <c r="L751" s="10">
        <f t="shared" si="69"/>
        <v>1.140236</v>
      </c>
      <c r="M751" t="str">
        <f t="shared" si="70"/>
        <v>100-125%</v>
      </c>
      <c r="N751" s="9">
        <f>MIN(H751, G751)*INDEX('2018_commission_structure'!$A$1:$I$4,
MATCH($D751, '2018_commission_structure'!$A$1:$A$4,0),
MATCH(N$1, '2018_commission_structure'!$A$1:$I$1,0))</f>
        <v>50000</v>
      </c>
      <c r="O751" s="11">
        <f>IF(G751&gt;H751, MIN(G751-H751, I751-H751)*
INDEX('2018_commission_structure'!$A$1:$I$4,
MATCH($D751, '2018_commission_structure'!$A$1:$A$4, 0),
MATCH(O$1, '2018_commission_structure'!$A$1:$I$1, 0)), 0)</f>
        <v>10517.699999999999</v>
      </c>
      <c r="P751" s="11">
        <f>IF(G751&gt;H751, MIN(G751-H751, J751-H751)*
INDEX('2018_commission_structure'!$A$1:$I$4,
MATCH($D751, '2018_commission_structure'!$A$1:$A$4, 0),
MATCH(O$1, '2018_commission_structure'!$A$1:$I$1, 0)), 0)</f>
        <v>10517.699999999999</v>
      </c>
      <c r="Q751" s="11">
        <f>IF(G751&gt;H751, MIN(G751-H751, I751-H751)*
INDEX('2018_commission_structure'!$A$1:$I$4,
MATCH($D751, '2018_commission_structure'!$A$1:$A$4, 0),
MATCH(P$1, '2018_commission_structure'!$A$1:$I$1, 0)), 0)</f>
        <v>12621.24</v>
      </c>
      <c r="R751" s="11">
        <f>IF(G751&gt;K751, (G751-K751) *
INDEX('2018_commission_structure'!$A$1:$I$4,
MATCH($D751, '2018_commission_structure'!$A$1:$A$4,0),
MATCH(R$1, '2018_commission_structure'!$A$1:$I$1,0)), 0)</f>
        <v>0</v>
      </c>
      <c r="S751" s="11">
        <f t="shared" si="71"/>
        <v>33656.639999999999</v>
      </c>
      <c r="T751" s="11" cm="1">
        <f t="array" ref="T751">SUM(E751+O751:Q751)</f>
        <v>226589.64</v>
      </c>
    </row>
    <row r="752" spans="1:20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 xml:space="preserve"> COUNTIF(deals_closed!D:D,A752)</f>
        <v>24</v>
      </c>
      <c r="G752" s="5">
        <f>SUMIF(deals_closed!D:D, calculations!A752, deals_closed!C:C)</f>
        <v>864121</v>
      </c>
      <c r="H752" s="5">
        <f>VLOOKUP(D752,'2018_commission_structure'!$A$2:$I$4,9,FALSE)</f>
        <v>750000</v>
      </c>
      <c r="I752" s="9">
        <f t="shared" si="66"/>
        <v>937500</v>
      </c>
      <c r="J752" s="8">
        <f t="shared" si="67"/>
        <v>1125000</v>
      </c>
      <c r="K752" s="9">
        <f t="shared" si="68"/>
        <v>1500000</v>
      </c>
      <c r="L752" s="10">
        <f t="shared" si="69"/>
        <v>1.1521613333333334</v>
      </c>
      <c r="M752" t="str">
        <f t="shared" si="70"/>
        <v>100-125%</v>
      </c>
      <c r="N752" s="9">
        <f>MIN(H752, G752)*INDEX('2018_commission_structure'!$A$1:$I$4,
MATCH($D752, '2018_commission_structure'!$A$1:$A$4,0),
MATCH(N$1, '2018_commission_structure'!$A$1:$I$1,0))</f>
        <v>112500</v>
      </c>
      <c r="O752" s="11">
        <f>IF(G752&gt;H752, MIN(G752-H752, I752-H752)*
INDEX('2018_commission_structure'!$A$1:$I$4,
MATCH($D752, '2018_commission_structure'!$A$1:$A$4, 0),
MATCH(O$1, '2018_commission_structure'!$A$1:$I$1, 0)), 0)</f>
        <v>21682.99</v>
      </c>
      <c r="P752" s="11">
        <f>IF(G752&gt;H752, MIN(G752-H752, J752-H752)*
INDEX('2018_commission_structure'!$A$1:$I$4,
MATCH($D752, '2018_commission_structure'!$A$1:$A$4, 0),
MATCH(O$1, '2018_commission_structure'!$A$1:$I$1, 0)), 0)</f>
        <v>21682.99</v>
      </c>
      <c r="Q752" s="11">
        <f>IF(G752&gt;H752, MIN(G752-H752, I752-H752)*
INDEX('2018_commission_structure'!$A$1:$I$4,
MATCH($D752, '2018_commission_structure'!$A$1:$A$4, 0),
MATCH(P$1, '2018_commission_structure'!$A$1:$I$1, 0)), 0)</f>
        <v>26247.83</v>
      </c>
      <c r="R752" s="11">
        <f>IF(G752&gt;K752, (G752-K752) *
INDEX('2018_commission_structure'!$A$1:$I$4,
MATCH($D752, '2018_commission_structure'!$A$1:$A$4,0),
MATCH(R$1, '2018_commission_structure'!$A$1:$I$1,0)), 0)</f>
        <v>0</v>
      </c>
      <c r="S752" s="11">
        <f t="shared" si="71"/>
        <v>69613.81</v>
      </c>
      <c r="T752" s="11" cm="1">
        <f t="array" ref="T752">SUM(E752+O752:Q752)</f>
        <v>386209.81000000006</v>
      </c>
    </row>
    <row r="753" spans="1:20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 xml:space="preserve"> COUNTIF(deals_closed!D:D,A753)</f>
        <v>14</v>
      </c>
      <c r="G753" s="5">
        <f>SUMIF(deals_closed!D:D, calculations!A753, deals_closed!C:C)</f>
        <v>374529</v>
      </c>
      <c r="H753" s="5">
        <f>VLOOKUP(D753,'2018_commission_structure'!$A$2:$I$4,9,FALSE)</f>
        <v>600000</v>
      </c>
      <c r="I753" s="9">
        <f t="shared" si="66"/>
        <v>750000</v>
      </c>
      <c r="J753" s="8">
        <f t="shared" si="67"/>
        <v>900000</v>
      </c>
      <c r="K753" s="9">
        <f t="shared" si="68"/>
        <v>1200000</v>
      </c>
      <c r="L753" s="10">
        <f t="shared" si="69"/>
        <v>0.62421499999999996</v>
      </c>
      <c r="M753" t="str">
        <f t="shared" si="70"/>
        <v>0-100%</v>
      </c>
      <c r="N753" s="9">
        <f>MIN(H753, G753)*INDEX('2018_commission_structure'!$A$1:$I$4,
MATCH($D753, '2018_commission_structure'!$A$1:$A$4,0),
MATCH(N$1, '2018_commission_structure'!$A$1:$I$1,0))</f>
        <v>48688.770000000004</v>
      </c>
      <c r="O753" s="11">
        <f>IF(G753&gt;H753, MIN(G753-H753, I753-H753)*
INDEX('2018_commission_structure'!$A$1:$I$4,
MATCH($D753, '2018_commission_structure'!$A$1:$A$4, 0),
MATCH(O$1, '2018_commission_structure'!$A$1:$I$1, 0)), 0)</f>
        <v>0</v>
      </c>
      <c r="P753" s="11">
        <f>IF(G753&gt;H753, MIN(G753-H753, J753-H753)*
INDEX('2018_commission_structure'!$A$1:$I$4,
MATCH($D753, '2018_commission_structure'!$A$1:$A$4, 0),
MATCH(O$1, '2018_commission_structure'!$A$1:$I$1, 0)), 0)</f>
        <v>0</v>
      </c>
      <c r="Q753" s="11">
        <f>IF(G753&gt;H753, MIN(G753-H753, I753-H753)*
INDEX('2018_commission_structure'!$A$1:$I$4,
MATCH($D753, '2018_commission_structure'!$A$1:$A$4, 0),
MATCH(P$1, '2018_commission_structure'!$A$1:$I$1, 0)), 0)</f>
        <v>0</v>
      </c>
      <c r="R753" s="11">
        <f>IF(G753&gt;K753, (G753-K753) *
INDEX('2018_commission_structure'!$A$1:$I$4,
MATCH($D753, '2018_commission_structure'!$A$1:$A$4,0),
MATCH(R$1, '2018_commission_structure'!$A$1:$I$1,0)), 0)</f>
        <v>0</v>
      </c>
      <c r="S753" s="11">
        <f t="shared" si="71"/>
        <v>0</v>
      </c>
      <c r="T753" s="11" cm="1">
        <f t="array" ref="T753">SUM(E753+O753:Q753)</f>
        <v>166383</v>
      </c>
    </row>
    <row r="754" spans="1:20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 xml:space="preserve"> COUNTIF(deals_closed!D:D,A754)</f>
        <v>10</v>
      </c>
      <c r="G754" s="5">
        <f>SUMIF(deals_closed!D:D, calculations!A754, deals_closed!C:C)</f>
        <v>372686</v>
      </c>
      <c r="H754" s="5">
        <f>VLOOKUP(D754,'2018_commission_structure'!$A$2:$I$4,9,FALSE)</f>
        <v>750000</v>
      </c>
      <c r="I754" s="9">
        <f t="shared" si="66"/>
        <v>937500</v>
      </c>
      <c r="J754" s="8">
        <f t="shared" si="67"/>
        <v>1125000</v>
      </c>
      <c r="K754" s="9">
        <f t="shared" si="68"/>
        <v>1500000</v>
      </c>
      <c r="L754" s="10">
        <f t="shared" si="69"/>
        <v>0.49691466666666667</v>
      </c>
      <c r="M754" t="str">
        <f t="shared" si="70"/>
        <v>0-100%</v>
      </c>
      <c r="N754" s="9">
        <f>MIN(H754, G754)*INDEX('2018_commission_structure'!$A$1:$I$4,
MATCH($D754, '2018_commission_structure'!$A$1:$A$4,0),
MATCH(N$1, '2018_commission_structure'!$A$1:$I$1,0))</f>
        <v>55902.9</v>
      </c>
      <c r="O754" s="11">
        <f>IF(G754&gt;H754, MIN(G754-H754, I754-H754)*
INDEX('2018_commission_structure'!$A$1:$I$4,
MATCH($D754, '2018_commission_structure'!$A$1:$A$4, 0),
MATCH(O$1, '2018_commission_structure'!$A$1:$I$1, 0)), 0)</f>
        <v>0</v>
      </c>
      <c r="P754" s="11">
        <f>IF(G754&gt;H754, MIN(G754-H754, J754-H754)*
INDEX('2018_commission_structure'!$A$1:$I$4,
MATCH($D754, '2018_commission_structure'!$A$1:$A$4, 0),
MATCH(O$1, '2018_commission_structure'!$A$1:$I$1, 0)), 0)</f>
        <v>0</v>
      </c>
      <c r="Q754" s="11">
        <f>IF(G754&gt;H754, MIN(G754-H754, I754-H754)*
INDEX('2018_commission_structure'!$A$1:$I$4,
MATCH($D754, '2018_commission_structure'!$A$1:$A$4, 0),
MATCH(P$1, '2018_commission_structure'!$A$1:$I$1, 0)), 0)</f>
        <v>0</v>
      </c>
      <c r="R754" s="11">
        <f>IF(G754&gt;K754, (G754-K754) *
INDEX('2018_commission_structure'!$A$1:$I$4,
MATCH($D754, '2018_commission_structure'!$A$1:$A$4,0),
MATCH(R$1, '2018_commission_structure'!$A$1:$I$1,0)), 0)</f>
        <v>0</v>
      </c>
      <c r="S754" s="11">
        <f t="shared" si="71"/>
        <v>0</v>
      </c>
      <c r="T754" s="11" cm="1">
        <f t="array" ref="T754">SUM(E754+O754:Q754)</f>
        <v>311964</v>
      </c>
    </row>
    <row r="755" spans="1:20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 xml:space="preserve"> COUNTIF(deals_closed!D:D,A755)</f>
        <v>28</v>
      </c>
      <c r="G755" s="5">
        <f>SUMIF(deals_closed!D:D, calculations!A755, deals_closed!C:C)</f>
        <v>893148</v>
      </c>
      <c r="H755" s="5">
        <f>VLOOKUP(D755,'2018_commission_structure'!$A$2:$I$4,9,FALSE)</f>
        <v>500000</v>
      </c>
      <c r="I755" s="9">
        <f t="shared" si="66"/>
        <v>625000</v>
      </c>
      <c r="J755" s="8">
        <f t="shared" si="67"/>
        <v>750000</v>
      </c>
      <c r="K755" s="9">
        <f t="shared" si="68"/>
        <v>1000000</v>
      </c>
      <c r="L755" s="10">
        <f t="shared" si="69"/>
        <v>1.7862960000000001</v>
      </c>
      <c r="M755" t="str">
        <f t="shared" si="70"/>
        <v>150-200%</v>
      </c>
      <c r="N755" s="9">
        <f>MIN(H755, G755)*INDEX('2018_commission_structure'!$A$1:$I$4,
MATCH($D755, '2018_commission_structure'!$A$1:$A$4,0),
MATCH(N$1, '2018_commission_structure'!$A$1:$I$1,0))</f>
        <v>50000</v>
      </c>
      <c r="O755" s="11">
        <f>IF(G755&gt;H755, MIN(G755-H755, I755-H755)*
INDEX('2018_commission_structure'!$A$1:$I$4,
MATCH($D755, '2018_commission_structure'!$A$1:$A$4, 0),
MATCH(O$1, '2018_commission_structure'!$A$1:$I$1, 0)), 0)</f>
        <v>18750</v>
      </c>
      <c r="P755" s="11">
        <f>IF(G755&gt;H755, MIN(G755-H755, J755-H755)*
INDEX('2018_commission_structure'!$A$1:$I$4,
MATCH($D755, '2018_commission_structure'!$A$1:$A$4, 0),
MATCH(O$1, '2018_commission_structure'!$A$1:$I$1, 0)), 0)</f>
        <v>37500</v>
      </c>
      <c r="Q755" s="11">
        <f>IF(G755&gt;H755, MIN(G755-H755, I755-H755)*
INDEX('2018_commission_structure'!$A$1:$I$4,
MATCH($D755, '2018_commission_structure'!$A$1:$A$4, 0),
MATCH(P$1, '2018_commission_structure'!$A$1:$I$1, 0)), 0)</f>
        <v>22500</v>
      </c>
      <c r="R755" s="11">
        <f>IF(G755&gt;K755, (G755-K755) *
INDEX('2018_commission_structure'!$A$1:$I$4,
MATCH($D755, '2018_commission_structure'!$A$1:$A$4,0),
MATCH(R$1, '2018_commission_structure'!$A$1:$I$1,0)), 0)</f>
        <v>0</v>
      </c>
      <c r="S755" s="11">
        <f t="shared" si="71"/>
        <v>78750</v>
      </c>
      <c r="T755" s="11" cm="1">
        <f t="array" ref="T755">SUM(E755+O755:Q755)</f>
        <v>170616</v>
      </c>
    </row>
    <row r="756" spans="1:20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 xml:space="preserve"> COUNTIF(deals_closed!D:D,A756)</f>
        <v>15</v>
      </c>
      <c r="G756" s="5">
        <f>SUMIF(deals_closed!D:D, calculations!A756, deals_closed!C:C)</f>
        <v>573420</v>
      </c>
      <c r="H756" s="5">
        <f>VLOOKUP(D756,'2018_commission_structure'!$A$2:$I$4,9,FALSE)</f>
        <v>750000</v>
      </c>
      <c r="I756" s="9">
        <f t="shared" si="66"/>
        <v>937500</v>
      </c>
      <c r="J756" s="8">
        <f t="shared" si="67"/>
        <v>1125000</v>
      </c>
      <c r="K756" s="9">
        <f t="shared" si="68"/>
        <v>1500000</v>
      </c>
      <c r="L756" s="10">
        <f t="shared" si="69"/>
        <v>0.76456000000000002</v>
      </c>
      <c r="M756" t="str">
        <f t="shared" si="70"/>
        <v>0-100%</v>
      </c>
      <c r="N756" s="9">
        <f>MIN(H756, G756)*INDEX('2018_commission_structure'!$A$1:$I$4,
MATCH($D756, '2018_commission_structure'!$A$1:$A$4,0),
MATCH(N$1, '2018_commission_structure'!$A$1:$I$1,0))</f>
        <v>86013</v>
      </c>
      <c r="O756" s="11">
        <f>IF(G756&gt;H756, MIN(G756-H756, I756-H756)*
INDEX('2018_commission_structure'!$A$1:$I$4,
MATCH($D756, '2018_commission_structure'!$A$1:$A$4, 0),
MATCH(O$1, '2018_commission_structure'!$A$1:$I$1, 0)), 0)</f>
        <v>0</v>
      </c>
      <c r="P756" s="11">
        <f>IF(G756&gt;H756, MIN(G756-H756, J756-H756)*
INDEX('2018_commission_structure'!$A$1:$I$4,
MATCH($D756, '2018_commission_structure'!$A$1:$A$4, 0),
MATCH(O$1, '2018_commission_structure'!$A$1:$I$1, 0)), 0)</f>
        <v>0</v>
      </c>
      <c r="Q756" s="11">
        <f>IF(G756&gt;H756, MIN(G756-H756, I756-H756)*
INDEX('2018_commission_structure'!$A$1:$I$4,
MATCH($D756, '2018_commission_structure'!$A$1:$A$4, 0),
MATCH(P$1, '2018_commission_structure'!$A$1:$I$1, 0)), 0)</f>
        <v>0</v>
      </c>
      <c r="R756" s="11">
        <f>IF(G756&gt;K756, (G756-K756) *
INDEX('2018_commission_structure'!$A$1:$I$4,
MATCH($D756, '2018_commission_structure'!$A$1:$A$4,0),
MATCH(R$1, '2018_commission_structure'!$A$1:$I$1,0)), 0)</f>
        <v>0</v>
      </c>
      <c r="S756" s="11">
        <f t="shared" si="71"/>
        <v>0</v>
      </c>
      <c r="T756" s="11" cm="1">
        <f t="array" ref="T756">SUM(E756+O756:Q756)</f>
        <v>349050</v>
      </c>
    </row>
    <row r="757" spans="1:20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 xml:space="preserve"> COUNTIF(deals_closed!D:D,A757)</f>
        <v>19</v>
      </c>
      <c r="G757" s="5">
        <f>SUMIF(deals_closed!D:D, calculations!A757, deals_closed!C:C)</f>
        <v>619204</v>
      </c>
      <c r="H757" s="5">
        <f>VLOOKUP(D757,'2018_commission_structure'!$A$2:$I$4,9,FALSE)</f>
        <v>750000</v>
      </c>
      <c r="I757" s="9">
        <f t="shared" si="66"/>
        <v>937500</v>
      </c>
      <c r="J757" s="8">
        <f t="shared" si="67"/>
        <v>1125000</v>
      </c>
      <c r="K757" s="9">
        <f t="shared" si="68"/>
        <v>1500000</v>
      </c>
      <c r="L757" s="10">
        <f t="shared" si="69"/>
        <v>0.8256053333333333</v>
      </c>
      <c r="M757" t="str">
        <f t="shared" si="70"/>
        <v>0-100%</v>
      </c>
      <c r="N757" s="9">
        <f>MIN(H757, G757)*INDEX('2018_commission_structure'!$A$1:$I$4,
MATCH($D757, '2018_commission_structure'!$A$1:$A$4,0),
MATCH(N$1, '2018_commission_structure'!$A$1:$I$1,0))</f>
        <v>92880.599999999991</v>
      </c>
      <c r="O757" s="11">
        <f>IF(G757&gt;H757, MIN(G757-H757, I757-H757)*
INDEX('2018_commission_structure'!$A$1:$I$4,
MATCH($D757, '2018_commission_structure'!$A$1:$A$4, 0),
MATCH(O$1, '2018_commission_structure'!$A$1:$I$1, 0)), 0)</f>
        <v>0</v>
      </c>
      <c r="P757" s="11">
        <f>IF(G757&gt;H757, MIN(G757-H757, J757-H757)*
INDEX('2018_commission_structure'!$A$1:$I$4,
MATCH($D757, '2018_commission_structure'!$A$1:$A$4, 0),
MATCH(O$1, '2018_commission_structure'!$A$1:$I$1, 0)), 0)</f>
        <v>0</v>
      </c>
      <c r="Q757" s="11">
        <f>IF(G757&gt;H757, MIN(G757-H757, I757-H757)*
INDEX('2018_commission_structure'!$A$1:$I$4,
MATCH($D757, '2018_commission_structure'!$A$1:$A$4, 0),
MATCH(P$1, '2018_commission_structure'!$A$1:$I$1, 0)), 0)</f>
        <v>0</v>
      </c>
      <c r="R757" s="11">
        <f>IF(G757&gt;K757, (G757-K757) *
INDEX('2018_commission_structure'!$A$1:$I$4,
MATCH($D757, '2018_commission_structure'!$A$1:$A$4,0),
MATCH(R$1, '2018_commission_structure'!$A$1:$I$1,0)), 0)</f>
        <v>0</v>
      </c>
      <c r="S757" s="11">
        <f t="shared" si="71"/>
        <v>0</v>
      </c>
      <c r="T757" s="11" cm="1">
        <f t="array" ref="T757">SUM(E757+O757:Q757)</f>
        <v>325449</v>
      </c>
    </row>
    <row r="758" spans="1:20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 xml:space="preserve"> COUNTIF(deals_closed!D:D,A758)</f>
        <v>20</v>
      </c>
      <c r="G758" s="5">
        <f>SUMIF(deals_closed!D:D, calculations!A758, deals_closed!C:C)</f>
        <v>598593</v>
      </c>
      <c r="H758" s="5">
        <f>VLOOKUP(D758,'2018_commission_structure'!$A$2:$I$4,9,FALSE)</f>
        <v>600000</v>
      </c>
      <c r="I758" s="9">
        <f t="shared" si="66"/>
        <v>750000</v>
      </c>
      <c r="J758" s="8">
        <f t="shared" si="67"/>
        <v>900000</v>
      </c>
      <c r="K758" s="9">
        <f t="shared" si="68"/>
        <v>1200000</v>
      </c>
      <c r="L758" s="10">
        <f t="shared" si="69"/>
        <v>0.99765499999999996</v>
      </c>
      <c r="M758" t="str">
        <f t="shared" si="70"/>
        <v>0-100%</v>
      </c>
      <c r="N758" s="9">
        <f>MIN(H758, G758)*INDEX('2018_commission_structure'!$A$1:$I$4,
MATCH($D758, '2018_commission_structure'!$A$1:$A$4,0),
MATCH(N$1, '2018_commission_structure'!$A$1:$I$1,0))</f>
        <v>77817.09</v>
      </c>
      <c r="O758" s="11">
        <f>IF(G758&gt;H758, MIN(G758-H758, I758-H758)*
INDEX('2018_commission_structure'!$A$1:$I$4,
MATCH($D758, '2018_commission_structure'!$A$1:$A$4, 0),
MATCH(O$1, '2018_commission_structure'!$A$1:$I$1, 0)), 0)</f>
        <v>0</v>
      </c>
      <c r="P758" s="11">
        <f>IF(G758&gt;H758, MIN(G758-H758, J758-H758)*
INDEX('2018_commission_structure'!$A$1:$I$4,
MATCH($D758, '2018_commission_structure'!$A$1:$A$4, 0),
MATCH(O$1, '2018_commission_structure'!$A$1:$I$1, 0)), 0)</f>
        <v>0</v>
      </c>
      <c r="Q758" s="11">
        <f>IF(G758&gt;H758, MIN(G758-H758, I758-H758)*
INDEX('2018_commission_structure'!$A$1:$I$4,
MATCH($D758, '2018_commission_structure'!$A$1:$A$4, 0),
MATCH(P$1, '2018_commission_structure'!$A$1:$I$1, 0)), 0)</f>
        <v>0</v>
      </c>
      <c r="R758" s="11">
        <f>IF(G758&gt;K758, (G758-K758) *
INDEX('2018_commission_structure'!$A$1:$I$4,
MATCH($D758, '2018_commission_structure'!$A$1:$A$4,0),
MATCH(R$1, '2018_commission_structure'!$A$1:$I$1,0)), 0)</f>
        <v>0</v>
      </c>
      <c r="S758" s="11">
        <f t="shared" si="71"/>
        <v>0</v>
      </c>
      <c r="T758" s="11" cm="1">
        <f t="array" ref="T758">SUM(E758+O758:Q758)</f>
        <v>175356</v>
      </c>
    </row>
    <row r="759" spans="1:20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 xml:space="preserve"> COUNTIF(deals_closed!D:D,A759)</f>
        <v>25</v>
      </c>
      <c r="G759" s="5">
        <f>SUMIF(deals_closed!D:D, calculations!A759, deals_closed!C:C)</f>
        <v>848660</v>
      </c>
      <c r="H759" s="5">
        <f>VLOOKUP(D759,'2018_commission_structure'!$A$2:$I$4,9,FALSE)</f>
        <v>750000</v>
      </c>
      <c r="I759" s="9">
        <f t="shared" si="66"/>
        <v>937500</v>
      </c>
      <c r="J759" s="8">
        <f t="shared" si="67"/>
        <v>1125000</v>
      </c>
      <c r="K759" s="9">
        <f t="shared" si="68"/>
        <v>1500000</v>
      </c>
      <c r="L759" s="10">
        <f t="shared" si="69"/>
        <v>1.1315466666666667</v>
      </c>
      <c r="M759" t="str">
        <f t="shared" si="70"/>
        <v>100-125%</v>
      </c>
      <c r="N759" s="9">
        <f>MIN(H759, G759)*INDEX('2018_commission_structure'!$A$1:$I$4,
MATCH($D759, '2018_commission_structure'!$A$1:$A$4,0),
MATCH(N$1, '2018_commission_structure'!$A$1:$I$1,0))</f>
        <v>112500</v>
      </c>
      <c r="O759" s="11">
        <f>IF(G759&gt;H759, MIN(G759-H759, I759-H759)*
INDEX('2018_commission_structure'!$A$1:$I$4,
MATCH($D759, '2018_commission_structure'!$A$1:$A$4, 0),
MATCH(O$1, '2018_commission_structure'!$A$1:$I$1, 0)), 0)</f>
        <v>18745.400000000001</v>
      </c>
      <c r="P759" s="11">
        <f>IF(G759&gt;H759, MIN(G759-H759, J759-H759)*
INDEX('2018_commission_structure'!$A$1:$I$4,
MATCH($D759, '2018_commission_structure'!$A$1:$A$4, 0),
MATCH(O$1, '2018_commission_structure'!$A$1:$I$1, 0)), 0)</f>
        <v>18745.400000000001</v>
      </c>
      <c r="Q759" s="11">
        <f>IF(G759&gt;H759, MIN(G759-H759, I759-H759)*
INDEX('2018_commission_structure'!$A$1:$I$4,
MATCH($D759, '2018_commission_structure'!$A$1:$A$4, 0),
MATCH(P$1, '2018_commission_structure'!$A$1:$I$1, 0)), 0)</f>
        <v>22691.8</v>
      </c>
      <c r="R759" s="11">
        <f>IF(G759&gt;K759, (G759-K759) *
INDEX('2018_commission_structure'!$A$1:$I$4,
MATCH($D759, '2018_commission_structure'!$A$1:$A$4,0),
MATCH(R$1, '2018_commission_structure'!$A$1:$I$1,0)), 0)</f>
        <v>0</v>
      </c>
      <c r="S759" s="11">
        <f t="shared" si="71"/>
        <v>60182.600000000006</v>
      </c>
      <c r="T759" s="11" cm="1">
        <f t="array" ref="T759">SUM(E759+O759:Q759)</f>
        <v>318161.59999999998</v>
      </c>
    </row>
    <row r="760" spans="1:20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 xml:space="preserve"> COUNTIF(deals_closed!D:D,A760)</f>
        <v>18</v>
      </c>
      <c r="G760" s="5">
        <f>SUMIF(deals_closed!D:D, calculations!A760, deals_closed!C:C)</f>
        <v>687708</v>
      </c>
      <c r="H760" s="5">
        <f>VLOOKUP(D760,'2018_commission_structure'!$A$2:$I$4,9,FALSE)</f>
        <v>500000</v>
      </c>
      <c r="I760" s="9">
        <f t="shared" si="66"/>
        <v>625000</v>
      </c>
      <c r="J760" s="8">
        <f t="shared" si="67"/>
        <v>750000</v>
      </c>
      <c r="K760" s="9">
        <f t="shared" si="68"/>
        <v>1000000</v>
      </c>
      <c r="L760" s="10">
        <f t="shared" si="69"/>
        <v>1.375416</v>
      </c>
      <c r="M760" t="str">
        <f t="shared" si="70"/>
        <v>125-150%</v>
      </c>
      <c r="N760" s="9">
        <f>MIN(H760, G760)*INDEX('2018_commission_structure'!$A$1:$I$4,
MATCH($D760, '2018_commission_structure'!$A$1:$A$4,0),
MATCH(N$1, '2018_commission_structure'!$A$1:$I$1,0))</f>
        <v>50000</v>
      </c>
      <c r="O760" s="11">
        <f>IF(G760&gt;H760, MIN(G760-H760, I760-H760)*
INDEX('2018_commission_structure'!$A$1:$I$4,
MATCH($D760, '2018_commission_structure'!$A$1:$A$4, 0),
MATCH(O$1, '2018_commission_structure'!$A$1:$I$1, 0)), 0)</f>
        <v>18750</v>
      </c>
      <c r="P760" s="11">
        <f>IF(G760&gt;H760, MIN(G760-H760, J760-H760)*
INDEX('2018_commission_structure'!$A$1:$I$4,
MATCH($D760, '2018_commission_structure'!$A$1:$A$4, 0),
MATCH(O$1, '2018_commission_structure'!$A$1:$I$1, 0)), 0)</f>
        <v>28156.2</v>
      </c>
      <c r="Q760" s="11">
        <f>IF(G760&gt;H760, MIN(G760-H760, I760-H760)*
INDEX('2018_commission_structure'!$A$1:$I$4,
MATCH($D760, '2018_commission_structure'!$A$1:$A$4, 0),
MATCH(P$1, '2018_commission_structure'!$A$1:$I$1, 0)), 0)</f>
        <v>22500</v>
      </c>
      <c r="R760" s="11">
        <f>IF(G760&gt;K760, (G760-K760) *
INDEX('2018_commission_structure'!$A$1:$I$4,
MATCH($D760, '2018_commission_structure'!$A$1:$A$4,0),
MATCH(R$1, '2018_commission_structure'!$A$1:$I$1,0)), 0)</f>
        <v>0</v>
      </c>
      <c r="S760" s="11">
        <f t="shared" si="71"/>
        <v>69406.2</v>
      </c>
      <c r="T760" s="11" cm="1">
        <f t="array" ref="T760">SUM(E760+O760:Q760)</f>
        <v>199285.2</v>
      </c>
    </row>
    <row r="761" spans="1:20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 xml:space="preserve"> COUNTIF(deals_closed!D:D,A761)</f>
        <v>24</v>
      </c>
      <c r="G761" s="5">
        <f>SUMIF(deals_closed!D:D, calculations!A761, deals_closed!C:C)</f>
        <v>848914</v>
      </c>
      <c r="H761" s="5">
        <f>VLOOKUP(D761,'2018_commission_structure'!$A$2:$I$4,9,FALSE)</f>
        <v>600000</v>
      </c>
      <c r="I761" s="9">
        <f t="shared" si="66"/>
        <v>750000</v>
      </c>
      <c r="J761" s="8">
        <f t="shared" si="67"/>
        <v>900000</v>
      </c>
      <c r="K761" s="9">
        <f t="shared" si="68"/>
        <v>1200000</v>
      </c>
      <c r="L761" s="10">
        <f t="shared" si="69"/>
        <v>1.4148566666666667</v>
      </c>
      <c r="M761" t="str">
        <f t="shared" si="70"/>
        <v>125-150%</v>
      </c>
      <c r="N761" s="9">
        <f>MIN(H761, G761)*INDEX('2018_commission_structure'!$A$1:$I$4,
MATCH($D761, '2018_commission_structure'!$A$1:$A$4,0),
MATCH(N$1, '2018_commission_structure'!$A$1:$I$1,0))</f>
        <v>78000</v>
      </c>
      <c r="O761" s="11">
        <f>IF(G761&gt;H761, MIN(G761-H761, I761-H761)*
INDEX('2018_commission_structure'!$A$1:$I$4,
MATCH($D761, '2018_commission_structure'!$A$1:$A$4, 0),
MATCH(O$1, '2018_commission_structure'!$A$1:$I$1, 0)), 0)</f>
        <v>25500.000000000004</v>
      </c>
      <c r="P761" s="11">
        <f>IF(G761&gt;H761, MIN(G761-H761, J761-H761)*
INDEX('2018_commission_structure'!$A$1:$I$4,
MATCH($D761, '2018_commission_structure'!$A$1:$A$4, 0),
MATCH(O$1, '2018_commission_structure'!$A$1:$I$1, 0)), 0)</f>
        <v>42315.380000000005</v>
      </c>
      <c r="Q761" s="11">
        <f>IF(G761&gt;H761, MIN(G761-H761, I761-H761)*
INDEX('2018_commission_structure'!$A$1:$I$4,
MATCH($D761, '2018_commission_structure'!$A$1:$A$4, 0),
MATCH(P$1, '2018_commission_structure'!$A$1:$I$1, 0)), 0)</f>
        <v>31500</v>
      </c>
      <c r="R761" s="11">
        <f>IF(G761&gt;K761, (G761-K761) *
INDEX('2018_commission_structure'!$A$1:$I$4,
MATCH($D761, '2018_commission_structure'!$A$1:$A$4,0),
MATCH(R$1, '2018_commission_structure'!$A$1:$I$1,0)), 0)</f>
        <v>0</v>
      </c>
      <c r="S761" s="11">
        <f t="shared" si="71"/>
        <v>99315.38</v>
      </c>
      <c r="T761" s="11" cm="1">
        <f t="array" ref="T761">SUM(E761+O761:Q761)</f>
        <v>260097.38</v>
      </c>
    </row>
    <row r="762" spans="1:20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 xml:space="preserve"> COUNTIF(deals_closed!D:D,A762)</f>
        <v>20</v>
      </c>
      <c r="G762" s="5">
        <f>SUMIF(deals_closed!D:D, calculations!A762, deals_closed!C:C)</f>
        <v>683641</v>
      </c>
      <c r="H762" s="5">
        <f>VLOOKUP(D762,'2018_commission_structure'!$A$2:$I$4,9,FALSE)</f>
        <v>500000</v>
      </c>
      <c r="I762" s="9">
        <f t="shared" si="66"/>
        <v>625000</v>
      </c>
      <c r="J762" s="8">
        <f t="shared" si="67"/>
        <v>750000</v>
      </c>
      <c r="K762" s="9">
        <f t="shared" si="68"/>
        <v>1000000</v>
      </c>
      <c r="L762" s="10">
        <f t="shared" si="69"/>
        <v>1.3672820000000001</v>
      </c>
      <c r="M762" t="str">
        <f t="shared" si="70"/>
        <v>125-150%</v>
      </c>
      <c r="N762" s="9">
        <f>MIN(H762, G762)*INDEX('2018_commission_structure'!$A$1:$I$4,
MATCH($D762, '2018_commission_structure'!$A$1:$A$4,0),
MATCH(N$1, '2018_commission_structure'!$A$1:$I$1,0))</f>
        <v>50000</v>
      </c>
      <c r="O762" s="11">
        <f>IF(G762&gt;H762, MIN(G762-H762, I762-H762)*
INDEX('2018_commission_structure'!$A$1:$I$4,
MATCH($D762, '2018_commission_structure'!$A$1:$A$4, 0),
MATCH(O$1, '2018_commission_structure'!$A$1:$I$1, 0)), 0)</f>
        <v>18750</v>
      </c>
      <c r="P762" s="11">
        <f>IF(G762&gt;H762, MIN(G762-H762, J762-H762)*
INDEX('2018_commission_structure'!$A$1:$I$4,
MATCH($D762, '2018_commission_structure'!$A$1:$A$4, 0),
MATCH(O$1, '2018_commission_structure'!$A$1:$I$1, 0)), 0)</f>
        <v>27546.149999999998</v>
      </c>
      <c r="Q762" s="11">
        <f>IF(G762&gt;H762, MIN(G762-H762, I762-H762)*
INDEX('2018_commission_structure'!$A$1:$I$4,
MATCH($D762, '2018_commission_structure'!$A$1:$A$4, 0),
MATCH(P$1, '2018_commission_structure'!$A$1:$I$1, 0)), 0)</f>
        <v>22500</v>
      </c>
      <c r="R762" s="11">
        <f>IF(G762&gt;K762, (G762-K762) *
INDEX('2018_commission_structure'!$A$1:$I$4,
MATCH($D762, '2018_commission_structure'!$A$1:$A$4,0),
MATCH(R$1, '2018_commission_structure'!$A$1:$I$1,0)), 0)</f>
        <v>0</v>
      </c>
      <c r="S762" s="11">
        <f t="shared" si="71"/>
        <v>68796.149999999994</v>
      </c>
      <c r="T762" s="11" cm="1">
        <f t="array" ref="T762">SUM(E762+O762:Q762)</f>
        <v>169776.15</v>
      </c>
    </row>
    <row r="763" spans="1:20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 xml:space="preserve"> COUNTIF(deals_closed!D:D,A763)</f>
        <v>19</v>
      </c>
      <c r="G763" s="5">
        <f>SUMIF(deals_closed!D:D, calculations!A763, deals_closed!C:C)</f>
        <v>683280</v>
      </c>
      <c r="H763" s="5">
        <f>VLOOKUP(D763,'2018_commission_structure'!$A$2:$I$4,9,FALSE)</f>
        <v>500000</v>
      </c>
      <c r="I763" s="9">
        <f t="shared" si="66"/>
        <v>625000</v>
      </c>
      <c r="J763" s="8">
        <f t="shared" si="67"/>
        <v>750000</v>
      </c>
      <c r="K763" s="9">
        <f t="shared" si="68"/>
        <v>1000000</v>
      </c>
      <c r="L763" s="10">
        <f t="shared" si="69"/>
        <v>1.36656</v>
      </c>
      <c r="M763" t="str">
        <f t="shared" si="70"/>
        <v>125-150%</v>
      </c>
      <c r="N763" s="9">
        <f>MIN(H763, G763)*INDEX('2018_commission_structure'!$A$1:$I$4,
MATCH($D763, '2018_commission_structure'!$A$1:$A$4,0),
MATCH(N$1, '2018_commission_structure'!$A$1:$I$1,0))</f>
        <v>50000</v>
      </c>
      <c r="O763" s="11">
        <f>IF(G763&gt;H763, MIN(G763-H763, I763-H763)*
INDEX('2018_commission_structure'!$A$1:$I$4,
MATCH($D763, '2018_commission_structure'!$A$1:$A$4, 0),
MATCH(O$1, '2018_commission_structure'!$A$1:$I$1, 0)), 0)</f>
        <v>18750</v>
      </c>
      <c r="P763" s="11">
        <f>IF(G763&gt;H763, MIN(G763-H763, J763-H763)*
INDEX('2018_commission_structure'!$A$1:$I$4,
MATCH($D763, '2018_commission_structure'!$A$1:$A$4, 0),
MATCH(O$1, '2018_commission_structure'!$A$1:$I$1, 0)), 0)</f>
        <v>27492</v>
      </c>
      <c r="Q763" s="11">
        <f>IF(G763&gt;H763, MIN(G763-H763, I763-H763)*
INDEX('2018_commission_structure'!$A$1:$I$4,
MATCH($D763, '2018_commission_structure'!$A$1:$A$4, 0),
MATCH(P$1, '2018_commission_structure'!$A$1:$I$1, 0)), 0)</f>
        <v>22500</v>
      </c>
      <c r="R763" s="11">
        <f>IF(G763&gt;K763, (G763-K763) *
INDEX('2018_commission_structure'!$A$1:$I$4,
MATCH($D763, '2018_commission_structure'!$A$1:$A$4,0),
MATCH(R$1, '2018_commission_structure'!$A$1:$I$1,0)), 0)</f>
        <v>0</v>
      </c>
      <c r="S763" s="11">
        <f t="shared" si="71"/>
        <v>68742</v>
      </c>
      <c r="T763" s="11" cm="1">
        <f t="array" ref="T763">SUM(E763+O763:Q763)</f>
        <v>166257</v>
      </c>
    </row>
    <row r="764" spans="1:20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 xml:space="preserve"> COUNTIF(deals_closed!D:D,A764)</f>
        <v>29</v>
      </c>
      <c r="G764" s="5">
        <f>SUMIF(deals_closed!D:D, calculations!A764, deals_closed!C:C)</f>
        <v>869443</v>
      </c>
      <c r="H764" s="5">
        <f>VLOOKUP(D764,'2018_commission_structure'!$A$2:$I$4,9,FALSE)</f>
        <v>500000</v>
      </c>
      <c r="I764" s="9">
        <f t="shared" si="66"/>
        <v>625000</v>
      </c>
      <c r="J764" s="8">
        <f t="shared" si="67"/>
        <v>750000</v>
      </c>
      <c r="K764" s="9">
        <f t="shared" si="68"/>
        <v>1000000</v>
      </c>
      <c r="L764" s="10">
        <f t="shared" si="69"/>
        <v>1.7388859999999999</v>
      </c>
      <c r="M764" t="str">
        <f t="shared" si="70"/>
        <v>150-200%</v>
      </c>
      <c r="N764" s="9">
        <f>MIN(H764, G764)*INDEX('2018_commission_structure'!$A$1:$I$4,
MATCH($D764, '2018_commission_structure'!$A$1:$A$4,0),
MATCH(N$1, '2018_commission_structure'!$A$1:$I$1,0))</f>
        <v>50000</v>
      </c>
      <c r="O764" s="11">
        <f>IF(G764&gt;H764, MIN(G764-H764, I764-H764)*
INDEX('2018_commission_structure'!$A$1:$I$4,
MATCH($D764, '2018_commission_structure'!$A$1:$A$4, 0),
MATCH(O$1, '2018_commission_structure'!$A$1:$I$1, 0)), 0)</f>
        <v>18750</v>
      </c>
      <c r="P764" s="11">
        <f>IF(G764&gt;H764, MIN(G764-H764, J764-H764)*
INDEX('2018_commission_structure'!$A$1:$I$4,
MATCH($D764, '2018_commission_structure'!$A$1:$A$4, 0),
MATCH(O$1, '2018_commission_structure'!$A$1:$I$1, 0)), 0)</f>
        <v>37500</v>
      </c>
      <c r="Q764" s="11">
        <f>IF(G764&gt;H764, MIN(G764-H764, I764-H764)*
INDEX('2018_commission_structure'!$A$1:$I$4,
MATCH($D764, '2018_commission_structure'!$A$1:$A$4, 0),
MATCH(P$1, '2018_commission_structure'!$A$1:$I$1, 0)), 0)</f>
        <v>22500</v>
      </c>
      <c r="R764" s="11">
        <f>IF(G764&gt;K764, (G764-K764) *
INDEX('2018_commission_structure'!$A$1:$I$4,
MATCH($D764, '2018_commission_structure'!$A$1:$A$4,0),
MATCH(R$1, '2018_commission_structure'!$A$1:$I$1,0)), 0)</f>
        <v>0</v>
      </c>
      <c r="S764" s="11">
        <f t="shared" si="71"/>
        <v>78750</v>
      </c>
      <c r="T764" s="11" cm="1">
        <f t="array" ref="T764">SUM(E764+O764:Q764)</f>
        <v>171057</v>
      </c>
    </row>
    <row r="765" spans="1:20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 xml:space="preserve"> COUNTIF(deals_closed!D:D,A765)</f>
        <v>19</v>
      </c>
      <c r="G765" s="5">
        <f>SUMIF(deals_closed!D:D, calculations!A765, deals_closed!C:C)</f>
        <v>677458</v>
      </c>
      <c r="H765" s="5">
        <f>VLOOKUP(D765,'2018_commission_structure'!$A$2:$I$4,9,FALSE)</f>
        <v>600000</v>
      </c>
      <c r="I765" s="9">
        <f t="shared" si="66"/>
        <v>750000</v>
      </c>
      <c r="J765" s="8">
        <f t="shared" si="67"/>
        <v>900000</v>
      </c>
      <c r="K765" s="9">
        <f t="shared" si="68"/>
        <v>1200000</v>
      </c>
      <c r="L765" s="10">
        <f t="shared" si="69"/>
        <v>1.1290966666666666</v>
      </c>
      <c r="M765" t="str">
        <f t="shared" si="70"/>
        <v>100-125%</v>
      </c>
      <c r="N765" s="9">
        <f>MIN(H765, G765)*INDEX('2018_commission_structure'!$A$1:$I$4,
MATCH($D765, '2018_commission_structure'!$A$1:$A$4,0),
MATCH(N$1, '2018_commission_structure'!$A$1:$I$1,0))</f>
        <v>78000</v>
      </c>
      <c r="O765" s="11">
        <f>IF(G765&gt;H765, MIN(G765-H765, I765-H765)*
INDEX('2018_commission_structure'!$A$1:$I$4,
MATCH($D765, '2018_commission_structure'!$A$1:$A$4, 0),
MATCH(O$1, '2018_commission_structure'!$A$1:$I$1, 0)), 0)</f>
        <v>13167.86</v>
      </c>
      <c r="P765" s="11">
        <f>IF(G765&gt;H765, MIN(G765-H765, J765-H765)*
INDEX('2018_commission_structure'!$A$1:$I$4,
MATCH($D765, '2018_commission_structure'!$A$1:$A$4, 0),
MATCH(O$1, '2018_commission_structure'!$A$1:$I$1, 0)), 0)</f>
        <v>13167.86</v>
      </c>
      <c r="Q765" s="11">
        <f>IF(G765&gt;H765, MIN(G765-H765, I765-H765)*
INDEX('2018_commission_structure'!$A$1:$I$4,
MATCH($D765, '2018_commission_structure'!$A$1:$A$4, 0),
MATCH(P$1, '2018_commission_structure'!$A$1:$I$1, 0)), 0)</f>
        <v>16266.18</v>
      </c>
      <c r="R765" s="11">
        <f>IF(G765&gt;K765, (G765-K765) *
INDEX('2018_commission_structure'!$A$1:$I$4,
MATCH($D765, '2018_commission_structure'!$A$1:$A$4,0),
MATCH(R$1, '2018_commission_structure'!$A$1:$I$1,0)), 0)</f>
        <v>0</v>
      </c>
      <c r="S765" s="11">
        <f t="shared" si="71"/>
        <v>42601.9</v>
      </c>
      <c r="T765" s="11" cm="1">
        <f t="array" ref="T765">SUM(E765+O765:Q765)</f>
        <v>258793.9</v>
      </c>
    </row>
    <row r="766" spans="1:20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 xml:space="preserve"> COUNTIF(deals_closed!D:D,A766)</f>
        <v>22</v>
      </c>
      <c r="G766" s="5">
        <f>SUMIF(deals_closed!D:D, calculations!A766, deals_closed!C:C)</f>
        <v>781150</v>
      </c>
      <c r="H766" s="5">
        <f>VLOOKUP(D766,'2018_commission_structure'!$A$2:$I$4,9,FALSE)</f>
        <v>600000</v>
      </c>
      <c r="I766" s="9">
        <f t="shared" si="66"/>
        <v>750000</v>
      </c>
      <c r="J766" s="8">
        <f t="shared" si="67"/>
        <v>900000</v>
      </c>
      <c r="K766" s="9">
        <f t="shared" si="68"/>
        <v>1200000</v>
      </c>
      <c r="L766" s="10">
        <f t="shared" si="69"/>
        <v>1.3019166666666666</v>
      </c>
      <c r="M766" t="str">
        <f t="shared" si="70"/>
        <v>125-150%</v>
      </c>
      <c r="N766" s="9">
        <f>MIN(H766, G766)*INDEX('2018_commission_structure'!$A$1:$I$4,
MATCH($D766, '2018_commission_structure'!$A$1:$A$4,0),
MATCH(N$1, '2018_commission_structure'!$A$1:$I$1,0))</f>
        <v>78000</v>
      </c>
      <c r="O766" s="11">
        <f>IF(G766&gt;H766, MIN(G766-H766, I766-H766)*
INDEX('2018_commission_structure'!$A$1:$I$4,
MATCH($D766, '2018_commission_structure'!$A$1:$A$4, 0),
MATCH(O$1, '2018_commission_structure'!$A$1:$I$1, 0)), 0)</f>
        <v>25500.000000000004</v>
      </c>
      <c r="P766" s="11">
        <f>IF(G766&gt;H766, MIN(G766-H766, J766-H766)*
INDEX('2018_commission_structure'!$A$1:$I$4,
MATCH($D766, '2018_commission_structure'!$A$1:$A$4, 0),
MATCH(O$1, '2018_commission_structure'!$A$1:$I$1, 0)), 0)</f>
        <v>30795.500000000004</v>
      </c>
      <c r="Q766" s="11">
        <f>IF(G766&gt;H766, MIN(G766-H766, I766-H766)*
INDEX('2018_commission_structure'!$A$1:$I$4,
MATCH($D766, '2018_commission_structure'!$A$1:$A$4, 0),
MATCH(P$1, '2018_commission_structure'!$A$1:$I$1, 0)), 0)</f>
        <v>31500</v>
      </c>
      <c r="R766" s="11">
        <f>IF(G766&gt;K766, (G766-K766) *
INDEX('2018_commission_structure'!$A$1:$I$4,
MATCH($D766, '2018_commission_structure'!$A$1:$A$4,0),
MATCH(R$1, '2018_commission_structure'!$A$1:$I$1,0)), 0)</f>
        <v>0</v>
      </c>
      <c r="S766" s="11">
        <f t="shared" si="71"/>
        <v>87795.5</v>
      </c>
      <c r="T766" s="11" cm="1">
        <f t="array" ref="T766">SUM(E766+O766:Q766)</f>
        <v>265758.5</v>
      </c>
    </row>
    <row r="767" spans="1:20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 xml:space="preserve"> COUNTIF(deals_closed!D:D,A767)</f>
        <v>16</v>
      </c>
      <c r="G767" s="5">
        <f>SUMIF(deals_closed!D:D, calculations!A767, deals_closed!C:C)</f>
        <v>569297</v>
      </c>
      <c r="H767" s="5">
        <f>VLOOKUP(D767,'2018_commission_structure'!$A$2:$I$4,9,FALSE)</f>
        <v>600000</v>
      </c>
      <c r="I767" s="9">
        <f t="shared" si="66"/>
        <v>750000</v>
      </c>
      <c r="J767" s="8">
        <f t="shared" si="67"/>
        <v>900000</v>
      </c>
      <c r="K767" s="9">
        <f t="shared" si="68"/>
        <v>1200000</v>
      </c>
      <c r="L767" s="10">
        <f t="shared" si="69"/>
        <v>0.94882833333333338</v>
      </c>
      <c r="M767" t="str">
        <f t="shared" si="70"/>
        <v>0-100%</v>
      </c>
      <c r="N767" s="9">
        <f>MIN(H767, G767)*INDEX('2018_commission_structure'!$A$1:$I$4,
MATCH($D767, '2018_commission_structure'!$A$1:$A$4,0),
MATCH(N$1, '2018_commission_structure'!$A$1:$I$1,0))</f>
        <v>74008.61</v>
      </c>
      <c r="O767" s="11">
        <f>IF(G767&gt;H767, MIN(G767-H767, I767-H767)*
INDEX('2018_commission_structure'!$A$1:$I$4,
MATCH($D767, '2018_commission_structure'!$A$1:$A$4, 0),
MATCH(O$1, '2018_commission_structure'!$A$1:$I$1, 0)), 0)</f>
        <v>0</v>
      </c>
      <c r="P767" s="11">
        <f>IF(G767&gt;H767, MIN(G767-H767, J767-H767)*
INDEX('2018_commission_structure'!$A$1:$I$4,
MATCH($D767, '2018_commission_structure'!$A$1:$A$4, 0),
MATCH(O$1, '2018_commission_structure'!$A$1:$I$1, 0)), 0)</f>
        <v>0</v>
      </c>
      <c r="Q767" s="11">
        <f>IF(G767&gt;H767, MIN(G767-H767, I767-H767)*
INDEX('2018_commission_structure'!$A$1:$I$4,
MATCH($D767, '2018_commission_structure'!$A$1:$A$4, 0),
MATCH(P$1, '2018_commission_structure'!$A$1:$I$1, 0)), 0)</f>
        <v>0</v>
      </c>
      <c r="R767" s="11">
        <f>IF(G767&gt;K767, (G767-K767) *
INDEX('2018_commission_structure'!$A$1:$I$4,
MATCH($D767, '2018_commission_structure'!$A$1:$A$4,0),
MATCH(R$1, '2018_commission_structure'!$A$1:$I$1,0)), 0)</f>
        <v>0</v>
      </c>
      <c r="S767" s="11">
        <f t="shared" si="71"/>
        <v>0</v>
      </c>
      <c r="T767" s="11" cm="1">
        <f t="array" ref="T767">SUM(E767+O767:Q767)</f>
        <v>183879</v>
      </c>
    </row>
    <row r="768" spans="1:20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 xml:space="preserve"> COUNTIF(deals_closed!D:D,A768)</f>
        <v>23</v>
      </c>
      <c r="G768" s="5">
        <f>SUMIF(deals_closed!D:D, calculations!A768, deals_closed!C:C)</f>
        <v>822894</v>
      </c>
      <c r="H768" s="5">
        <f>VLOOKUP(D768,'2018_commission_structure'!$A$2:$I$4,9,FALSE)</f>
        <v>600000</v>
      </c>
      <c r="I768" s="9">
        <f t="shared" si="66"/>
        <v>750000</v>
      </c>
      <c r="J768" s="8">
        <f t="shared" si="67"/>
        <v>900000</v>
      </c>
      <c r="K768" s="9">
        <f t="shared" si="68"/>
        <v>1200000</v>
      </c>
      <c r="L768" s="10">
        <f t="shared" si="69"/>
        <v>1.3714900000000001</v>
      </c>
      <c r="M768" t="str">
        <f t="shared" si="70"/>
        <v>125-150%</v>
      </c>
      <c r="N768" s="9">
        <f>MIN(H768, G768)*INDEX('2018_commission_structure'!$A$1:$I$4,
MATCH($D768, '2018_commission_structure'!$A$1:$A$4,0),
MATCH(N$1, '2018_commission_structure'!$A$1:$I$1,0))</f>
        <v>78000</v>
      </c>
      <c r="O768" s="11">
        <f>IF(G768&gt;H768, MIN(G768-H768, I768-H768)*
INDEX('2018_commission_structure'!$A$1:$I$4,
MATCH($D768, '2018_commission_structure'!$A$1:$A$4, 0),
MATCH(O$1, '2018_commission_structure'!$A$1:$I$1, 0)), 0)</f>
        <v>25500.000000000004</v>
      </c>
      <c r="P768" s="11">
        <f>IF(G768&gt;H768, MIN(G768-H768, J768-H768)*
INDEX('2018_commission_structure'!$A$1:$I$4,
MATCH($D768, '2018_commission_structure'!$A$1:$A$4, 0),
MATCH(O$1, '2018_commission_structure'!$A$1:$I$1, 0)), 0)</f>
        <v>37891.980000000003</v>
      </c>
      <c r="Q768" s="11">
        <f>IF(G768&gt;H768, MIN(G768-H768, I768-H768)*
INDEX('2018_commission_structure'!$A$1:$I$4,
MATCH($D768, '2018_commission_structure'!$A$1:$A$4, 0),
MATCH(P$1, '2018_commission_structure'!$A$1:$I$1, 0)), 0)</f>
        <v>31500</v>
      </c>
      <c r="R768" s="11">
        <f>IF(G768&gt;K768, (G768-K768) *
INDEX('2018_commission_structure'!$A$1:$I$4,
MATCH($D768, '2018_commission_structure'!$A$1:$A$4,0),
MATCH(R$1, '2018_commission_structure'!$A$1:$I$1,0)), 0)</f>
        <v>0</v>
      </c>
      <c r="S768" s="11">
        <f t="shared" si="71"/>
        <v>94891.98000000001</v>
      </c>
      <c r="T768" s="11" cm="1">
        <f t="array" ref="T768">SUM(E768+O768:Q768)</f>
        <v>288940.98</v>
      </c>
    </row>
    <row r="769" spans="1:20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 xml:space="preserve"> COUNTIF(deals_closed!D:D,A769)</f>
        <v>15</v>
      </c>
      <c r="G769" s="5">
        <f>SUMIF(deals_closed!D:D, calculations!A769, deals_closed!C:C)</f>
        <v>458838</v>
      </c>
      <c r="H769" s="5">
        <f>VLOOKUP(D769,'2018_commission_structure'!$A$2:$I$4,9,FALSE)</f>
        <v>500000</v>
      </c>
      <c r="I769" s="9">
        <f t="shared" si="66"/>
        <v>625000</v>
      </c>
      <c r="J769" s="8">
        <f t="shared" si="67"/>
        <v>750000</v>
      </c>
      <c r="K769" s="9">
        <f t="shared" si="68"/>
        <v>1000000</v>
      </c>
      <c r="L769" s="10">
        <f t="shared" si="69"/>
        <v>0.91767600000000005</v>
      </c>
      <c r="M769" t="str">
        <f t="shared" si="70"/>
        <v>0-100%</v>
      </c>
      <c r="N769" s="9">
        <f>MIN(H769, G769)*INDEX('2018_commission_structure'!$A$1:$I$4,
MATCH($D769, '2018_commission_structure'!$A$1:$A$4,0),
MATCH(N$1, '2018_commission_structure'!$A$1:$I$1,0))</f>
        <v>45883.8</v>
      </c>
      <c r="O769" s="11">
        <f>IF(G769&gt;H769, MIN(G769-H769, I769-H769)*
INDEX('2018_commission_structure'!$A$1:$I$4,
MATCH($D769, '2018_commission_structure'!$A$1:$A$4, 0),
MATCH(O$1, '2018_commission_structure'!$A$1:$I$1, 0)), 0)</f>
        <v>0</v>
      </c>
      <c r="P769" s="11">
        <f>IF(G769&gt;H769, MIN(G769-H769, J769-H769)*
INDEX('2018_commission_structure'!$A$1:$I$4,
MATCH($D769, '2018_commission_structure'!$A$1:$A$4, 0),
MATCH(O$1, '2018_commission_structure'!$A$1:$I$1, 0)), 0)</f>
        <v>0</v>
      </c>
      <c r="Q769" s="11">
        <f>IF(G769&gt;H769, MIN(G769-H769, I769-H769)*
INDEX('2018_commission_structure'!$A$1:$I$4,
MATCH($D769, '2018_commission_structure'!$A$1:$A$4, 0),
MATCH(P$1, '2018_commission_structure'!$A$1:$I$1, 0)), 0)</f>
        <v>0</v>
      </c>
      <c r="R769" s="11">
        <f>IF(G769&gt;K769, (G769-K769) *
INDEX('2018_commission_structure'!$A$1:$I$4,
MATCH($D769, '2018_commission_structure'!$A$1:$A$4,0),
MATCH(R$1, '2018_commission_structure'!$A$1:$I$1,0)), 0)</f>
        <v>0</v>
      </c>
      <c r="S769" s="11">
        <f t="shared" si="71"/>
        <v>0</v>
      </c>
      <c r="T769" s="11" cm="1">
        <f t="array" ref="T769">SUM(E769+O769:Q769)</f>
        <v>97152</v>
      </c>
    </row>
    <row r="770" spans="1:20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 xml:space="preserve"> COUNTIF(deals_closed!D:D,A770)</f>
        <v>16</v>
      </c>
      <c r="G770" s="5">
        <f>SUMIF(deals_closed!D:D, calculations!A770, deals_closed!C:C)</f>
        <v>535986</v>
      </c>
      <c r="H770" s="5">
        <f>VLOOKUP(D770,'2018_commission_structure'!$A$2:$I$4,9,FALSE)</f>
        <v>600000</v>
      </c>
      <c r="I770" s="9">
        <f t="shared" si="66"/>
        <v>750000</v>
      </c>
      <c r="J770" s="8">
        <f t="shared" si="67"/>
        <v>900000</v>
      </c>
      <c r="K770" s="9">
        <f t="shared" si="68"/>
        <v>1200000</v>
      </c>
      <c r="L770" s="10">
        <f t="shared" si="69"/>
        <v>0.89331000000000005</v>
      </c>
      <c r="M770" t="str">
        <f t="shared" si="70"/>
        <v>0-100%</v>
      </c>
      <c r="N770" s="9">
        <f>MIN(H770, G770)*INDEX('2018_commission_structure'!$A$1:$I$4,
MATCH($D770, '2018_commission_structure'!$A$1:$A$4,0),
MATCH(N$1, '2018_commission_structure'!$A$1:$I$1,0))</f>
        <v>69678.180000000008</v>
      </c>
      <c r="O770" s="11">
        <f>IF(G770&gt;H770, MIN(G770-H770, I770-H770)*
INDEX('2018_commission_structure'!$A$1:$I$4,
MATCH($D770, '2018_commission_structure'!$A$1:$A$4, 0),
MATCH(O$1, '2018_commission_structure'!$A$1:$I$1, 0)), 0)</f>
        <v>0</v>
      </c>
      <c r="P770" s="11">
        <f>IF(G770&gt;H770, MIN(G770-H770, J770-H770)*
INDEX('2018_commission_structure'!$A$1:$I$4,
MATCH($D770, '2018_commission_structure'!$A$1:$A$4, 0),
MATCH(O$1, '2018_commission_structure'!$A$1:$I$1, 0)), 0)</f>
        <v>0</v>
      </c>
      <c r="Q770" s="11">
        <f>IF(G770&gt;H770, MIN(G770-H770, I770-H770)*
INDEX('2018_commission_structure'!$A$1:$I$4,
MATCH($D770, '2018_commission_structure'!$A$1:$A$4, 0),
MATCH(P$1, '2018_commission_structure'!$A$1:$I$1, 0)), 0)</f>
        <v>0</v>
      </c>
      <c r="R770" s="11">
        <f>IF(G770&gt;K770, (G770-K770) *
INDEX('2018_commission_structure'!$A$1:$I$4,
MATCH($D770, '2018_commission_structure'!$A$1:$A$4,0),
MATCH(R$1, '2018_commission_structure'!$A$1:$I$1,0)), 0)</f>
        <v>0</v>
      </c>
      <c r="S770" s="11">
        <f t="shared" si="71"/>
        <v>0</v>
      </c>
      <c r="T770" s="11" cm="1">
        <f t="array" ref="T770">SUM(E770+O770:Q770)</f>
        <v>151011</v>
      </c>
    </row>
    <row r="771" spans="1:20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 xml:space="preserve"> COUNTIF(deals_closed!D:D,A771)</f>
        <v>23</v>
      </c>
      <c r="G771" s="5">
        <f>SUMIF(deals_closed!D:D, calculations!A771, deals_closed!C:C)</f>
        <v>728077</v>
      </c>
      <c r="H771" s="5">
        <f>VLOOKUP(D771,'2018_commission_structure'!$A$2:$I$4,9,FALSE)</f>
        <v>750000</v>
      </c>
      <c r="I771" s="9">
        <f t="shared" ref="I771:I834" si="72">H771*1.25</f>
        <v>937500</v>
      </c>
      <c r="J771" s="8">
        <f t="shared" ref="J771:J834" si="73">H771*1.5</f>
        <v>1125000</v>
      </c>
      <c r="K771" s="9">
        <f t="shared" ref="K771:K834" si="74">H771*2</f>
        <v>1500000</v>
      </c>
      <c r="L771" s="10">
        <f t="shared" ref="L771:L834" si="75">G771/H771</f>
        <v>0.97076933333333337</v>
      </c>
      <c r="M771" t="str">
        <f t="shared" ref="M771:M834" si="76">IF(L771&lt;=1, "0-100%",
IF(L771&lt;=1.25, "100-125%",
IF(L771&lt;=1.5, "125-150%",
IF(L771&lt;2, "150-200%", "&gt;200%"))))</f>
        <v>0-100%</v>
      </c>
      <c r="N771" s="9">
        <f>MIN(H771, G771)*INDEX('2018_commission_structure'!$A$1:$I$4,
MATCH($D771, '2018_commission_structure'!$A$1:$A$4,0),
MATCH(N$1, '2018_commission_structure'!$A$1:$I$1,0))</f>
        <v>109211.55</v>
      </c>
      <c r="O771" s="11">
        <f>IF(G771&gt;H771, MIN(G771-H771, I771-H771)*
INDEX('2018_commission_structure'!$A$1:$I$4,
MATCH($D771, '2018_commission_structure'!$A$1:$A$4, 0),
MATCH(O$1, '2018_commission_structure'!$A$1:$I$1, 0)), 0)</f>
        <v>0</v>
      </c>
      <c r="P771" s="11">
        <f>IF(G771&gt;H771, MIN(G771-H771, J771-H771)*
INDEX('2018_commission_structure'!$A$1:$I$4,
MATCH($D771, '2018_commission_structure'!$A$1:$A$4, 0),
MATCH(O$1, '2018_commission_structure'!$A$1:$I$1, 0)), 0)</f>
        <v>0</v>
      </c>
      <c r="Q771" s="11">
        <f>IF(G771&gt;H771, MIN(G771-H771, I771-H771)*
INDEX('2018_commission_structure'!$A$1:$I$4,
MATCH($D771, '2018_commission_structure'!$A$1:$A$4, 0),
MATCH(P$1, '2018_commission_structure'!$A$1:$I$1, 0)), 0)</f>
        <v>0</v>
      </c>
      <c r="R771" s="11">
        <f>IF(G771&gt;K771, (G771-K771) *
INDEX('2018_commission_structure'!$A$1:$I$4,
MATCH($D771, '2018_commission_structure'!$A$1:$A$4,0),
MATCH(R$1, '2018_commission_structure'!$A$1:$I$1,0)), 0)</f>
        <v>0</v>
      </c>
      <c r="S771" s="11">
        <f t="shared" ref="S771:S834" si="77">SUM(O771:Q771)</f>
        <v>0</v>
      </c>
      <c r="T771" s="11" cm="1">
        <f t="array" ref="T771">SUM(E771+O771:Q771)</f>
        <v>302772</v>
      </c>
    </row>
    <row r="772" spans="1:20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 xml:space="preserve"> COUNTIF(deals_closed!D:D,A772)</f>
        <v>22</v>
      </c>
      <c r="G772" s="5">
        <f>SUMIF(deals_closed!D:D, calculations!A772, deals_closed!C:C)</f>
        <v>826741</v>
      </c>
      <c r="H772" s="5">
        <f>VLOOKUP(D772,'2018_commission_structure'!$A$2:$I$4,9,FALSE)</f>
        <v>750000</v>
      </c>
      <c r="I772" s="9">
        <f t="shared" si="72"/>
        <v>937500</v>
      </c>
      <c r="J772" s="8">
        <f t="shared" si="73"/>
        <v>1125000</v>
      </c>
      <c r="K772" s="9">
        <f t="shared" si="74"/>
        <v>1500000</v>
      </c>
      <c r="L772" s="10">
        <f t="shared" si="75"/>
        <v>1.1023213333333333</v>
      </c>
      <c r="M772" t="str">
        <f t="shared" si="76"/>
        <v>100-125%</v>
      </c>
      <c r="N772" s="9">
        <f>MIN(H772, G772)*INDEX('2018_commission_structure'!$A$1:$I$4,
MATCH($D772, '2018_commission_structure'!$A$1:$A$4,0),
MATCH(N$1, '2018_commission_structure'!$A$1:$I$1,0))</f>
        <v>112500</v>
      </c>
      <c r="O772" s="11">
        <f>IF(G772&gt;H772, MIN(G772-H772, I772-H772)*
INDEX('2018_commission_structure'!$A$1:$I$4,
MATCH($D772, '2018_commission_structure'!$A$1:$A$4, 0),
MATCH(O$1, '2018_commission_structure'!$A$1:$I$1, 0)), 0)</f>
        <v>14580.79</v>
      </c>
      <c r="P772" s="11">
        <f>IF(G772&gt;H772, MIN(G772-H772, J772-H772)*
INDEX('2018_commission_structure'!$A$1:$I$4,
MATCH($D772, '2018_commission_structure'!$A$1:$A$4, 0),
MATCH(O$1, '2018_commission_structure'!$A$1:$I$1, 0)), 0)</f>
        <v>14580.79</v>
      </c>
      <c r="Q772" s="11">
        <f>IF(G772&gt;H772, MIN(G772-H772, I772-H772)*
INDEX('2018_commission_structure'!$A$1:$I$4,
MATCH($D772, '2018_commission_structure'!$A$1:$A$4, 0),
MATCH(P$1, '2018_commission_structure'!$A$1:$I$1, 0)), 0)</f>
        <v>17650.43</v>
      </c>
      <c r="R772" s="11">
        <f>IF(G772&gt;K772, (G772-K772) *
INDEX('2018_commission_structure'!$A$1:$I$4,
MATCH($D772, '2018_commission_structure'!$A$1:$A$4,0),
MATCH(R$1, '2018_commission_structure'!$A$1:$I$1,0)), 0)</f>
        <v>0</v>
      </c>
      <c r="S772" s="11">
        <f t="shared" si="77"/>
        <v>46812.01</v>
      </c>
      <c r="T772" s="11" cm="1">
        <f t="array" ref="T772">SUM(E772+O772:Q772)</f>
        <v>397026.01</v>
      </c>
    </row>
    <row r="773" spans="1:20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 xml:space="preserve"> COUNTIF(deals_closed!D:D,A773)</f>
        <v>18</v>
      </c>
      <c r="G773" s="5">
        <f>SUMIF(deals_closed!D:D, calculations!A773, deals_closed!C:C)</f>
        <v>585356</v>
      </c>
      <c r="H773" s="5">
        <f>VLOOKUP(D773,'2018_commission_structure'!$A$2:$I$4,9,FALSE)</f>
        <v>750000</v>
      </c>
      <c r="I773" s="9">
        <f t="shared" si="72"/>
        <v>937500</v>
      </c>
      <c r="J773" s="8">
        <f t="shared" si="73"/>
        <v>1125000</v>
      </c>
      <c r="K773" s="9">
        <f t="shared" si="74"/>
        <v>1500000</v>
      </c>
      <c r="L773" s="10">
        <f t="shared" si="75"/>
        <v>0.78047466666666665</v>
      </c>
      <c r="M773" t="str">
        <f t="shared" si="76"/>
        <v>0-100%</v>
      </c>
      <c r="N773" s="9">
        <f>MIN(H773, G773)*INDEX('2018_commission_structure'!$A$1:$I$4,
MATCH($D773, '2018_commission_structure'!$A$1:$A$4,0),
MATCH(N$1, '2018_commission_structure'!$A$1:$I$1,0))</f>
        <v>87803.4</v>
      </c>
      <c r="O773" s="11">
        <f>IF(G773&gt;H773, MIN(G773-H773, I773-H773)*
INDEX('2018_commission_structure'!$A$1:$I$4,
MATCH($D773, '2018_commission_structure'!$A$1:$A$4, 0),
MATCH(O$1, '2018_commission_structure'!$A$1:$I$1, 0)), 0)</f>
        <v>0</v>
      </c>
      <c r="P773" s="11">
        <f>IF(G773&gt;H773, MIN(G773-H773, J773-H773)*
INDEX('2018_commission_structure'!$A$1:$I$4,
MATCH($D773, '2018_commission_structure'!$A$1:$A$4, 0),
MATCH(O$1, '2018_commission_structure'!$A$1:$I$1, 0)), 0)</f>
        <v>0</v>
      </c>
      <c r="Q773" s="11">
        <f>IF(G773&gt;H773, MIN(G773-H773, I773-H773)*
INDEX('2018_commission_structure'!$A$1:$I$4,
MATCH($D773, '2018_commission_structure'!$A$1:$A$4, 0),
MATCH(P$1, '2018_commission_structure'!$A$1:$I$1, 0)), 0)</f>
        <v>0</v>
      </c>
      <c r="R773" s="11">
        <f>IF(G773&gt;K773, (G773-K773) *
INDEX('2018_commission_structure'!$A$1:$I$4,
MATCH($D773, '2018_commission_structure'!$A$1:$A$4,0),
MATCH(R$1, '2018_commission_structure'!$A$1:$I$1,0)), 0)</f>
        <v>0</v>
      </c>
      <c r="S773" s="11">
        <f t="shared" si="77"/>
        <v>0</v>
      </c>
      <c r="T773" s="11" cm="1">
        <f t="array" ref="T773">SUM(E773+O773:Q773)</f>
        <v>272991</v>
      </c>
    </row>
    <row r="774" spans="1:20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 xml:space="preserve"> COUNTIF(deals_closed!D:D,A774)</f>
        <v>15</v>
      </c>
      <c r="G774" s="5">
        <f>SUMIF(deals_closed!D:D, calculations!A774, deals_closed!C:C)</f>
        <v>552282</v>
      </c>
      <c r="H774" s="5">
        <f>VLOOKUP(D774,'2018_commission_structure'!$A$2:$I$4,9,FALSE)</f>
        <v>500000</v>
      </c>
      <c r="I774" s="9">
        <f t="shared" si="72"/>
        <v>625000</v>
      </c>
      <c r="J774" s="8">
        <f t="shared" si="73"/>
        <v>750000</v>
      </c>
      <c r="K774" s="9">
        <f t="shared" si="74"/>
        <v>1000000</v>
      </c>
      <c r="L774" s="10">
        <f t="shared" si="75"/>
        <v>1.1045640000000001</v>
      </c>
      <c r="M774" t="str">
        <f t="shared" si="76"/>
        <v>100-125%</v>
      </c>
      <c r="N774" s="9">
        <f>MIN(H774, G774)*INDEX('2018_commission_structure'!$A$1:$I$4,
MATCH($D774, '2018_commission_structure'!$A$1:$A$4,0),
MATCH(N$1, '2018_commission_structure'!$A$1:$I$1,0))</f>
        <v>50000</v>
      </c>
      <c r="O774" s="11">
        <f>IF(G774&gt;H774, MIN(G774-H774, I774-H774)*
INDEX('2018_commission_structure'!$A$1:$I$4,
MATCH($D774, '2018_commission_structure'!$A$1:$A$4, 0),
MATCH(O$1, '2018_commission_structure'!$A$1:$I$1, 0)), 0)</f>
        <v>7842.2999999999993</v>
      </c>
      <c r="P774" s="11">
        <f>IF(G774&gt;H774, MIN(G774-H774, J774-H774)*
INDEX('2018_commission_structure'!$A$1:$I$4,
MATCH($D774, '2018_commission_structure'!$A$1:$A$4, 0),
MATCH(O$1, '2018_commission_structure'!$A$1:$I$1, 0)), 0)</f>
        <v>7842.2999999999993</v>
      </c>
      <c r="Q774" s="11">
        <f>IF(G774&gt;H774, MIN(G774-H774, I774-H774)*
INDEX('2018_commission_structure'!$A$1:$I$4,
MATCH($D774, '2018_commission_structure'!$A$1:$A$4, 0),
MATCH(P$1, '2018_commission_structure'!$A$1:$I$1, 0)), 0)</f>
        <v>9410.76</v>
      </c>
      <c r="R774" s="11">
        <f>IF(G774&gt;K774, (G774-K774) *
INDEX('2018_commission_structure'!$A$1:$I$4,
MATCH($D774, '2018_commission_structure'!$A$1:$A$4,0),
MATCH(R$1, '2018_commission_structure'!$A$1:$I$1,0)), 0)</f>
        <v>0</v>
      </c>
      <c r="S774" s="11">
        <f t="shared" si="77"/>
        <v>25095.360000000001</v>
      </c>
      <c r="T774" s="11" cm="1">
        <f t="array" ref="T774">SUM(E774+O774:Q774)</f>
        <v>173895.36000000002</v>
      </c>
    </row>
    <row r="775" spans="1:20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 xml:space="preserve"> COUNTIF(deals_closed!D:D,A775)</f>
        <v>17</v>
      </c>
      <c r="G775" s="5">
        <f>SUMIF(deals_closed!D:D, calculations!A775, deals_closed!C:C)</f>
        <v>596808</v>
      </c>
      <c r="H775" s="5">
        <f>VLOOKUP(D775,'2018_commission_structure'!$A$2:$I$4,9,FALSE)</f>
        <v>750000</v>
      </c>
      <c r="I775" s="9">
        <f t="shared" si="72"/>
        <v>937500</v>
      </c>
      <c r="J775" s="8">
        <f t="shared" si="73"/>
        <v>1125000</v>
      </c>
      <c r="K775" s="9">
        <f t="shared" si="74"/>
        <v>1500000</v>
      </c>
      <c r="L775" s="10">
        <f t="shared" si="75"/>
        <v>0.79574400000000001</v>
      </c>
      <c r="M775" t="str">
        <f t="shared" si="76"/>
        <v>0-100%</v>
      </c>
      <c r="N775" s="9">
        <f>MIN(H775, G775)*INDEX('2018_commission_structure'!$A$1:$I$4,
MATCH($D775, '2018_commission_structure'!$A$1:$A$4,0),
MATCH(N$1, '2018_commission_structure'!$A$1:$I$1,0))</f>
        <v>89521.2</v>
      </c>
      <c r="O775" s="11">
        <f>IF(G775&gt;H775, MIN(G775-H775, I775-H775)*
INDEX('2018_commission_structure'!$A$1:$I$4,
MATCH($D775, '2018_commission_structure'!$A$1:$A$4, 0),
MATCH(O$1, '2018_commission_structure'!$A$1:$I$1, 0)), 0)</f>
        <v>0</v>
      </c>
      <c r="P775" s="11">
        <f>IF(G775&gt;H775, MIN(G775-H775, J775-H775)*
INDEX('2018_commission_structure'!$A$1:$I$4,
MATCH($D775, '2018_commission_structure'!$A$1:$A$4, 0),
MATCH(O$1, '2018_commission_structure'!$A$1:$I$1, 0)), 0)</f>
        <v>0</v>
      </c>
      <c r="Q775" s="11">
        <f>IF(G775&gt;H775, MIN(G775-H775, I775-H775)*
INDEX('2018_commission_structure'!$A$1:$I$4,
MATCH($D775, '2018_commission_structure'!$A$1:$A$4, 0),
MATCH(P$1, '2018_commission_structure'!$A$1:$I$1, 0)), 0)</f>
        <v>0</v>
      </c>
      <c r="R775" s="11">
        <f>IF(G775&gt;K775, (G775-K775) *
INDEX('2018_commission_structure'!$A$1:$I$4,
MATCH($D775, '2018_commission_structure'!$A$1:$A$4,0),
MATCH(R$1, '2018_commission_structure'!$A$1:$I$1,0)), 0)</f>
        <v>0</v>
      </c>
      <c r="S775" s="11">
        <f t="shared" si="77"/>
        <v>0</v>
      </c>
      <c r="T775" s="11" cm="1">
        <f t="array" ref="T775">SUM(E775+O775:Q775)</f>
        <v>267735</v>
      </c>
    </row>
    <row r="776" spans="1:20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 xml:space="preserve"> COUNTIF(deals_closed!D:D,A776)</f>
        <v>17</v>
      </c>
      <c r="G776" s="5">
        <f>SUMIF(deals_closed!D:D, calculations!A776, deals_closed!C:C)</f>
        <v>523072</v>
      </c>
      <c r="H776" s="5">
        <f>VLOOKUP(D776,'2018_commission_structure'!$A$2:$I$4,9,FALSE)</f>
        <v>600000</v>
      </c>
      <c r="I776" s="9">
        <f t="shared" si="72"/>
        <v>750000</v>
      </c>
      <c r="J776" s="8">
        <f t="shared" si="73"/>
        <v>900000</v>
      </c>
      <c r="K776" s="9">
        <f t="shared" si="74"/>
        <v>1200000</v>
      </c>
      <c r="L776" s="10">
        <f t="shared" si="75"/>
        <v>0.87178666666666671</v>
      </c>
      <c r="M776" t="str">
        <f t="shared" si="76"/>
        <v>0-100%</v>
      </c>
      <c r="N776" s="9">
        <f>MIN(H776, G776)*INDEX('2018_commission_structure'!$A$1:$I$4,
MATCH($D776, '2018_commission_structure'!$A$1:$A$4,0),
MATCH(N$1, '2018_commission_structure'!$A$1:$I$1,0))</f>
        <v>67999.360000000001</v>
      </c>
      <c r="O776" s="11">
        <f>IF(G776&gt;H776, MIN(G776-H776, I776-H776)*
INDEX('2018_commission_structure'!$A$1:$I$4,
MATCH($D776, '2018_commission_structure'!$A$1:$A$4, 0),
MATCH(O$1, '2018_commission_structure'!$A$1:$I$1, 0)), 0)</f>
        <v>0</v>
      </c>
      <c r="P776" s="11">
        <f>IF(G776&gt;H776, MIN(G776-H776, J776-H776)*
INDEX('2018_commission_structure'!$A$1:$I$4,
MATCH($D776, '2018_commission_structure'!$A$1:$A$4, 0),
MATCH(O$1, '2018_commission_structure'!$A$1:$I$1, 0)), 0)</f>
        <v>0</v>
      </c>
      <c r="Q776" s="11">
        <f>IF(G776&gt;H776, MIN(G776-H776, I776-H776)*
INDEX('2018_commission_structure'!$A$1:$I$4,
MATCH($D776, '2018_commission_structure'!$A$1:$A$4, 0),
MATCH(P$1, '2018_commission_structure'!$A$1:$I$1, 0)), 0)</f>
        <v>0</v>
      </c>
      <c r="R776" s="11">
        <f>IF(G776&gt;K776, (G776-K776) *
INDEX('2018_commission_structure'!$A$1:$I$4,
MATCH($D776, '2018_commission_structure'!$A$1:$A$4,0),
MATCH(R$1, '2018_commission_structure'!$A$1:$I$1,0)), 0)</f>
        <v>0</v>
      </c>
      <c r="S776" s="11">
        <f t="shared" si="77"/>
        <v>0</v>
      </c>
      <c r="T776" s="11" cm="1">
        <f t="array" ref="T776">SUM(E776+O776:Q776)</f>
        <v>224901</v>
      </c>
    </row>
    <row r="777" spans="1:20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 xml:space="preserve"> COUNTIF(deals_closed!D:D,A777)</f>
        <v>19</v>
      </c>
      <c r="G777" s="5">
        <f>SUMIF(deals_closed!D:D, calculations!A777, deals_closed!C:C)</f>
        <v>681071</v>
      </c>
      <c r="H777" s="5">
        <f>VLOOKUP(D777,'2018_commission_structure'!$A$2:$I$4,9,FALSE)</f>
        <v>600000</v>
      </c>
      <c r="I777" s="9">
        <f t="shared" si="72"/>
        <v>750000</v>
      </c>
      <c r="J777" s="8">
        <f t="shared" si="73"/>
        <v>900000</v>
      </c>
      <c r="K777" s="9">
        <f t="shared" si="74"/>
        <v>1200000</v>
      </c>
      <c r="L777" s="10">
        <f t="shared" si="75"/>
        <v>1.1351183333333332</v>
      </c>
      <c r="M777" t="str">
        <f t="shared" si="76"/>
        <v>100-125%</v>
      </c>
      <c r="N777" s="9">
        <f>MIN(H777, G777)*INDEX('2018_commission_structure'!$A$1:$I$4,
MATCH($D777, '2018_commission_structure'!$A$1:$A$4,0),
MATCH(N$1, '2018_commission_structure'!$A$1:$I$1,0))</f>
        <v>78000</v>
      </c>
      <c r="O777" s="11">
        <f>IF(G777&gt;H777, MIN(G777-H777, I777-H777)*
INDEX('2018_commission_structure'!$A$1:$I$4,
MATCH($D777, '2018_commission_structure'!$A$1:$A$4, 0),
MATCH(O$1, '2018_commission_structure'!$A$1:$I$1, 0)), 0)</f>
        <v>13782.070000000002</v>
      </c>
      <c r="P777" s="11">
        <f>IF(G777&gt;H777, MIN(G777-H777, J777-H777)*
INDEX('2018_commission_structure'!$A$1:$I$4,
MATCH($D777, '2018_commission_structure'!$A$1:$A$4, 0),
MATCH(O$1, '2018_commission_structure'!$A$1:$I$1, 0)), 0)</f>
        <v>13782.070000000002</v>
      </c>
      <c r="Q777" s="11">
        <f>IF(G777&gt;H777, MIN(G777-H777, I777-H777)*
INDEX('2018_commission_structure'!$A$1:$I$4,
MATCH($D777, '2018_commission_structure'!$A$1:$A$4, 0),
MATCH(P$1, '2018_commission_structure'!$A$1:$I$1, 0)), 0)</f>
        <v>17024.91</v>
      </c>
      <c r="R777" s="11">
        <f>IF(G777&gt;K777, (G777-K777) *
INDEX('2018_commission_structure'!$A$1:$I$4,
MATCH($D777, '2018_commission_structure'!$A$1:$A$4,0),
MATCH(R$1, '2018_commission_structure'!$A$1:$I$1,0)), 0)</f>
        <v>0</v>
      </c>
      <c r="S777" s="11">
        <f t="shared" si="77"/>
        <v>44589.05</v>
      </c>
      <c r="T777" s="11" cm="1">
        <f t="array" ref="T777">SUM(E777+O777:Q777)</f>
        <v>258318.05000000002</v>
      </c>
    </row>
    <row r="778" spans="1:20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 xml:space="preserve"> COUNTIF(deals_closed!D:D,A778)</f>
        <v>24</v>
      </c>
      <c r="G778" s="5">
        <f>SUMIF(deals_closed!D:D, calculations!A778, deals_closed!C:C)</f>
        <v>745980</v>
      </c>
      <c r="H778" s="5">
        <f>VLOOKUP(D778,'2018_commission_structure'!$A$2:$I$4,9,FALSE)</f>
        <v>500000</v>
      </c>
      <c r="I778" s="9">
        <f t="shared" si="72"/>
        <v>625000</v>
      </c>
      <c r="J778" s="8">
        <f t="shared" si="73"/>
        <v>750000</v>
      </c>
      <c r="K778" s="9">
        <f t="shared" si="74"/>
        <v>1000000</v>
      </c>
      <c r="L778" s="10">
        <f t="shared" si="75"/>
        <v>1.49196</v>
      </c>
      <c r="M778" t="str">
        <f t="shared" si="76"/>
        <v>125-150%</v>
      </c>
      <c r="N778" s="9">
        <f>MIN(H778, G778)*INDEX('2018_commission_structure'!$A$1:$I$4,
MATCH($D778, '2018_commission_structure'!$A$1:$A$4,0),
MATCH(N$1, '2018_commission_structure'!$A$1:$I$1,0))</f>
        <v>50000</v>
      </c>
      <c r="O778" s="11">
        <f>IF(G778&gt;H778, MIN(G778-H778, I778-H778)*
INDEX('2018_commission_structure'!$A$1:$I$4,
MATCH($D778, '2018_commission_structure'!$A$1:$A$4, 0),
MATCH(O$1, '2018_commission_structure'!$A$1:$I$1, 0)), 0)</f>
        <v>18750</v>
      </c>
      <c r="P778" s="11">
        <f>IF(G778&gt;H778, MIN(G778-H778, J778-H778)*
INDEX('2018_commission_structure'!$A$1:$I$4,
MATCH($D778, '2018_commission_structure'!$A$1:$A$4, 0),
MATCH(O$1, '2018_commission_structure'!$A$1:$I$1, 0)), 0)</f>
        <v>36897</v>
      </c>
      <c r="Q778" s="11">
        <f>IF(G778&gt;H778, MIN(G778-H778, I778-H778)*
INDEX('2018_commission_structure'!$A$1:$I$4,
MATCH($D778, '2018_commission_structure'!$A$1:$A$4, 0),
MATCH(P$1, '2018_commission_structure'!$A$1:$I$1, 0)), 0)</f>
        <v>22500</v>
      </c>
      <c r="R778" s="11">
        <f>IF(G778&gt;K778, (G778-K778) *
INDEX('2018_commission_structure'!$A$1:$I$4,
MATCH($D778, '2018_commission_structure'!$A$1:$A$4,0),
MATCH(R$1, '2018_commission_structure'!$A$1:$I$1,0)), 0)</f>
        <v>0</v>
      </c>
      <c r="S778" s="11">
        <f t="shared" si="77"/>
        <v>78147</v>
      </c>
      <c r="T778" s="11" cm="1">
        <f t="array" ref="T778">SUM(E778+O778:Q778)</f>
        <v>197925</v>
      </c>
    </row>
    <row r="779" spans="1:20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 xml:space="preserve"> COUNTIF(deals_closed!D:D,A779)</f>
        <v>20</v>
      </c>
      <c r="G779" s="5">
        <f>SUMIF(deals_closed!D:D, calculations!A779, deals_closed!C:C)</f>
        <v>650341</v>
      </c>
      <c r="H779" s="5">
        <f>VLOOKUP(D779,'2018_commission_structure'!$A$2:$I$4,9,FALSE)</f>
        <v>500000</v>
      </c>
      <c r="I779" s="9">
        <f t="shared" si="72"/>
        <v>625000</v>
      </c>
      <c r="J779" s="8">
        <f t="shared" si="73"/>
        <v>750000</v>
      </c>
      <c r="K779" s="9">
        <f t="shared" si="74"/>
        <v>1000000</v>
      </c>
      <c r="L779" s="10">
        <f t="shared" si="75"/>
        <v>1.3006819999999999</v>
      </c>
      <c r="M779" t="str">
        <f t="shared" si="76"/>
        <v>125-150%</v>
      </c>
      <c r="N779" s="9">
        <f>MIN(H779, G779)*INDEX('2018_commission_structure'!$A$1:$I$4,
MATCH($D779, '2018_commission_structure'!$A$1:$A$4,0),
MATCH(N$1, '2018_commission_structure'!$A$1:$I$1,0))</f>
        <v>50000</v>
      </c>
      <c r="O779" s="11">
        <f>IF(G779&gt;H779, MIN(G779-H779, I779-H779)*
INDEX('2018_commission_structure'!$A$1:$I$4,
MATCH($D779, '2018_commission_structure'!$A$1:$A$4, 0),
MATCH(O$1, '2018_commission_structure'!$A$1:$I$1, 0)), 0)</f>
        <v>18750</v>
      </c>
      <c r="P779" s="11">
        <f>IF(G779&gt;H779, MIN(G779-H779, J779-H779)*
INDEX('2018_commission_structure'!$A$1:$I$4,
MATCH($D779, '2018_commission_structure'!$A$1:$A$4, 0),
MATCH(O$1, '2018_commission_structure'!$A$1:$I$1, 0)), 0)</f>
        <v>22551.149999999998</v>
      </c>
      <c r="Q779" s="11">
        <f>IF(G779&gt;H779, MIN(G779-H779, I779-H779)*
INDEX('2018_commission_structure'!$A$1:$I$4,
MATCH($D779, '2018_commission_structure'!$A$1:$A$4, 0),
MATCH(P$1, '2018_commission_structure'!$A$1:$I$1, 0)), 0)</f>
        <v>22500</v>
      </c>
      <c r="R779" s="11">
        <f>IF(G779&gt;K779, (G779-K779) *
INDEX('2018_commission_structure'!$A$1:$I$4,
MATCH($D779, '2018_commission_structure'!$A$1:$A$4,0),
MATCH(R$1, '2018_commission_structure'!$A$1:$I$1,0)), 0)</f>
        <v>0</v>
      </c>
      <c r="S779" s="11">
        <f t="shared" si="77"/>
        <v>63801.149999999994</v>
      </c>
      <c r="T779" s="11" cm="1">
        <f t="array" ref="T779">SUM(E779+O779:Q779)</f>
        <v>180009.15</v>
      </c>
    </row>
    <row r="780" spans="1:20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 xml:space="preserve"> COUNTIF(deals_closed!D:D,A780)</f>
        <v>25</v>
      </c>
      <c r="G780" s="5">
        <f>SUMIF(deals_closed!D:D, calculations!A780, deals_closed!C:C)</f>
        <v>855507</v>
      </c>
      <c r="H780" s="5">
        <f>VLOOKUP(D780,'2018_commission_structure'!$A$2:$I$4,9,FALSE)</f>
        <v>600000</v>
      </c>
      <c r="I780" s="9">
        <f t="shared" si="72"/>
        <v>750000</v>
      </c>
      <c r="J780" s="8">
        <f t="shared" si="73"/>
        <v>900000</v>
      </c>
      <c r="K780" s="9">
        <f t="shared" si="74"/>
        <v>1200000</v>
      </c>
      <c r="L780" s="10">
        <f t="shared" si="75"/>
        <v>1.425845</v>
      </c>
      <c r="M780" t="str">
        <f t="shared" si="76"/>
        <v>125-150%</v>
      </c>
      <c r="N780" s="9">
        <f>MIN(H780, G780)*INDEX('2018_commission_structure'!$A$1:$I$4,
MATCH($D780, '2018_commission_structure'!$A$1:$A$4,0),
MATCH(N$1, '2018_commission_structure'!$A$1:$I$1,0))</f>
        <v>78000</v>
      </c>
      <c r="O780" s="11">
        <f>IF(G780&gt;H780, MIN(G780-H780, I780-H780)*
INDEX('2018_commission_structure'!$A$1:$I$4,
MATCH($D780, '2018_commission_structure'!$A$1:$A$4, 0),
MATCH(O$1, '2018_commission_structure'!$A$1:$I$1, 0)), 0)</f>
        <v>25500.000000000004</v>
      </c>
      <c r="P780" s="11">
        <f>IF(G780&gt;H780, MIN(G780-H780, J780-H780)*
INDEX('2018_commission_structure'!$A$1:$I$4,
MATCH($D780, '2018_commission_structure'!$A$1:$A$4, 0),
MATCH(O$1, '2018_commission_structure'!$A$1:$I$1, 0)), 0)</f>
        <v>43436.19</v>
      </c>
      <c r="Q780" s="11">
        <f>IF(G780&gt;H780, MIN(G780-H780, I780-H780)*
INDEX('2018_commission_structure'!$A$1:$I$4,
MATCH($D780, '2018_commission_structure'!$A$1:$A$4, 0),
MATCH(P$1, '2018_commission_structure'!$A$1:$I$1, 0)), 0)</f>
        <v>31500</v>
      </c>
      <c r="R780" s="11">
        <f>IF(G780&gt;K780, (G780-K780) *
INDEX('2018_commission_structure'!$A$1:$I$4,
MATCH($D780, '2018_commission_structure'!$A$1:$A$4,0),
MATCH(R$1, '2018_commission_structure'!$A$1:$I$1,0)), 0)</f>
        <v>0</v>
      </c>
      <c r="S780" s="11">
        <f t="shared" si="77"/>
        <v>100436.19</v>
      </c>
      <c r="T780" s="11" cm="1">
        <f t="array" ref="T780">SUM(E780+O780:Q780)</f>
        <v>252500.19</v>
      </c>
    </row>
    <row r="781" spans="1:20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 xml:space="preserve"> COUNTIF(deals_closed!D:D,A781)</f>
        <v>26</v>
      </c>
      <c r="G781" s="5">
        <f>SUMIF(deals_closed!D:D, calculations!A781, deals_closed!C:C)</f>
        <v>921445</v>
      </c>
      <c r="H781" s="5">
        <f>VLOOKUP(D781,'2018_commission_structure'!$A$2:$I$4,9,FALSE)</f>
        <v>500000</v>
      </c>
      <c r="I781" s="9">
        <f t="shared" si="72"/>
        <v>625000</v>
      </c>
      <c r="J781" s="8">
        <f t="shared" si="73"/>
        <v>750000</v>
      </c>
      <c r="K781" s="9">
        <f t="shared" si="74"/>
        <v>1000000</v>
      </c>
      <c r="L781" s="10">
        <f t="shared" si="75"/>
        <v>1.8428899999999999</v>
      </c>
      <c r="M781" t="str">
        <f t="shared" si="76"/>
        <v>150-200%</v>
      </c>
      <c r="N781" s="9">
        <f>MIN(H781, G781)*INDEX('2018_commission_structure'!$A$1:$I$4,
MATCH($D781, '2018_commission_structure'!$A$1:$A$4,0),
MATCH(N$1, '2018_commission_structure'!$A$1:$I$1,0))</f>
        <v>50000</v>
      </c>
      <c r="O781" s="11">
        <f>IF(G781&gt;H781, MIN(G781-H781, I781-H781)*
INDEX('2018_commission_structure'!$A$1:$I$4,
MATCH($D781, '2018_commission_structure'!$A$1:$A$4, 0),
MATCH(O$1, '2018_commission_structure'!$A$1:$I$1, 0)), 0)</f>
        <v>18750</v>
      </c>
      <c r="P781" s="11">
        <f>IF(G781&gt;H781, MIN(G781-H781, J781-H781)*
INDEX('2018_commission_structure'!$A$1:$I$4,
MATCH($D781, '2018_commission_structure'!$A$1:$A$4, 0),
MATCH(O$1, '2018_commission_structure'!$A$1:$I$1, 0)), 0)</f>
        <v>37500</v>
      </c>
      <c r="Q781" s="11">
        <f>IF(G781&gt;H781, MIN(G781-H781, I781-H781)*
INDEX('2018_commission_structure'!$A$1:$I$4,
MATCH($D781, '2018_commission_structure'!$A$1:$A$4, 0),
MATCH(P$1, '2018_commission_structure'!$A$1:$I$1, 0)), 0)</f>
        <v>22500</v>
      </c>
      <c r="R781" s="11">
        <f>IF(G781&gt;K781, (G781-K781) *
INDEX('2018_commission_structure'!$A$1:$I$4,
MATCH($D781, '2018_commission_structure'!$A$1:$A$4,0),
MATCH(R$1, '2018_commission_structure'!$A$1:$I$1,0)), 0)</f>
        <v>0</v>
      </c>
      <c r="S781" s="11">
        <f t="shared" si="77"/>
        <v>78750</v>
      </c>
      <c r="T781" s="11" cm="1">
        <f t="array" ref="T781">SUM(E781+O781:Q781)</f>
        <v>253533</v>
      </c>
    </row>
    <row r="782" spans="1:20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 xml:space="preserve"> COUNTIF(deals_closed!D:D,A782)</f>
        <v>18</v>
      </c>
      <c r="G782" s="5">
        <f>SUMIF(deals_closed!D:D, calculations!A782, deals_closed!C:C)</f>
        <v>646149</v>
      </c>
      <c r="H782" s="5">
        <f>VLOOKUP(D782,'2018_commission_structure'!$A$2:$I$4,9,FALSE)</f>
        <v>600000</v>
      </c>
      <c r="I782" s="9">
        <f t="shared" si="72"/>
        <v>750000</v>
      </c>
      <c r="J782" s="8">
        <f t="shared" si="73"/>
        <v>900000</v>
      </c>
      <c r="K782" s="9">
        <f t="shared" si="74"/>
        <v>1200000</v>
      </c>
      <c r="L782" s="10">
        <f t="shared" si="75"/>
        <v>1.0769150000000001</v>
      </c>
      <c r="M782" t="str">
        <f t="shared" si="76"/>
        <v>100-125%</v>
      </c>
      <c r="N782" s="9">
        <f>MIN(H782, G782)*INDEX('2018_commission_structure'!$A$1:$I$4,
MATCH($D782, '2018_commission_structure'!$A$1:$A$4,0),
MATCH(N$1, '2018_commission_structure'!$A$1:$I$1,0))</f>
        <v>78000</v>
      </c>
      <c r="O782" s="11">
        <f>IF(G782&gt;H782, MIN(G782-H782, I782-H782)*
INDEX('2018_commission_structure'!$A$1:$I$4,
MATCH($D782, '2018_commission_structure'!$A$1:$A$4, 0),
MATCH(O$1, '2018_commission_structure'!$A$1:$I$1, 0)), 0)</f>
        <v>7845.3300000000008</v>
      </c>
      <c r="P782" s="11">
        <f>IF(G782&gt;H782, MIN(G782-H782, J782-H782)*
INDEX('2018_commission_structure'!$A$1:$I$4,
MATCH($D782, '2018_commission_structure'!$A$1:$A$4, 0),
MATCH(O$1, '2018_commission_structure'!$A$1:$I$1, 0)), 0)</f>
        <v>7845.3300000000008</v>
      </c>
      <c r="Q782" s="11">
        <f>IF(G782&gt;H782, MIN(G782-H782, I782-H782)*
INDEX('2018_commission_structure'!$A$1:$I$4,
MATCH($D782, '2018_commission_structure'!$A$1:$A$4, 0),
MATCH(P$1, '2018_commission_structure'!$A$1:$I$1, 0)), 0)</f>
        <v>9691.2899999999991</v>
      </c>
      <c r="R782" s="11">
        <f>IF(G782&gt;K782, (G782-K782) *
INDEX('2018_commission_structure'!$A$1:$I$4,
MATCH($D782, '2018_commission_structure'!$A$1:$A$4,0),
MATCH(R$1, '2018_commission_structure'!$A$1:$I$1,0)), 0)</f>
        <v>0</v>
      </c>
      <c r="S782" s="11">
        <f t="shared" si="77"/>
        <v>25381.95</v>
      </c>
      <c r="T782" s="11" cm="1">
        <f t="array" ref="T782">SUM(E782+O782:Q782)</f>
        <v>249328.95</v>
      </c>
    </row>
    <row r="783" spans="1:20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 xml:space="preserve"> COUNTIF(deals_closed!D:D,A783)</f>
        <v>18</v>
      </c>
      <c r="G783" s="5">
        <f>SUMIF(deals_closed!D:D, calculations!A783, deals_closed!C:C)</f>
        <v>700912</v>
      </c>
      <c r="H783" s="5">
        <f>VLOOKUP(D783,'2018_commission_structure'!$A$2:$I$4,9,FALSE)</f>
        <v>500000</v>
      </c>
      <c r="I783" s="9">
        <f t="shared" si="72"/>
        <v>625000</v>
      </c>
      <c r="J783" s="8">
        <f t="shared" si="73"/>
        <v>750000</v>
      </c>
      <c r="K783" s="9">
        <f t="shared" si="74"/>
        <v>1000000</v>
      </c>
      <c r="L783" s="10">
        <f t="shared" si="75"/>
        <v>1.401824</v>
      </c>
      <c r="M783" t="str">
        <f t="shared" si="76"/>
        <v>125-150%</v>
      </c>
      <c r="N783" s="9">
        <f>MIN(H783, G783)*INDEX('2018_commission_structure'!$A$1:$I$4,
MATCH($D783, '2018_commission_structure'!$A$1:$A$4,0),
MATCH(N$1, '2018_commission_structure'!$A$1:$I$1,0))</f>
        <v>50000</v>
      </c>
      <c r="O783" s="11">
        <f>IF(G783&gt;H783, MIN(G783-H783, I783-H783)*
INDEX('2018_commission_structure'!$A$1:$I$4,
MATCH($D783, '2018_commission_structure'!$A$1:$A$4, 0),
MATCH(O$1, '2018_commission_structure'!$A$1:$I$1, 0)), 0)</f>
        <v>18750</v>
      </c>
      <c r="P783" s="11">
        <f>IF(G783&gt;H783, MIN(G783-H783, J783-H783)*
INDEX('2018_commission_structure'!$A$1:$I$4,
MATCH($D783, '2018_commission_structure'!$A$1:$A$4, 0),
MATCH(O$1, '2018_commission_structure'!$A$1:$I$1, 0)), 0)</f>
        <v>30136.799999999999</v>
      </c>
      <c r="Q783" s="11">
        <f>IF(G783&gt;H783, MIN(G783-H783, I783-H783)*
INDEX('2018_commission_structure'!$A$1:$I$4,
MATCH($D783, '2018_commission_structure'!$A$1:$A$4, 0),
MATCH(P$1, '2018_commission_structure'!$A$1:$I$1, 0)), 0)</f>
        <v>22500</v>
      </c>
      <c r="R783" s="11">
        <f>IF(G783&gt;K783, (G783-K783) *
INDEX('2018_commission_structure'!$A$1:$I$4,
MATCH($D783, '2018_commission_structure'!$A$1:$A$4,0),
MATCH(R$1, '2018_commission_structure'!$A$1:$I$1,0)), 0)</f>
        <v>0</v>
      </c>
      <c r="S783" s="11">
        <f t="shared" si="77"/>
        <v>71386.8</v>
      </c>
      <c r="T783" s="11" cm="1">
        <f t="array" ref="T783">SUM(E783+O783:Q783)</f>
        <v>169747.8</v>
      </c>
    </row>
    <row r="784" spans="1:20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 xml:space="preserve"> COUNTIF(deals_closed!D:D,A784)</f>
        <v>14</v>
      </c>
      <c r="G784" s="5">
        <f>SUMIF(deals_closed!D:D, calculations!A784, deals_closed!C:C)</f>
        <v>564088</v>
      </c>
      <c r="H784" s="5">
        <f>VLOOKUP(D784,'2018_commission_structure'!$A$2:$I$4,9,FALSE)</f>
        <v>600000</v>
      </c>
      <c r="I784" s="9">
        <f t="shared" si="72"/>
        <v>750000</v>
      </c>
      <c r="J784" s="8">
        <f t="shared" si="73"/>
        <v>900000</v>
      </c>
      <c r="K784" s="9">
        <f t="shared" si="74"/>
        <v>1200000</v>
      </c>
      <c r="L784" s="10">
        <f t="shared" si="75"/>
        <v>0.94014666666666669</v>
      </c>
      <c r="M784" t="str">
        <f t="shared" si="76"/>
        <v>0-100%</v>
      </c>
      <c r="N784" s="9">
        <f>MIN(H784, G784)*INDEX('2018_commission_structure'!$A$1:$I$4,
MATCH($D784, '2018_commission_structure'!$A$1:$A$4,0),
MATCH(N$1, '2018_commission_structure'!$A$1:$I$1,0))</f>
        <v>73331.44</v>
      </c>
      <c r="O784" s="11">
        <f>IF(G784&gt;H784, MIN(G784-H784, I784-H784)*
INDEX('2018_commission_structure'!$A$1:$I$4,
MATCH($D784, '2018_commission_structure'!$A$1:$A$4, 0),
MATCH(O$1, '2018_commission_structure'!$A$1:$I$1, 0)), 0)</f>
        <v>0</v>
      </c>
      <c r="P784" s="11">
        <f>IF(G784&gt;H784, MIN(G784-H784, J784-H784)*
INDEX('2018_commission_structure'!$A$1:$I$4,
MATCH($D784, '2018_commission_structure'!$A$1:$A$4, 0),
MATCH(O$1, '2018_commission_structure'!$A$1:$I$1, 0)), 0)</f>
        <v>0</v>
      </c>
      <c r="Q784" s="11">
        <f>IF(G784&gt;H784, MIN(G784-H784, I784-H784)*
INDEX('2018_commission_structure'!$A$1:$I$4,
MATCH($D784, '2018_commission_structure'!$A$1:$A$4, 0),
MATCH(P$1, '2018_commission_structure'!$A$1:$I$1, 0)), 0)</f>
        <v>0</v>
      </c>
      <c r="R784" s="11">
        <f>IF(G784&gt;K784, (G784-K784) *
INDEX('2018_commission_structure'!$A$1:$I$4,
MATCH($D784, '2018_commission_structure'!$A$1:$A$4,0),
MATCH(R$1, '2018_commission_structure'!$A$1:$I$1,0)), 0)</f>
        <v>0</v>
      </c>
      <c r="S784" s="11">
        <f t="shared" si="77"/>
        <v>0</v>
      </c>
      <c r="T784" s="11" cm="1">
        <f t="array" ref="T784">SUM(E784+O784:Q784)</f>
        <v>182511</v>
      </c>
    </row>
    <row r="785" spans="1:20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 xml:space="preserve"> COUNTIF(deals_closed!D:D,A785)</f>
        <v>21</v>
      </c>
      <c r="G785" s="5">
        <f>SUMIF(deals_closed!D:D, calculations!A785, deals_closed!C:C)</f>
        <v>716444</v>
      </c>
      <c r="H785" s="5">
        <f>VLOOKUP(D785,'2018_commission_structure'!$A$2:$I$4,9,FALSE)</f>
        <v>750000</v>
      </c>
      <c r="I785" s="9">
        <f t="shared" si="72"/>
        <v>937500</v>
      </c>
      <c r="J785" s="8">
        <f t="shared" si="73"/>
        <v>1125000</v>
      </c>
      <c r="K785" s="9">
        <f t="shared" si="74"/>
        <v>1500000</v>
      </c>
      <c r="L785" s="10">
        <f t="shared" si="75"/>
        <v>0.9552586666666667</v>
      </c>
      <c r="M785" t="str">
        <f t="shared" si="76"/>
        <v>0-100%</v>
      </c>
      <c r="N785" s="9">
        <f>MIN(H785, G785)*INDEX('2018_commission_structure'!$A$1:$I$4,
MATCH($D785, '2018_commission_structure'!$A$1:$A$4,0),
MATCH(N$1, '2018_commission_structure'!$A$1:$I$1,0))</f>
        <v>107466.59999999999</v>
      </c>
      <c r="O785" s="11">
        <f>IF(G785&gt;H785, MIN(G785-H785, I785-H785)*
INDEX('2018_commission_structure'!$A$1:$I$4,
MATCH($D785, '2018_commission_structure'!$A$1:$A$4, 0),
MATCH(O$1, '2018_commission_structure'!$A$1:$I$1, 0)), 0)</f>
        <v>0</v>
      </c>
      <c r="P785" s="11">
        <f>IF(G785&gt;H785, MIN(G785-H785, J785-H785)*
INDEX('2018_commission_structure'!$A$1:$I$4,
MATCH($D785, '2018_commission_structure'!$A$1:$A$4, 0),
MATCH(O$1, '2018_commission_structure'!$A$1:$I$1, 0)), 0)</f>
        <v>0</v>
      </c>
      <c r="Q785" s="11">
        <f>IF(G785&gt;H785, MIN(G785-H785, I785-H785)*
INDEX('2018_commission_structure'!$A$1:$I$4,
MATCH($D785, '2018_commission_structure'!$A$1:$A$4, 0),
MATCH(P$1, '2018_commission_structure'!$A$1:$I$1, 0)), 0)</f>
        <v>0</v>
      </c>
      <c r="R785" s="11">
        <f>IF(G785&gt;K785, (G785-K785) *
INDEX('2018_commission_structure'!$A$1:$I$4,
MATCH($D785, '2018_commission_structure'!$A$1:$A$4,0),
MATCH(R$1, '2018_commission_structure'!$A$1:$I$1,0)), 0)</f>
        <v>0</v>
      </c>
      <c r="S785" s="11">
        <f t="shared" si="77"/>
        <v>0</v>
      </c>
      <c r="T785" s="11" cm="1">
        <f t="array" ref="T785">SUM(E785+O785:Q785)</f>
        <v>318174</v>
      </c>
    </row>
    <row r="786" spans="1:20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 xml:space="preserve"> COUNTIF(deals_closed!D:D,A786)</f>
        <v>21</v>
      </c>
      <c r="G786" s="5">
        <f>SUMIF(deals_closed!D:D, calculations!A786, deals_closed!C:C)</f>
        <v>724454</v>
      </c>
      <c r="H786" s="5">
        <f>VLOOKUP(D786,'2018_commission_structure'!$A$2:$I$4,9,FALSE)</f>
        <v>750000</v>
      </c>
      <c r="I786" s="9">
        <f t="shared" si="72"/>
        <v>937500</v>
      </c>
      <c r="J786" s="8">
        <f t="shared" si="73"/>
        <v>1125000</v>
      </c>
      <c r="K786" s="9">
        <f t="shared" si="74"/>
        <v>1500000</v>
      </c>
      <c r="L786" s="10">
        <f t="shared" si="75"/>
        <v>0.96593866666666661</v>
      </c>
      <c r="M786" t="str">
        <f t="shared" si="76"/>
        <v>0-100%</v>
      </c>
      <c r="N786" s="9">
        <f>MIN(H786, G786)*INDEX('2018_commission_structure'!$A$1:$I$4,
MATCH($D786, '2018_commission_structure'!$A$1:$A$4,0),
MATCH(N$1, '2018_commission_structure'!$A$1:$I$1,0))</f>
        <v>108668.09999999999</v>
      </c>
      <c r="O786" s="11">
        <f>IF(G786&gt;H786, MIN(G786-H786, I786-H786)*
INDEX('2018_commission_structure'!$A$1:$I$4,
MATCH($D786, '2018_commission_structure'!$A$1:$A$4, 0),
MATCH(O$1, '2018_commission_structure'!$A$1:$I$1, 0)), 0)</f>
        <v>0</v>
      </c>
      <c r="P786" s="11">
        <f>IF(G786&gt;H786, MIN(G786-H786, J786-H786)*
INDEX('2018_commission_structure'!$A$1:$I$4,
MATCH($D786, '2018_commission_structure'!$A$1:$A$4, 0),
MATCH(O$1, '2018_commission_structure'!$A$1:$I$1, 0)), 0)</f>
        <v>0</v>
      </c>
      <c r="Q786" s="11">
        <f>IF(G786&gt;H786, MIN(G786-H786, I786-H786)*
INDEX('2018_commission_structure'!$A$1:$I$4,
MATCH($D786, '2018_commission_structure'!$A$1:$A$4, 0),
MATCH(P$1, '2018_commission_structure'!$A$1:$I$1, 0)), 0)</f>
        <v>0</v>
      </c>
      <c r="R786" s="11">
        <f>IF(G786&gt;K786, (G786-K786) *
INDEX('2018_commission_structure'!$A$1:$I$4,
MATCH($D786, '2018_commission_structure'!$A$1:$A$4,0),
MATCH(R$1, '2018_commission_structure'!$A$1:$I$1,0)), 0)</f>
        <v>0</v>
      </c>
      <c r="S786" s="11">
        <f t="shared" si="77"/>
        <v>0</v>
      </c>
      <c r="T786" s="11" cm="1">
        <f t="array" ref="T786">SUM(E786+O786:Q786)</f>
        <v>353736</v>
      </c>
    </row>
    <row r="787" spans="1:20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 xml:space="preserve"> COUNTIF(deals_closed!D:D,A787)</f>
        <v>22</v>
      </c>
      <c r="G787" s="5">
        <f>SUMIF(deals_closed!D:D, calculations!A787, deals_closed!C:C)</f>
        <v>744781</v>
      </c>
      <c r="H787" s="5">
        <f>VLOOKUP(D787,'2018_commission_structure'!$A$2:$I$4,9,FALSE)</f>
        <v>750000</v>
      </c>
      <c r="I787" s="9">
        <f t="shared" si="72"/>
        <v>937500</v>
      </c>
      <c r="J787" s="8">
        <f t="shared" si="73"/>
        <v>1125000</v>
      </c>
      <c r="K787" s="9">
        <f t="shared" si="74"/>
        <v>1500000</v>
      </c>
      <c r="L787" s="10">
        <f t="shared" si="75"/>
        <v>0.99304133333333333</v>
      </c>
      <c r="M787" t="str">
        <f t="shared" si="76"/>
        <v>0-100%</v>
      </c>
      <c r="N787" s="9">
        <f>MIN(H787, G787)*INDEX('2018_commission_structure'!$A$1:$I$4,
MATCH($D787, '2018_commission_structure'!$A$1:$A$4,0),
MATCH(N$1, '2018_commission_structure'!$A$1:$I$1,0))</f>
        <v>111717.15</v>
      </c>
      <c r="O787" s="11">
        <f>IF(G787&gt;H787, MIN(G787-H787, I787-H787)*
INDEX('2018_commission_structure'!$A$1:$I$4,
MATCH($D787, '2018_commission_structure'!$A$1:$A$4, 0),
MATCH(O$1, '2018_commission_structure'!$A$1:$I$1, 0)), 0)</f>
        <v>0</v>
      </c>
      <c r="P787" s="11">
        <f>IF(G787&gt;H787, MIN(G787-H787, J787-H787)*
INDEX('2018_commission_structure'!$A$1:$I$4,
MATCH($D787, '2018_commission_structure'!$A$1:$A$4, 0),
MATCH(O$1, '2018_commission_structure'!$A$1:$I$1, 0)), 0)</f>
        <v>0</v>
      </c>
      <c r="Q787" s="11">
        <f>IF(G787&gt;H787, MIN(G787-H787, I787-H787)*
INDEX('2018_commission_structure'!$A$1:$I$4,
MATCH($D787, '2018_commission_structure'!$A$1:$A$4, 0),
MATCH(P$1, '2018_commission_structure'!$A$1:$I$1, 0)), 0)</f>
        <v>0</v>
      </c>
      <c r="R787" s="11">
        <f>IF(G787&gt;K787, (G787-K787) *
INDEX('2018_commission_structure'!$A$1:$I$4,
MATCH($D787, '2018_commission_structure'!$A$1:$A$4,0),
MATCH(R$1, '2018_commission_structure'!$A$1:$I$1,0)), 0)</f>
        <v>0</v>
      </c>
      <c r="S787" s="11">
        <f t="shared" si="77"/>
        <v>0</v>
      </c>
      <c r="T787" s="11" cm="1">
        <f t="array" ref="T787">SUM(E787+O787:Q787)</f>
        <v>242010</v>
      </c>
    </row>
    <row r="788" spans="1:20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 xml:space="preserve"> COUNTIF(deals_closed!D:D,A788)</f>
        <v>31</v>
      </c>
      <c r="G788" s="5">
        <f>SUMIF(deals_closed!D:D, calculations!A788, deals_closed!C:C)</f>
        <v>1143315</v>
      </c>
      <c r="H788" s="5">
        <f>VLOOKUP(D788,'2018_commission_structure'!$A$2:$I$4,9,FALSE)</f>
        <v>750000</v>
      </c>
      <c r="I788" s="9">
        <f t="shared" si="72"/>
        <v>937500</v>
      </c>
      <c r="J788" s="8">
        <f t="shared" si="73"/>
        <v>1125000</v>
      </c>
      <c r="K788" s="9">
        <f t="shared" si="74"/>
        <v>1500000</v>
      </c>
      <c r="L788" s="10">
        <f t="shared" si="75"/>
        <v>1.5244200000000001</v>
      </c>
      <c r="M788" t="str">
        <f t="shared" si="76"/>
        <v>150-200%</v>
      </c>
      <c r="N788" s="9">
        <f>MIN(H788, G788)*INDEX('2018_commission_structure'!$A$1:$I$4,
MATCH($D788, '2018_commission_structure'!$A$1:$A$4,0),
MATCH(N$1, '2018_commission_structure'!$A$1:$I$1,0))</f>
        <v>112500</v>
      </c>
      <c r="O788" s="11">
        <f>IF(G788&gt;H788, MIN(G788-H788, I788-H788)*
INDEX('2018_commission_structure'!$A$1:$I$4,
MATCH($D788, '2018_commission_structure'!$A$1:$A$4, 0),
MATCH(O$1, '2018_commission_structure'!$A$1:$I$1, 0)), 0)</f>
        <v>35625</v>
      </c>
      <c r="P788" s="11">
        <f>IF(G788&gt;H788, MIN(G788-H788, J788-H788)*
INDEX('2018_commission_structure'!$A$1:$I$4,
MATCH($D788, '2018_commission_structure'!$A$1:$A$4, 0),
MATCH(O$1, '2018_commission_structure'!$A$1:$I$1, 0)), 0)</f>
        <v>71250</v>
      </c>
      <c r="Q788" s="11">
        <f>IF(G788&gt;H788, MIN(G788-H788, I788-H788)*
INDEX('2018_commission_structure'!$A$1:$I$4,
MATCH($D788, '2018_commission_structure'!$A$1:$A$4, 0),
MATCH(P$1, '2018_commission_structure'!$A$1:$I$1, 0)), 0)</f>
        <v>43125</v>
      </c>
      <c r="R788" s="11">
        <f>IF(G788&gt;K788, (G788-K788) *
INDEX('2018_commission_structure'!$A$1:$I$4,
MATCH($D788, '2018_commission_structure'!$A$1:$A$4,0),
MATCH(R$1, '2018_commission_structure'!$A$1:$I$1,0)), 0)</f>
        <v>0</v>
      </c>
      <c r="S788" s="11">
        <f t="shared" si="77"/>
        <v>150000</v>
      </c>
      <c r="T788" s="11" cm="1">
        <f t="array" ref="T788">SUM(E788+O788:Q788)</f>
        <v>436119</v>
      </c>
    </row>
    <row r="789" spans="1:20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 xml:space="preserve"> COUNTIF(deals_closed!D:D,A789)</f>
        <v>21</v>
      </c>
      <c r="G789" s="5">
        <f>SUMIF(deals_closed!D:D, calculations!A789, deals_closed!C:C)</f>
        <v>697983</v>
      </c>
      <c r="H789" s="5">
        <f>VLOOKUP(D789,'2018_commission_structure'!$A$2:$I$4,9,FALSE)</f>
        <v>750000</v>
      </c>
      <c r="I789" s="9">
        <f t="shared" si="72"/>
        <v>937500</v>
      </c>
      <c r="J789" s="8">
        <f t="shared" si="73"/>
        <v>1125000</v>
      </c>
      <c r="K789" s="9">
        <f t="shared" si="74"/>
        <v>1500000</v>
      </c>
      <c r="L789" s="10">
        <f t="shared" si="75"/>
        <v>0.93064400000000003</v>
      </c>
      <c r="M789" t="str">
        <f t="shared" si="76"/>
        <v>0-100%</v>
      </c>
      <c r="N789" s="9">
        <f>MIN(H789, G789)*INDEX('2018_commission_structure'!$A$1:$I$4,
MATCH($D789, '2018_commission_structure'!$A$1:$A$4,0),
MATCH(N$1, '2018_commission_structure'!$A$1:$I$1,0))</f>
        <v>104697.45</v>
      </c>
      <c r="O789" s="11">
        <f>IF(G789&gt;H789, MIN(G789-H789, I789-H789)*
INDEX('2018_commission_structure'!$A$1:$I$4,
MATCH($D789, '2018_commission_structure'!$A$1:$A$4, 0),
MATCH(O$1, '2018_commission_structure'!$A$1:$I$1, 0)), 0)</f>
        <v>0</v>
      </c>
      <c r="P789" s="11">
        <f>IF(G789&gt;H789, MIN(G789-H789, J789-H789)*
INDEX('2018_commission_structure'!$A$1:$I$4,
MATCH($D789, '2018_commission_structure'!$A$1:$A$4, 0),
MATCH(O$1, '2018_commission_structure'!$A$1:$I$1, 0)), 0)</f>
        <v>0</v>
      </c>
      <c r="Q789" s="11">
        <f>IF(G789&gt;H789, MIN(G789-H789, I789-H789)*
INDEX('2018_commission_structure'!$A$1:$I$4,
MATCH($D789, '2018_commission_structure'!$A$1:$A$4, 0),
MATCH(P$1, '2018_commission_structure'!$A$1:$I$1, 0)), 0)</f>
        <v>0</v>
      </c>
      <c r="R789" s="11">
        <f>IF(G789&gt;K789, (G789-K789) *
INDEX('2018_commission_structure'!$A$1:$I$4,
MATCH($D789, '2018_commission_structure'!$A$1:$A$4,0),
MATCH(R$1, '2018_commission_structure'!$A$1:$I$1,0)), 0)</f>
        <v>0</v>
      </c>
      <c r="S789" s="11">
        <f t="shared" si="77"/>
        <v>0</v>
      </c>
      <c r="T789" s="11" cm="1">
        <f t="array" ref="T789">SUM(E789+O789:Q789)</f>
        <v>336414</v>
      </c>
    </row>
    <row r="790" spans="1:20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 xml:space="preserve"> COUNTIF(deals_closed!D:D,A790)</f>
        <v>16</v>
      </c>
      <c r="G790" s="5">
        <f>SUMIF(deals_closed!D:D, calculations!A790, deals_closed!C:C)</f>
        <v>637937</v>
      </c>
      <c r="H790" s="5">
        <f>VLOOKUP(D790,'2018_commission_structure'!$A$2:$I$4,9,FALSE)</f>
        <v>500000</v>
      </c>
      <c r="I790" s="9">
        <f t="shared" si="72"/>
        <v>625000</v>
      </c>
      <c r="J790" s="8">
        <f t="shared" si="73"/>
        <v>750000</v>
      </c>
      <c r="K790" s="9">
        <f t="shared" si="74"/>
        <v>1000000</v>
      </c>
      <c r="L790" s="10">
        <f t="shared" si="75"/>
        <v>1.275874</v>
      </c>
      <c r="M790" t="str">
        <f t="shared" si="76"/>
        <v>125-150%</v>
      </c>
      <c r="N790" s="9">
        <f>MIN(H790, G790)*INDEX('2018_commission_structure'!$A$1:$I$4,
MATCH($D790, '2018_commission_structure'!$A$1:$A$4,0),
MATCH(N$1, '2018_commission_structure'!$A$1:$I$1,0))</f>
        <v>50000</v>
      </c>
      <c r="O790" s="11">
        <f>IF(G790&gt;H790, MIN(G790-H790, I790-H790)*
INDEX('2018_commission_structure'!$A$1:$I$4,
MATCH($D790, '2018_commission_structure'!$A$1:$A$4, 0),
MATCH(O$1, '2018_commission_structure'!$A$1:$I$1, 0)), 0)</f>
        <v>18750</v>
      </c>
      <c r="P790" s="11">
        <f>IF(G790&gt;H790, MIN(G790-H790, J790-H790)*
INDEX('2018_commission_structure'!$A$1:$I$4,
MATCH($D790, '2018_commission_structure'!$A$1:$A$4, 0),
MATCH(O$1, '2018_commission_structure'!$A$1:$I$1, 0)), 0)</f>
        <v>20690.55</v>
      </c>
      <c r="Q790" s="11">
        <f>IF(G790&gt;H790, MIN(G790-H790, I790-H790)*
INDEX('2018_commission_structure'!$A$1:$I$4,
MATCH($D790, '2018_commission_structure'!$A$1:$A$4, 0),
MATCH(P$1, '2018_commission_structure'!$A$1:$I$1, 0)), 0)</f>
        <v>22500</v>
      </c>
      <c r="R790" s="11">
        <f>IF(G790&gt;K790, (G790-K790) *
INDEX('2018_commission_structure'!$A$1:$I$4,
MATCH($D790, '2018_commission_structure'!$A$1:$A$4,0),
MATCH(R$1, '2018_commission_structure'!$A$1:$I$1,0)), 0)</f>
        <v>0</v>
      </c>
      <c r="S790" s="11">
        <f t="shared" si="77"/>
        <v>61940.55</v>
      </c>
      <c r="T790" s="11" cm="1">
        <f t="array" ref="T790">SUM(E790+O790:Q790)</f>
        <v>249245.55</v>
      </c>
    </row>
    <row r="791" spans="1:20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 xml:space="preserve"> COUNTIF(deals_closed!D:D,A791)</f>
        <v>27</v>
      </c>
      <c r="G791" s="5">
        <f>SUMIF(deals_closed!D:D, calculations!A791, deals_closed!C:C)</f>
        <v>942255</v>
      </c>
      <c r="H791" s="5">
        <f>VLOOKUP(D791,'2018_commission_structure'!$A$2:$I$4,9,FALSE)</f>
        <v>500000</v>
      </c>
      <c r="I791" s="9">
        <f t="shared" si="72"/>
        <v>625000</v>
      </c>
      <c r="J791" s="8">
        <f t="shared" si="73"/>
        <v>750000</v>
      </c>
      <c r="K791" s="9">
        <f t="shared" si="74"/>
        <v>1000000</v>
      </c>
      <c r="L791" s="10">
        <f t="shared" si="75"/>
        <v>1.8845099999999999</v>
      </c>
      <c r="M791" t="str">
        <f t="shared" si="76"/>
        <v>150-200%</v>
      </c>
      <c r="N791" s="9">
        <f>MIN(H791, G791)*INDEX('2018_commission_structure'!$A$1:$I$4,
MATCH($D791, '2018_commission_structure'!$A$1:$A$4,0),
MATCH(N$1, '2018_commission_structure'!$A$1:$I$1,0))</f>
        <v>50000</v>
      </c>
      <c r="O791" s="11">
        <f>IF(G791&gt;H791, MIN(G791-H791, I791-H791)*
INDEX('2018_commission_structure'!$A$1:$I$4,
MATCH($D791, '2018_commission_structure'!$A$1:$A$4, 0),
MATCH(O$1, '2018_commission_structure'!$A$1:$I$1, 0)), 0)</f>
        <v>18750</v>
      </c>
      <c r="P791" s="11">
        <f>IF(G791&gt;H791, MIN(G791-H791, J791-H791)*
INDEX('2018_commission_structure'!$A$1:$I$4,
MATCH($D791, '2018_commission_structure'!$A$1:$A$4, 0),
MATCH(O$1, '2018_commission_structure'!$A$1:$I$1, 0)), 0)</f>
        <v>37500</v>
      </c>
      <c r="Q791" s="11">
        <f>IF(G791&gt;H791, MIN(G791-H791, I791-H791)*
INDEX('2018_commission_structure'!$A$1:$I$4,
MATCH($D791, '2018_commission_structure'!$A$1:$A$4, 0),
MATCH(P$1, '2018_commission_structure'!$A$1:$I$1, 0)), 0)</f>
        <v>22500</v>
      </c>
      <c r="R791" s="11">
        <f>IF(G791&gt;K791, (G791-K791) *
INDEX('2018_commission_structure'!$A$1:$I$4,
MATCH($D791, '2018_commission_structure'!$A$1:$A$4,0),
MATCH(R$1, '2018_commission_structure'!$A$1:$I$1,0)), 0)</f>
        <v>0</v>
      </c>
      <c r="S791" s="11">
        <f t="shared" si="77"/>
        <v>78750</v>
      </c>
      <c r="T791" s="11" cm="1">
        <f t="array" ref="T791">SUM(E791+O791:Q791)</f>
        <v>251247</v>
      </c>
    </row>
    <row r="792" spans="1:20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 xml:space="preserve"> COUNTIF(deals_closed!D:D,A792)</f>
        <v>24</v>
      </c>
      <c r="G792" s="5">
        <f>SUMIF(deals_closed!D:D, calculations!A792, deals_closed!C:C)</f>
        <v>920165</v>
      </c>
      <c r="H792" s="5">
        <f>VLOOKUP(D792,'2018_commission_structure'!$A$2:$I$4,9,FALSE)</f>
        <v>600000</v>
      </c>
      <c r="I792" s="9">
        <f t="shared" si="72"/>
        <v>750000</v>
      </c>
      <c r="J792" s="8">
        <f t="shared" si="73"/>
        <v>900000</v>
      </c>
      <c r="K792" s="9">
        <f t="shared" si="74"/>
        <v>1200000</v>
      </c>
      <c r="L792" s="10">
        <f t="shared" si="75"/>
        <v>1.5336083333333332</v>
      </c>
      <c r="M792" t="str">
        <f t="shared" si="76"/>
        <v>150-200%</v>
      </c>
      <c r="N792" s="9">
        <f>MIN(H792, G792)*INDEX('2018_commission_structure'!$A$1:$I$4,
MATCH($D792, '2018_commission_structure'!$A$1:$A$4,0),
MATCH(N$1, '2018_commission_structure'!$A$1:$I$1,0))</f>
        <v>78000</v>
      </c>
      <c r="O792" s="11">
        <f>IF(G792&gt;H792, MIN(G792-H792, I792-H792)*
INDEX('2018_commission_structure'!$A$1:$I$4,
MATCH($D792, '2018_commission_structure'!$A$1:$A$4, 0),
MATCH(O$1, '2018_commission_structure'!$A$1:$I$1, 0)), 0)</f>
        <v>25500.000000000004</v>
      </c>
      <c r="P792" s="11">
        <f>IF(G792&gt;H792, MIN(G792-H792, J792-H792)*
INDEX('2018_commission_structure'!$A$1:$I$4,
MATCH($D792, '2018_commission_structure'!$A$1:$A$4, 0),
MATCH(O$1, '2018_commission_structure'!$A$1:$I$1, 0)), 0)</f>
        <v>51000.000000000007</v>
      </c>
      <c r="Q792" s="11">
        <f>IF(G792&gt;H792, MIN(G792-H792, I792-H792)*
INDEX('2018_commission_structure'!$A$1:$I$4,
MATCH($D792, '2018_commission_structure'!$A$1:$A$4, 0),
MATCH(P$1, '2018_commission_structure'!$A$1:$I$1, 0)), 0)</f>
        <v>31500</v>
      </c>
      <c r="R792" s="11">
        <f>IF(G792&gt;K792, (G792-K792) *
INDEX('2018_commission_structure'!$A$1:$I$4,
MATCH($D792, '2018_commission_structure'!$A$1:$A$4,0),
MATCH(R$1, '2018_commission_structure'!$A$1:$I$1,0)), 0)</f>
        <v>0</v>
      </c>
      <c r="S792" s="11">
        <f t="shared" si="77"/>
        <v>108000.00000000001</v>
      </c>
      <c r="T792" s="11" cm="1">
        <f t="array" ref="T792">SUM(E792+O792:Q792)</f>
        <v>305925</v>
      </c>
    </row>
    <row r="793" spans="1:20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 xml:space="preserve"> COUNTIF(deals_closed!D:D,A793)</f>
        <v>20</v>
      </c>
      <c r="G793" s="5">
        <f>SUMIF(deals_closed!D:D, calculations!A793, deals_closed!C:C)</f>
        <v>822111</v>
      </c>
      <c r="H793" s="5">
        <f>VLOOKUP(D793,'2018_commission_structure'!$A$2:$I$4,9,FALSE)</f>
        <v>500000</v>
      </c>
      <c r="I793" s="9">
        <f t="shared" si="72"/>
        <v>625000</v>
      </c>
      <c r="J793" s="8">
        <f t="shared" si="73"/>
        <v>750000</v>
      </c>
      <c r="K793" s="9">
        <f t="shared" si="74"/>
        <v>1000000</v>
      </c>
      <c r="L793" s="10">
        <f t="shared" si="75"/>
        <v>1.6442220000000001</v>
      </c>
      <c r="M793" t="str">
        <f t="shared" si="76"/>
        <v>150-200%</v>
      </c>
      <c r="N793" s="9">
        <f>MIN(H793, G793)*INDEX('2018_commission_structure'!$A$1:$I$4,
MATCH($D793, '2018_commission_structure'!$A$1:$A$4,0),
MATCH(N$1, '2018_commission_structure'!$A$1:$I$1,0))</f>
        <v>50000</v>
      </c>
      <c r="O793" s="11">
        <f>IF(G793&gt;H793, MIN(G793-H793, I793-H793)*
INDEX('2018_commission_structure'!$A$1:$I$4,
MATCH($D793, '2018_commission_structure'!$A$1:$A$4, 0),
MATCH(O$1, '2018_commission_structure'!$A$1:$I$1, 0)), 0)</f>
        <v>18750</v>
      </c>
      <c r="P793" s="11">
        <f>IF(G793&gt;H793, MIN(G793-H793, J793-H793)*
INDEX('2018_commission_structure'!$A$1:$I$4,
MATCH($D793, '2018_commission_structure'!$A$1:$A$4, 0),
MATCH(O$1, '2018_commission_structure'!$A$1:$I$1, 0)), 0)</f>
        <v>37500</v>
      </c>
      <c r="Q793" s="11">
        <f>IF(G793&gt;H793, MIN(G793-H793, I793-H793)*
INDEX('2018_commission_structure'!$A$1:$I$4,
MATCH($D793, '2018_commission_structure'!$A$1:$A$4, 0),
MATCH(P$1, '2018_commission_structure'!$A$1:$I$1, 0)), 0)</f>
        <v>22500</v>
      </c>
      <c r="R793" s="11">
        <f>IF(G793&gt;K793, (G793-K793) *
INDEX('2018_commission_structure'!$A$1:$I$4,
MATCH($D793, '2018_commission_structure'!$A$1:$A$4,0),
MATCH(R$1, '2018_commission_structure'!$A$1:$I$1,0)), 0)</f>
        <v>0</v>
      </c>
      <c r="S793" s="11">
        <f t="shared" si="77"/>
        <v>78750</v>
      </c>
      <c r="T793" s="11" cm="1">
        <f t="array" ref="T793">SUM(E793+O793:Q793)</f>
        <v>202671</v>
      </c>
    </row>
    <row r="794" spans="1:20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 xml:space="preserve"> COUNTIF(deals_closed!D:D,A794)</f>
        <v>25</v>
      </c>
      <c r="G794" s="5">
        <f>SUMIF(deals_closed!D:D, calculations!A794, deals_closed!C:C)</f>
        <v>1063967</v>
      </c>
      <c r="H794" s="5">
        <f>VLOOKUP(D794,'2018_commission_structure'!$A$2:$I$4,9,FALSE)</f>
        <v>750000</v>
      </c>
      <c r="I794" s="9">
        <f t="shared" si="72"/>
        <v>937500</v>
      </c>
      <c r="J794" s="8">
        <f t="shared" si="73"/>
        <v>1125000</v>
      </c>
      <c r="K794" s="9">
        <f t="shared" si="74"/>
        <v>1500000</v>
      </c>
      <c r="L794" s="10">
        <f t="shared" si="75"/>
        <v>1.4186226666666666</v>
      </c>
      <c r="M794" t="str">
        <f t="shared" si="76"/>
        <v>125-150%</v>
      </c>
      <c r="N794" s="9">
        <f>MIN(H794, G794)*INDEX('2018_commission_structure'!$A$1:$I$4,
MATCH($D794, '2018_commission_structure'!$A$1:$A$4,0),
MATCH(N$1, '2018_commission_structure'!$A$1:$I$1,0))</f>
        <v>112500</v>
      </c>
      <c r="O794" s="11">
        <f>IF(G794&gt;H794, MIN(G794-H794, I794-H794)*
INDEX('2018_commission_structure'!$A$1:$I$4,
MATCH($D794, '2018_commission_structure'!$A$1:$A$4, 0),
MATCH(O$1, '2018_commission_structure'!$A$1:$I$1, 0)), 0)</f>
        <v>35625</v>
      </c>
      <c r="P794" s="11">
        <f>IF(G794&gt;H794, MIN(G794-H794, J794-H794)*
INDEX('2018_commission_structure'!$A$1:$I$4,
MATCH($D794, '2018_commission_structure'!$A$1:$A$4, 0),
MATCH(O$1, '2018_commission_structure'!$A$1:$I$1, 0)), 0)</f>
        <v>59653.73</v>
      </c>
      <c r="Q794" s="11">
        <f>IF(G794&gt;H794, MIN(G794-H794, I794-H794)*
INDEX('2018_commission_structure'!$A$1:$I$4,
MATCH($D794, '2018_commission_structure'!$A$1:$A$4, 0),
MATCH(P$1, '2018_commission_structure'!$A$1:$I$1, 0)), 0)</f>
        <v>43125</v>
      </c>
      <c r="R794" s="11">
        <f>IF(G794&gt;K794, (G794-K794) *
INDEX('2018_commission_structure'!$A$1:$I$4,
MATCH($D794, '2018_commission_structure'!$A$1:$A$4,0),
MATCH(R$1, '2018_commission_structure'!$A$1:$I$1,0)), 0)</f>
        <v>0</v>
      </c>
      <c r="S794" s="11">
        <f t="shared" si="77"/>
        <v>138403.73000000001</v>
      </c>
      <c r="T794" s="11" cm="1">
        <f t="array" ref="T794">SUM(E794+O794:Q794)</f>
        <v>504673.73</v>
      </c>
    </row>
    <row r="795" spans="1:20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 xml:space="preserve"> COUNTIF(deals_closed!D:D,A795)</f>
        <v>23</v>
      </c>
      <c r="G795" s="5">
        <f>SUMIF(deals_closed!D:D, calculations!A795, deals_closed!C:C)</f>
        <v>662269</v>
      </c>
      <c r="H795" s="5">
        <f>VLOOKUP(D795,'2018_commission_structure'!$A$2:$I$4,9,FALSE)</f>
        <v>600000</v>
      </c>
      <c r="I795" s="9">
        <f t="shared" si="72"/>
        <v>750000</v>
      </c>
      <c r="J795" s="8">
        <f t="shared" si="73"/>
        <v>900000</v>
      </c>
      <c r="K795" s="9">
        <f t="shared" si="74"/>
        <v>1200000</v>
      </c>
      <c r="L795" s="10">
        <f t="shared" si="75"/>
        <v>1.1037816666666667</v>
      </c>
      <c r="M795" t="str">
        <f t="shared" si="76"/>
        <v>100-125%</v>
      </c>
      <c r="N795" s="9">
        <f>MIN(H795, G795)*INDEX('2018_commission_structure'!$A$1:$I$4,
MATCH($D795, '2018_commission_structure'!$A$1:$A$4,0),
MATCH(N$1, '2018_commission_structure'!$A$1:$I$1,0))</f>
        <v>78000</v>
      </c>
      <c r="O795" s="11">
        <f>IF(G795&gt;H795, MIN(G795-H795, I795-H795)*
INDEX('2018_commission_structure'!$A$1:$I$4,
MATCH($D795, '2018_commission_structure'!$A$1:$A$4, 0),
MATCH(O$1, '2018_commission_structure'!$A$1:$I$1, 0)), 0)</f>
        <v>10585.730000000001</v>
      </c>
      <c r="P795" s="11">
        <f>IF(G795&gt;H795, MIN(G795-H795, J795-H795)*
INDEX('2018_commission_structure'!$A$1:$I$4,
MATCH($D795, '2018_commission_structure'!$A$1:$A$4, 0),
MATCH(O$1, '2018_commission_structure'!$A$1:$I$1, 0)), 0)</f>
        <v>10585.730000000001</v>
      </c>
      <c r="Q795" s="11">
        <f>IF(G795&gt;H795, MIN(G795-H795, I795-H795)*
INDEX('2018_commission_structure'!$A$1:$I$4,
MATCH($D795, '2018_commission_structure'!$A$1:$A$4, 0),
MATCH(P$1, '2018_commission_structure'!$A$1:$I$1, 0)), 0)</f>
        <v>13076.49</v>
      </c>
      <c r="R795" s="11">
        <f>IF(G795&gt;K795, (G795-K795) *
INDEX('2018_commission_structure'!$A$1:$I$4,
MATCH($D795, '2018_commission_structure'!$A$1:$A$4,0),
MATCH(R$1, '2018_commission_structure'!$A$1:$I$1,0)), 0)</f>
        <v>0</v>
      </c>
      <c r="S795" s="11">
        <f t="shared" si="77"/>
        <v>34247.950000000004</v>
      </c>
      <c r="T795" s="11" cm="1">
        <f t="array" ref="T795">SUM(E795+O795:Q795)</f>
        <v>205616.95</v>
      </c>
    </row>
    <row r="796" spans="1:20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 xml:space="preserve"> COUNTIF(deals_closed!D:D,A796)</f>
        <v>12</v>
      </c>
      <c r="G796" s="5">
        <f>SUMIF(deals_closed!D:D, calculations!A796, deals_closed!C:C)</f>
        <v>435921</v>
      </c>
      <c r="H796" s="5">
        <f>VLOOKUP(D796,'2018_commission_structure'!$A$2:$I$4,9,FALSE)</f>
        <v>600000</v>
      </c>
      <c r="I796" s="9">
        <f t="shared" si="72"/>
        <v>750000</v>
      </c>
      <c r="J796" s="8">
        <f t="shared" si="73"/>
        <v>900000</v>
      </c>
      <c r="K796" s="9">
        <f t="shared" si="74"/>
        <v>1200000</v>
      </c>
      <c r="L796" s="10">
        <f t="shared" si="75"/>
        <v>0.72653500000000004</v>
      </c>
      <c r="M796" t="str">
        <f t="shared" si="76"/>
        <v>0-100%</v>
      </c>
      <c r="N796" s="9">
        <f>MIN(H796, G796)*INDEX('2018_commission_structure'!$A$1:$I$4,
MATCH($D796, '2018_commission_structure'!$A$1:$A$4,0),
MATCH(N$1, '2018_commission_structure'!$A$1:$I$1,0))</f>
        <v>56669.73</v>
      </c>
      <c r="O796" s="11">
        <f>IF(G796&gt;H796, MIN(G796-H796, I796-H796)*
INDEX('2018_commission_structure'!$A$1:$I$4,
MATCH($D796, '2018_commission_structure'!$A$1:$A$4, 0),
MATCH(O$1, '2018_commission_structure'!$A$1:$I$1, 0)), 0)</f>
        <v>0</v>
      </c>
      <c r="P796" s="11">
        <f>IF(G796&gt;H796, MIN(G796-H796, J796-H796)*
INDEX('2018_commission_structure'!$A$1:$I$4,
MATCH($D796, '2018_commission_structure'!$A$1:$A$4, 0),
MATCH(O$1, '2018_commission_structure'!$A$1:$I$1, 0)), 0)</f>
        <v>0</v>
      </c>
      <c r="Q796" s="11">
        <f>IF(G796&gt;H796, MIN(G796-H796, I796-H796)*
INDEX('2018_commission_structure'!$A$1:$I$4,
MATCH($D796, '2018_commission_structure'!$A$1:$A$4, 0),
MATCH(P$1, '2018_commission_structure'!$A$1:$I$1, 0)), 0)</f>
        <v>0</v>
      </c>
      <c r="R796" s="11">
        <f>IF(G796&gt;K796, (G796-K796) *
INDEX('2018_commission_structure'!$A$1:$I$4,
MATCH($D796, '2018_commission_structure'!$A$1:$A$4,0),
MATCH(R$1, '2018_commission_structure'!$A$1:$I$1,0)), 0)</f>
        <v>0</v>
      </c>
      <c r="S796" s="11">
        <f t="shared" si="77"/>
        <v>0</v>
      </c>
      <c r="T796" s="11" cm="1">
        <f t="array" ref="T796">SUM(E796+O796:Q796)</f>
        <v>188376</v>
      </c>
    </row>
    <row r="797" spans="1:20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 xml:space="preserve"> COUNTIF(deals_closed!D:D,A797)</f>
        <v>20</v>
      </c>
      <c r="G797" s="5">
        <f>SUMIF(deals_closed!D:D, calculations!A797, deals_closed!C:C)</f>
        <v>722703</v>
      </c>
      <c r="H797" s="5">
        <f>VLOOKUP(D797,'2018_commission_structure'!$A$2:$I$4,9,FALSE)</f>
        <v>750000</v>
      </c>
      <c r="I797" s="9">
        <f t="shared" si="72"/>
        <v>937500</v>
      </c>
      <c r="J797" s="8">
        <f t="shared" si="73"/>
        <v>1125000</v>
      </c>
      <c r="K797" s="9">
        <f t="shared" si="74"/>
        <v>1500000</v>
      </c>
      <c r="L797" s="10">
        <f t="shared" si="75"/>
        <v>0.96360400000000002</v>
      </c>
      <c r="M797" t="str">
        <f t="shared" si="76"/>
        <v>0-100%</v>
      </c>
      <c r="N797" s="9">
        <f>MIN(H797, G797)*INDEX('2018_commission_structure'!$A$1:$I$4,
MATCH($D797, '2018_commission_structure'!$A$1:$A$4,0),
MATCH(N$1, '2018_commission_structure'!$A$1:$I$1,0))</f>
        <v>108405.45</v>
      </c>
      <c r="O797" s="11">
        <f>IF(G797&gt;H797, MIN(G797-H797, I797-H797)*
INDEX('2018_commission_structure'!$A$1:$I$4,
MATCH($D797, '2018_commission_structure'!$A$1:$A$4, 0),
MATCH(O$1, '2018_commission_structure'!$A$1:$I$1, 0)), 0)</f>
        <v>0</v>
      </c>
      <c r="P797" s="11">
        <f>IF(G797&gt;H797, MIN(G797-H797, J797-H797)*
INDEX('2018_commission_structure'!$A$1:$I$4,
MATCH($D797, '2018_commission_structure'!$A$1:$A$4, 0),
MATCH(O$1, '2018_commission_structure'!$A$1:$I$1, 0)), 0)</f>
        <v>0</v>
      </c>
      <c r="Q797" s="11">
        <f>IF(G797&gt;H797, MIN(G797-H797, I797-H797)*
INDEX('2018_commission_structure'!$A$1:$I$4,
MATCH($D797, '2018_commission_structure'!$A$1:$A$4, 0),
MATCH(P$1, '2018_commission_structure'!$A$1:$I$1, 0)), 0)</f>
        <v>0</v>
      </c>
      <c r="R797" s="11">
        <f>IF(G797&gt;K797, (G797-K797) *
INDEX('2018_commission_structure'!$A$1:$I$4,
MATCH($D797, '2018_commission_structure'!$A$1:$A$4,0),
MATCH(R$1, '2018_commission_structure'!$A$1:$I$1,0)), 0)</f>
        <v>0</v>
      </c>
      <c r="S797" s="11">
        <f t="shared" si="77"/>
        <v>0</v>
      </c>
      <c r="T797" s="11" cm="1">
        <f t="array" ref="T797">SUM(E797+O797:Q797)</f>
        <v>299544</v>
      </c>
    </row>
    <row r="798" spans="1:20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 xml:space="preserve"> COUNTIF(deals_closed!D:D,A798)</f>
        <v>17</v>
      </c>
      <c r="G798" s="5">
        <f>SUMIF(deals_closed!D:D, calculations!A798, deals_closed!C:C)</f>
        <v>550672</v>
      </c>
      <c r="H798" s="5">
        <f>VLOOKUP(D798,'2018_commission_structure'!$A$2:$I$4,9,FALSE)</f>
        <v>750000</v>
      </c>
      <c r="I798" s="9">
        <f t="shared" si="72"/>
        <v>937500</v>
      </c>
      <c r="J798" s="8">
        <f t="shared" si="73"/>
        <v>1125000</v>
      </c>
      <c r="K798" s="9">
        <f t="shared" si="74"/>
        <v>1500000</v>
      </c>
      <c r="L798" s="10">
        <f t="shared" si="75"/>
        <v>0.73422933333333329</v>
      </c>
      <c r="M798" t="str">
        <f t="shared" si="76"/>
        <v>0-100%</v>
      </c>
      <c r="N798" s="9">
        <f>MIN(H798, G798)*INDEX('2018_commission_structure'!$A$1:$I$4,
MATCH($D798, '2018_commission_structure'!$A$1:$A$4,0),
MATCH(N$1, '2018_commission_structure'!$A$1:$I$1,0))</f>
        <v>82600.800000000003</v>
      </c>
      <c r="O798" s="11">
        <f>IF(G798&gt;H798, MIN(G798-H798, I798-H798)*
INDEX('2018_commission_structure'!$A$1:$I$4,
MATCH($D798, '2018_commission_structure'!$A$1:$A$4, 0),
MATCH(O$1, '2018_commission_structure'!$A$1:$I$1, 0)), 0)</f>
        <v>0</v>
      </c>
      <c r="P798" s="11">
        <f>IF(G798&gt;H798, MIN(G798-H798, J798-H798)*
INDEX('2018_commission_structure'!$A$1:$I$4,
MATCH($D798, '2018_commission_structure'!$A$1:$A$4, 0),
MATCH(O$1, '2018_commission_structure'!$A$1:$I$1, 0)), 0)</f>
        <v>0</v>
      </c>
      <c r="Q798" s="11">
        <f>IF(G798&gt;H798, MIN(G798-H798, I798-H798)*
INDEX('2018_commission_structure'!$A$1:$I$4,
MATCH($D798, '2018_commission_structure'!$A$1:$A$4, 0),
MATCH(P$1, '2018_commission_structure'!$A$1:$I$1, 0)), 0)</f>
        <v>0</v>
      </c>
      <c r="R798" s="11">
        <f>IF(G798&gt;K798, (G798-K798) *
INDEX('2018_commission_structure'!$A$1:$I$4,
MATCH($D798, '2018_commission_structure'!$A$1:$A$4,0),
MATCH(R$1, '2018_commission_structure'!$A$1:$I$1,0)), 0)</f>
        <v>0</v>
      </c>
      <c r="S798" s="11">
        <f t="shared" si="77"/>
        <v>0</v>
      </c>
      <c r="T798" s="11" cm="1">
        <f t="array" ref="T798">SUM(E798+O798:Q798)</f>
        <v>298866</v>
      </c>
    </row>
    <row r="799" spans="1:20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 xml:space="preserve"> COUNTIF(deals_closed!D:D,A799)</f>
        <v>26</v>
      </c>
      <c r="G799" s="5">
        <f>SUMIF(deals_closed!D:D, calculations!A799, deals_closed!C:C)</f>
        <v>936364</v>
      </c>
      <c r="H799" s="5">
        <f>VLOOKUP(D799,'2018_commission_structure'!$A$2:$I$4,9,FALSE)</f>
        <v>600000</v>
      </c>
      <c r="I799" s="9">
        <f t="shared" si="72"/>
        <v>750000</v>
      </c>
      <c r="J799" s="8">
        <f t="shared" si="73"/>
        <v>900000</v>
      </c>
      <c r="K799" s="9">
        <f t="shared" si="74"/>
        <v>1200000</v>
      </c>
      <c r="L799" s="10">
        <f t="shared" si="75"/>
        <v>1.5606066666666667</v>
      </c>
      <c r="M799" t="str">
        <f t="shared" si="76"/>
        <v>150-200%</v>
      </c>
      <c r="N799" s="9">
        <f>MIN(H799, G799)*INDEX('2018_commission_structure'!$A$1:$I$4,
MATCH($D799, '2018_commission_structure'!$A$1:$A$4,0),
MATCH(N$1, '2018_commission_structure'!$A$1:$I$1,0))</f>
        <v>78000</v>
      </c>
      <c r="O799" s="11">
        <f>IF(G799&gt;H799, MIN(G799-H799, I799-H799)*
INDEX('2018_commission_structure'!$A$1:$I$4,
MATCH($D799, '2018_commission_structure'!$A$1:$A$4, 0),
MATCH(O$1, '2018_commission_structure'!$A$1:$I$1, 0)), 0)</f>
        <v>25500.000000000004</v>
      </c>
      <c r="P799" s="11">
        <f>IF(G799&gt;H799, MIN(G799-H799, J799-H799)*
INDEX('2018_commission_structure'!$A$1:$I$4,
MATCH($D799, '2018_commission_structure'!$A$1:$A$4, 0),
MATCH(O$1, '2018_commission_structure'!$A$1:$I$1, 0)), 0)</f>
        <v>51000.000000000007</v>
      </c>
      <c r="Q799" s="11">
        <f>IF(G799&gt;H799, MIN(G799-H799, I799-H799)*
INDEX('2018_commission_structure'!$A$1:$I$4,
MATCH($D799, '2018_commission_structure'!$A$1:$A$4, 0),
MATCH(P$1, '2018_commission_structure'!$A$1:$I$1, 0)), 0)</f>
        <v>31500</v>
      </c>
      <c r="R799" s="11">
        <f>IF(G799&gt;K799, (G799-K799) *
INDEX('2018_commission_structure'!$A$1:$I$4,
MATCH($D799, '2018_commission_structure'!$A$1:$A$4,0),
MATCH(R$1, '2018_commission_structure'!$A$1:$I$1,0)), 0)</f>
        <v>0</v>
      </c>
      <c r="S799" s="11">
        <f t="shared" si="77"/>
        <v>108000.00000000001</v>
      </c>
      <c r="T799" s="11" cm="1">
        <f t="array" ref="T799">SUM(E799+O799:Q799)</f>
        <v>339672</v>
      </c>
    </row>
    <row r="800" spans="1:20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 xml:space="preserve"> COUNTIF(deals_closed!D:D,A800)</f>
        <v>23</v>
      </c>
      <c r="G800" s="5">
        <f>SUMIF(deals_closed!D:D, calculations!A800, deals_closed!C:C)</f>
        <v>788197</v>
      </c>
      <c r="H800" s="5">
        <f>VLOOKUP(D800,'2018_commission_structure'!$A$2:$I$4,9,FALSE)</f>
        <v>600000</v>
      </c>
      <c r="I800" s="9">
        <f t="shared" si="72"/>
        <v>750000</v>
      </c>
      <c r="J800" s="8">
        <f t="shared" si="73"/>
        <v>900000</v>
      </c>
      <c r="K800" s="9">
        <f t="shared" si="74"/>
        <v>1200000</v>
      </c>
      <c r="L800" s="10">
        <f t="shared" si="75"/>
        <v>1.3136616666666667</v>
      </c>
      <c r="M800" t="str">
        <f t="shared" si="76"/>
        <v>125-150%</v>
      </c>
      <c r="N800" s="9">
        <f>MIN(H800, G800)*INDEX('2018_commission_structure'!$A$1:$I$4,
MATCH($D800, '2018_commission_structure'!$A$1:$A$4,0),
MATCH(N$1, '2018_commission_structure'!$A$1:$I$1,0))</f>
        <v>78000</v>
      </c>
      <c r="O800" s="11">
        <f>IF(G800&gt;H800, MIN(G800-H800, I800-H800)*
INDEX('2018_commission_structure'!$A$1:$I$4,
MATCH($D800, '2018_commission_structure'!$A$1:$A$4, 0),
MATCH(O$1, '2018_commission_structure'!$A$1:$I$1, 0)), 0)</f>
        <v>25500.000000000004</v>
      </c>
      <c r="P800" s="11">
        <f>IF(G800&gt;H800, MIN(G800-H800, J800-H800)*
INDEX('2018_commission_structure'!$A$1:$I$4,
MATCH($D800, '2018_commission_structure'!$A$1:$A$4, 0),
MATCH(O$1, '2018_commission_structure'!$A$1:$I$1, 0)), 0)</f>
        <v>31993.49</v>
      </c>
      <c r="Q800" s="11">
        <f>IF(G800&gt;H800, MIN(G800-H800, I800-H800)*
INDEX('2018_commission_structure'!$A$1:$I$4,
MATCH($D800, '2018_commission_structure'!$A$1:$A$4, 0),
MATCH(P$1, '2018_commission_structure'!$A$1:$I$1, 0)), 0)</f>
        <v>31500</v>
      </c>
      <c r="R800" s="11">
        <f>IF(G800&gt;K800, (G800-K800) *
INDEX('2018_commission_structure'!$A$1:$I$4,
MATCH($D800, '2018_commission_structure'!$A$1:$A$4,0),
MATCH(R$1, '2018_commission_structure'!$A$1:$I$1,0)), 0)</f>
        <v>0</v>
      </c>
      <c r="S800" s="11">
        <f t="shared" si="77"/>
        <v>88993.49</v>
      </c>
      <c r="T800" s="11" cm="1">
        <f t="array" ref="T800">SUM(E800+O800:Q800)</f>
        <v>249958.49</v>
      </c>
    </row>
    <row r="801" spans="1:20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 xml:space="preserve"> COUNTIF(deals_closed!D:D,A801)</f>
        <v>21</v>
      </c>
      <c r="G801" s="5">
        <f>SUMIF(deals_closed!D:D, calculations!A801, deals_closed!C:C)</f>
        <v>682856</v>
      </c>
      <c r="H801" s="5">
        <f>VLOOKUP(D801,'2018_commission_structure'!$A$2:$I$4,9,FALSE)</f>
        <v>500000</v>
      </c>
      <c r="I801" s="9">
        <f t="shared" si="72"/>
        <v>625000</v>
      </c>
      <c r="J801" s="8">
        <f t="shared" si="73"/>
        <v>750000</v>
      </c>
      <c r="K801" s="9">
        <f t="shared" si="74"/>
        <v>1000000</v>
      </c>
      <c r="L801" s="10">
        <f t="shared" si="75"/>
        <v>1.365712</v>
      </c>
      <c r="M801" t="str">
        <f t="shared" si="76"/>
        <v>125-150%</v>
      </c>
      <c r="N801" s="9">
        <f>MIN(H801, G801)*INDEX('2018_commission_structure'!$A$1:$I$4,
MATCH($D801, '2018_commission_structure'!$A$1:$A$4,0),
MATCH(N$1, '2018_commission_structure'!$A$1:$I$1,0))</f>
        <v>50000</v>
      </c>
      <c r="O801" s="11">
        <f>IF(G801&gt;H801, MIN(G801-H801, I801-H801)*
INDEX('2018_commission_structure'!$A$1:$I$4,
MATCH($D801, '2018_commission_structure'!$A$1:$A$4, 0),
MATCH(O$1, '2018_commission_structure'!$A$1:$I$1, 0)), 0)</f>
        <v>18750</v>
      </c>
      <c r="P801" s="11">
        <f>IF(G801&gt;H801, MIN(G801-H801, J801-H801)*
INDEX('2018_commission_structure'!$A$1:$I$4,
MATCH($D801, '2018_commission_structure'!$A$1:$A$4, 0),
MATCH(O$1, '2018_commission_structure'!$A$1:$I$1, 0)), 0)</f>
        <v>27428.399999999998</v>
      </c>
      <c r="Q801" s="11">
        <f>IF(G801&gt;H801, MIN(G801-H801, I801-H801)*
INDEX('2018_commission_structure'!$A$1:$I$4,
MATCH($D801, '2018_commission_structure'!$A$1:$A$4, 0),
MATCH(P$1, '2018_commission_structure'!$A$1:$I$1, 0)), 0)</f>
        <v>22500</v>
      </c>
      <c r="R801" s="11">
        <f>IF(G801&gt;K801, (G801-K801) *
INDEX('2018_commission_structure'!$A$1:$I$4,
MATCH($D801, '2018_commission_structure'!$A$1:$A$4,0),
MATCH(R$1, '2018_commission_structure'!$A$1:$I$1,0)), 0)</f>
        <v>0</v>
      </c>
      <c r="S801" s="11">
        <f t="shared" si="77"/>
        <v>68678.399999999994</v>
      </c>
      <c r="T801" s="11" cm="1">
        <f t="array" ref="T801">SUM(E801+O801:Q801)</f>
        <v>165191.4</v>
      </c>
    </row>
    <row r="802" spans="1:20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 xml:space="preserve"> COUNTIF(deals_closed!D:D,A802)</f>
        <v>20</v>
      </c>
      <c r="G802" s="5">
        <f>SUMIF(deals_closed!D:D, calculations!A802, deals_closed!C:C)</f>
        <v>724529</v>
      </c>
      <c r="H802" s="5">
        <f>VLOOKUP(D802,'2018_commission_structure'!$A$2:$I$4,9,FALSE)</f>
        <v>600000</v>
      </c>
      <c r="I802" s="9">
        <f t="shared" si="72"/>
        <v>750000</v>
      </c>
      <c r="J802" s="8">
        <f t="shared" si="73"/>
        <v>900000</v>
      </c>
      <c r="K802" s="9">
        <f t="shared" si="74"/>
        <v>1200000</v>
      </c>
      <c r="L802" s="10">
        <f t="shared" si="75"/>
        <v>1.2075483333333332</v>
      </c>
      <c r="M802" t="str">
        <f t="shared" si="76"/>
        <v>100-125%</v>
      </c>
      <c r="N802" s="9">
        <f>MIN(H802, G802)*INDEX('2018_commission_structure'!$A$1:$I$4,
MATCH($D802, '2018_commission_structure'!$A$1:$A$4,0),
MATCH(N$1, '2018_commission_structure'!$A$1:$I$1,0))</f>
        <v>78000</v>
      </c>
      <c r="O802" s="11">
        <f>IF(G802&gt;H802, MIN(G802-H802, I802-H802)*
INDEX('2018_commission_structure'!$A$1:$I$4,
MATCH($D802, '2018_commission_structure'!$A$1:$A$4, 0),
MATCH(O$1, '2018_commission_structure'!$A$1:$I$1, 0)), 0)</f>
        <v>21169.93</v>
      </c>
      <c r="P802" s="11">
        <f>IF(G802&gt;H802, MIN(G802-H802, J802-H802)*
INDEX('2018_commission_structure'!$A$1:$I$4,
MATCH($D802, '2018_commission_structure'!$A$1:$A$4, 0),
MATCH(O$1, '2018_commission_structure'!$A$1:$I$1, 0)), 0)</f>
        <v>21169.93</v>
      </c>
      <c r="Q802" s="11">
        <f>IF(G802&gt;H802, MIN(G802-H802, I802-H802)*
INDEX('2018_commission_structure'!$A$1:$I$4,
MATCH($D802, '2018_commission_structure'!$A$1:$A$4, 0),
MATCH(P$1, '2018_commission_structure'!$A$1:$I$1, 0)), 0)</f>
        <v>26151.09</v>
      </c>
      <c r="R802" s="11">
        <f>IF(G802&gt;K802, (G802-K802) *
INDEX('2018_commission_structure'!$A$1:$I$4,
MATCH($D802, '2018_commission_structure'!$A$1:$A$4,0),
MATCH(R$1, '2018_commission_structure'!$A$1:$I$1,0)), 0)</f>
        <v>0</v>
      </c>
      <c r="S802" s="11">
        <f t="shared" si="77"/>
        <v>68490.95</v>
      </c>
      <c r="T802" s="11" cm="1">
        <f t="array" ref="T802">SUM(E802+O802:Q802)</f>
        <v>236538.94999999998</v>
      </c>
    </row>
    <row r="803" spans="1:20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 xml:space="preserve"> COUNTIF(deals_closed!D:D,A803)</f>
        <v>19</v>
      </c>
      <c r="G803" s="5">
        <f>SUMIF(deals_closed!D:D, calculations!A803, deals_closed!C:C)</f>
        <v>664840</v>
      </c>
      <c r="H803" s="5">
        <f>VLOOKUP(D803,'2018_commission_structure'!$A$2:$I$4,9,FALSE)</f>
        <v>750000</v>
      </c>
      <c r="I803" s="9">
        <f t="shared" si="72"/>
        <v>937500</v>
      </c>
      <c r="J803" s="8">
        <f t="shared" si="73"/>
        <v>1125000</v>
      </c>
      <c r="K803" s="9">
        <f t="shared" si="74"/>
        <v>1500000</v>
      </c>
      <c r="L803" s="10">
        <f t="shared" si="75"/>
        <v>0.88645333333333332</v>
      </c>
      <c r="M803" t="str">
        <f t="shared" si="76"/>
        <v>0-100%</v>
      </c>
      <c r="N803" s="9">
        <f>MIN(H803, G803)*INDEX('2018_commission_structure'!$A$1:$I$4,
MATCH($D803, '2018_commission_structure'!$A$1:$A$4,0),
MATCH(N$1, '2018_commission_structure'!$A$1:$I$1,0))</f>
        <v>99726</v>
      </c>
      <c r="O803" s="11">
        <f>IF(G803&gt;H803, MIN(G803-H803, I803-H803)*
INDEX('2018_commission_structure'!$A$1:$I$4,
MATCH($D803, '2018_commission_structure'!$A$1:$A$4, 0),
MATCH(O$1, '2018_commission_structure'!$A$1:$I$1, 0)), 0)</f>
        <v>0</v>
      </c>
      <c r="P803" s="11">
        <f>IF(G803&gt;H803, MIN(G803-H803, J803-H803)*
INDEX('2018_commission_structure'!$A$1:$I$4,
MATCH($D803, '2018_commission_structure'!$A$1:$A$4, 0),
MATCH(O$1, '2018_commission_structure'!$A$1:$I$1, 0)), 0)</f>
        <v>0</v>
      </c>
      <c r="Q803" s="11">
        <f>IF(G803&gt;H803, MIN(G803-H803, I803-H803)*
INDEX('2018_commission_structure'!$A$1:$I$4,
MATCH($D803, '2018_commission_structure'!$A$1:$A$4, 0),
MATCH(P$1, '2018_commission_structure'!$A$1:$I$1, 0)), 0)</f>
        <v>0</v>
      </c>
      <c r="R803" s="11">
        <f>IF(G803&gt;K803, (G803-K803) *
INDEX('2018_commission_structure'!$A$1:$I$4,
MATCH($D803, '2018_commission_structure'!$A$1:$A$4,0),
MATCH(R$1, '2018_commission_structure'!$A$1:$I$1,0)), 0)</f>
        <v>0</v>
      </c>
      <c r="S803" s="11">
        <f t="shared" si="77"/>
        <v>0</v>
      </c>
      <c r="T803" s="11" cm="1">
        <f t="array" ref="T803">SUM(E803+O803:Q803)</f>
        <v>270702</v>
      </c>
    </row>
    <row r="804" spans="1:20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 xml:space="preserve"> COUNTIF(deals_closed!D:D,A804)</f>
        <v>13</v>
      </c>
      <c r="G804" s="5">
        <f>SUMIF(deals_closed!D:D, calculations!A804, deals_closed!C:C)</f>
        <v>437303</v>
      </c>
      <c r="H804" s="5">
        <f>VLOOKUP(D804,'2018_commission_structure'!$A$2:$I$4,9,FALSE)</f>
        <v>750000</v>
      </c>
      <c r="I804" s="9">
        <f t="shared" si="72"/>
        <v>937500</v>
      </c>
      <c r="J804" s="8">
        <f t="shared" si="73"/>
        <v>1125000</v>
      </c>
      <c r="K804" s="9">
        <f t="shared" si="74"/>
        <v>1500000</v>
      </c>
      <c r="L804" s="10">
        <f t="shared" si="75"/>
        <v>0.58307066666666663</v>
      </c>
      <c r="M804" t="str">
        <f t="shared" si="76"/>
        <v>0-100%</v>
      </c>
      <c r="N804" s="9">
        <f>MIN(H804, G804)*INDEX('2018_commission_structure'!$A$1:$I$4,
MATCH($D804, '2018_commission_structure'!$A$1:$A$4,0),
MATCH(N$1, '2018_commission_structure'!$A$1:$I$1,0))</f>
        <v>65595.45</v>
      </c>
      <c r="O804" s="11">
        <f>IF(G804&gt;H804, MIN(G804-H804, I804-H804)*
INDEX('2018_commission_structure'!$A$1:$I$4,
MATCH($D804, '2018_commission_structure'!$A$1:$A$4, 0),
MATCH(O$1, '2018_commission_structure'!$A$1:$I$1, 0)), 0)</f>
        <v>0</v>
      </c>
      <c r="P804" s="11">
        <f>IF(G804&gt;H804, MIN(G804-H804, J804-H804)*
INDEX('2018_commission_structure'!$A$1:$I$4,
MATCH($D804, '2018_commission_structure'!$A$1:$A$4, 0),
MATCH(O$1, '2018_commission_structure'!$A$1:$I$1, 0)), 0)</f>
        <v>0</v>
      </c>
      <c r="Q804" s="11">
        <f>IF(G804&gt;H804, MIN(G804-H804, I804-H804)*
INDEX('2018_commission_structure'!$A$1:$I$4,
MATCH($D804, '2018_commission_structure'!$A$1:$A$4, 0),
MATCH(P$1, '2018_commission_structure'!$A$1:$I$1, 0)), 0)</f>
        <v>0</v>
      </c>
      <c r="R804" s="11">
        <f>IF(G804&gt;K804, (G804-K804) *
INDEX('2018_commission_structure'!$A$1:$I$4,
MATCH($D804, '2018_commission_structure'!$A$1:$A$4,0),
MATCH(R$1, '2018_commission_structure'!$A$1:$I$1,0)), 0)</f>
        <v>0</v>
      </c>
      <c r="S804" s="11">
        <f t="shared" si="77"/>
        <v>0</v>
      </c>
      <c r="T804" s="11" cm="1">
        <f t="array" ref="T804">SUM(E804+O804:Q804)</f>
        <v>271755</v>
      </c>
    </row>
    <row r="805" spans="1:20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 xml:space="preserve"> COUNTIF(deals_closed!D:D,A805)</f>
        <v>14</v>
      </c>
      <c r="G805" s="5">
        <f>SUMIF(deals_closed!D:D, calculations!A805, deals_closed!C:C)</f>
        <v>421213</v>
      </c>
      <c r="H805" s="5">
        <f>VLOOKUP(D805,'2018_commission_structure'!$A$2:$I$4,9,FALSE)</f>
        <v>750000</v>
      </c>
      <c r="I805" s="9">
        <f t="shared" si="72"/>
        <v>937500</v>
      </c>
      <c r="J805" s="8">
        <f t="shared" si="73"/>
        <v>1125000</v>
      </c>
      <c r="K805" s="9">
        <f t="shared" si="74"/>
        <v>1500000</v>
      </c>
      <c r="L805" s="10">
        <f t="shared" si="75"/>
        <v>0.5616173333333333</v>
      </c>
      <c r="M805" t="str">
        <f t="shared" si="76"/>
        <v>0-100%</v>
      </c>
      <c r="N805" s="9">
        <f>MIN(H805, G805)*INDEX('2018_commission_structure'!$A$1:$I$4,
MATCH($D805, '2018_commission_structure'!$A$1:$A$4,0),
MATCH(N$1, '2018_commission_structure'!$A$1:$I$1,0))</f>
        <v>63181.95</v>
      </c>
      <c r="O805" s="11">
        <f>IF(G805&gt;H805, MIN(G805-H805, I805-H805)*
INDEX('2018_commission_structure'!$A$1:$I$4,
MATCH($D805, '2018_commission_structure'!$A$1:$A$4, 0),
MATCH(O$1, '2018_commission_structure'!$A$1:$I$1, 0)), 0)</f>
        <v>0</v>
      </c>
      <c r="P805" s="11">
        <f>IF(G805&gt;H805, MIN(G805-H805, J805-H805)*
INDEX('2018_commission_structure'!$A$1:$I$4,
MATCH($D805, '2018_commission_structure'!$A$1:$A$4, 0),
MATCH(O$1, '2018_commission_structure'!$A$1:$I$1, 0)), 0)</f>
        <v>0</v>
      </c>
      <c r="Q805" s="11">
        <f>IF(G805&gt;H805, MIN(G805-H805, I805-H805)*
INDEX('2018_commission_structure'!$A$1:$I$4,
MATCH($D805, '2018_commission_structure'!$A$1:$A$4, 0),
MATCH(P$1, '2018_commission_structure'!$A$1:$I$1, 0)), 0)</f>
        <v>0</v>
      </c>
      <c r="R805" s="11">
        <f>IF(G805&gt;K805, (G805-K805) *
INDEX('2018_commission_structure'!$A$1:$I$4,
MATCH($D805, '2018_commission_structure'!$A$1:$A$4,0),
MATCH(R$1, '2018_commission_structure'!$A$1:$I$1,0)), 0)</f>
        <v>0</v>
      </c>
      <c r="S805" s="11">
        <f t="shared" si="77"/>
        <v>0</v>
      </c>
      <c r="T805" s="11" cm="1">
        <f t="array" ref="T805">SUM(E805+O805:Q805)</f>
        <v>268992</v>
      </c>
    </row>
    <row r="806" spans="1:20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 xml:space="preserve"> COUNTIF(deals_closed!D:D,A806)</f>
        <v>21</v>
      </c>
      <c r="G806" s="5">
        <f>SUMIF(deals_closed!D:D, calculations!A806, deals_closed!C:C)</f>
        <v>681211</v>
      </c>
      <c r="H806" s="5">
        <f>VLOOKUP(D806,'2018_commission_structure'!$A$2:$I$4,9,FALSE)</f>
        <v>500000</v>
      </c>
      <c r="I806" s="9">
        <f t="shared" si="72"/>
        <v>625000</v>
      </c>
      <c r="J806" s="8">
        <f t="shared" si="73"/>
        <v>750000</v>
      </c>
      <c r="K806" s="9">
        <f t="shared" si="74"/>
        <v>1000000</v>
      </c>
      <c r="L806" s="10">
        <f t="shared" si="75"/>
        <v>1.362422</v>
      </c>
      <c r="M806" t="str">
        <f t="shared" si="76"/>
        <v>125-150%</v>
      </c>
      <c r="N806" s="9">
        <f>MIN(H806, G806)*INDEX('2018_commission_structure'!$A$1:$I$4,
MATCH($D806, '2018_commission_structure'!$A$1:$A$4,0),
MATCH(N$1, '2018_commission_structure'!$A$1:$I$1,0))</f>
        <v>50000</v>
      </c>
      <c r="O806" s="11">
        <f>IF(G806&gt;H806, MIN(G806-H806, I806-H806)*
INDEX('2018_commission_structure'!$A$1:$I$4,
MATCH($D806, '2018_commission_structure'!$A$1:$A$4, 0),
MATCH(O$1, '2018_commission_structure'!$A$1:$I$1, 0)), 0)</f>
        <v>18750</v>
      </c>
      <c r="P806" s="11">
        <f>IF(G806&gt;H806, MIN(G806-H806, J806-H806)*
INDEX('2018_commission_structure'!$A$1:$I$4,
MATCH($D806, '2018_commission_structure'!$A$1:$A$4, 0),
MATCH(O$1, '2018_commission_structure'!$A$1:$I$1, 0)), 0)</f>
        <v>27181.649999999998</v>
      </c>
      <c r="Q806" s="11">
        <f>IF(G806&gt;H806, MIN(G806-H806, I806-H806)*
INDEX('2018_commission_structure'!$A$1:$I$4,
MATCH($D806, '2018_commission_structure'!$A$1:$A$4, 0),
MATCH(P$1, '2018_commission_structure'!$A$1:$I$1, 0)), 0)</f>
        <v>22500</v>
      </c>
      <c r="R806" s="11">
        <f>IF(G806&gt;K806, (G806-K806) *
INDEX('2018_commission_structure'!$A$1:$I$4,
MATCH($D806, '2018_commission_structure'!$A$1:$A$4,0),
MATCH(R$1, '2018_commission_structure'!$A$1:$I$1,0)), 0)</f>
        <v>0</v>
      </c>
      <c r="S806" s="11">
        <f t="shared" si="77"/>
        <v>68431.649999999994</v>
      </c>
      <c r="T806" s="11" cm="1">
        <f t="array" ref="T806">SUM(E806+O806:Q806)</f>
        <v>174517.65</v>
      </c>
    </row>
    <row r="807" spans="1:20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 xml:space="preserve"> COUNTIF(deals_closed!D:D,A807)</f>
        <v>15</v>
      </c>
      <c r="G807" s="5">
        <f>SUMIF(deals_closed!D:D, calculations!A807, deals_closed!C:C)</f>
        <v>549442</v>
      </c>
      <c r="H807" s="5">
        <f>VLOOKUP(D807,'2018_commission_structure'!$A$2:$I$4,9,FALSE)</f>
        <v>750000</v>
      </c>
      <c r="I807" s="9">
        <f t="shared" si="72"/>
        <v>937500</v>
      </c>
      <c r="J807" s="8">
        <f t="shared" si="73"/>
        <v>1125000</v>
      </c>
      <c r="K807" s="9">
        <f t="shared" si="74"/>
        <v>1500000</v>
      </c>
      <c r="L807" s="10">
        <f t="shared" si="75"/>
        <v>0.73258933333333331</v>
      </c>
      <c r="M807" t="str">
        <f t="shared" si="76"/>
        <v>0-100%</v>
      </c>
      <c r="N807" s="9">
        <f>MIN(H807, G807)*INDEX('2018_commission_structure'!$A$1:$I$4,
MATCH($D807, '2018_commission_structure'!$A$1:$A$4,0),
MATCH(N$1, '2018_commission_structure'!$A$1:$I$1,0))</f>
        <v>82416.3</v>
      </c>
      <c r="O807" s="11">
        <f>IF(G807&gt;H807, MIN(G807-H807, I807-H807)*
INDEX('2018_commission_structure'!$A$1:$I$4,
MATCH($D807, '2018_commission_structure'!$A$1:$A$4, 0),
MATCH(O$1, '2018_commission_structure'!$A$1:$I$1, 0)), 0)</f>
        <v>0</v>
      </c>
      <c r="P807" s="11">
        <f>IF(G807&gt;H807, MIN(G807-H807, J807-H807)*
INDEX('2018_commission_structure'!$A$1:$I$4,
MATCH($D807, '2018_commission_structure'!$A$1:$A$4, 0),
MATCH(O$1, '2018_commission_structure'!$A$1:$I$1, 0)), 0)</f>
        <v>0</v>
      </c>
      <c r="Q807" s="11">
        <f>IF(G807&gt;H807, MIN(G807-H807, I807-H807)*
INDEX('2018_commission_structure'!$A$1:$I$4,
MATCH($D807, '2018_commission_structure'!$A$1:$A$4, 0),
MATCH(P$1, '2018_commission_structure'!$A$1:$I$1, 0)), 0)</f>
        <v>0</v>
      </c>
      <c r="R807" s="11">
        <f>IF(G807&gt;K807, (G807-K807) *
INDEX('2018_commission_structure'!$A$1:$I$4,
MATCH($D807, '2018_commission_structure'!$A$1:$A$4,0),
MATCH(R$1, '2018_commission_structure'!$A$1:$I$1,0)), 0)</f>
        <v>0</v>
      </c>
      <c r="S807" s="11">
        <f t="shared" si="77"/>
        <v>0</v>
      </c>
      <c r="T807" s="11" cm="1">
        <f t="array" ref="T807">SUM(E807+O807:Q807)</f>
        <v>369300</v>
      </c>
    </row>
    <row r="808" spans="1:20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 xml:space="preserve"> COUNTIF(deals_closed!D:D,A808)</f>
        <v>26</v>
      </c>
      <c r="G808" s="5">
        <f>SUMIF(deals_closed!D:D, calculations!A808, deals_closed!C:C)</f>
        <v>951577</v>
      </c>
      <c r="H808" s="5">
        <f>VLOOKUP(D808,'2018_commission_structure'!$A$2:$I$4,9,FALSE)</f>
        <v>600000</v>
      </c>
      <c r="I808" s="9">
        <f t="shared" si="72"/>
        <v>750000</v>
      </c>
      <c r="J808" s="8">
        <f t="shared" si="73"/>
        <v>900000</v>
      </c>
      <c r="K808" s="9">
        <f t="shared" si="74"/>
        <v>1200000</v>
      </c>
      <c r="L808" s="10">
        <f t="shared" si="75"/>
        <v>1.5859616666666667</v>
      </c>
      <c r="M808" t="str">
        <f t="shared" si="76"/>
        <v>150-200%</v>
      </c>
      <c r="N808" s="9">
        <f>MIN(H808, G808)*INDEX('2018_commission_structure'!$A$1:$I$4,
MATCH($D808, '2018_commission_structure'!$A$1:$A$4,0),
MATCH(N$1, '2018_commission_structure'!$A$1:$I$1,0))</f>
        <v>78000</v>
      </c>
      <c r="O808" s="11">
        <f>IF(G808&gt;H808, MIN(G808-H808, I808-H808)*
INDEX('2018_commission_structure'!$A$1:$I$4,
MATCH($D808, '2018_commission_structure'!$A$1:$A$4, 0),
MATCH(O$1, '2018_commission_structure'!$A$1:$I$1, 0)), 0)</f>
        <v>25500.000000000004</v>
      </c>
      <c r="P808" s="11">
        <f>IF(G808&gt;H808, MIN(G808-H808, J808-H808)*
INDEX('2018_commission_structure'!$A$1:$I$4,
MATCH($D808, '2018_commission_structure'!$A$1:$A$4, 0),
MATCH(O$1, '2018_commission_structure'!$A$1:$I$1, 0)), 0)</f>
        <v>51000.000000000007</v>
      </c>
      <c r="Q808" s="11">
        <f>IF(G808&gt;H808, MIN(G808-H808, I808-H808)*
INDEX('2018_commission_structure'!$A$1:$I$4,
MATCH($D808, '2018_commission_structure'!$A$1:$A$4, 0),
MATCH(P$1, '2018_commission_structure'!$A$1:$I$1, 0)), 0)</f>
        <v>31500</v>
      </c>
      <c r="R808" s="11">
        <f>IF(G808&gt;K808, (G808-K808) *
INDEX('2018_commission_structure'!$A$1:$I$4,
MATCH($D808, '2018_commission_structure'!$A$1:$A$4,0),
MATCH(R$1, '2018_commission_structure'!$A$1:$I$1,0)), 0)</f>
        <v>0</v>
      </c>
      <c r="S808" s="11">
        <f t="shared" si="77"/>
        <v>108000.00000000001</v>
      </c>
      <c r="T808" s="11" cm="1">
        <f t="array" ref="T808">SUM(E808+O808:Q808)</f>
        <v>342426</v>
      </c>
    </row>
    <row r="809" spans="1:20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 xml:space="preserve"> COUNTIF(deals_closed!D:D,A809)</f>
        <v>16</v>
      </c>
      <c r="G809" s="5">
        <f>SUMIF(deals_closed!D:D, calculations!A809, deals_closed!C:C)</f>
        <v>635633</v>
      </c>
      <c r="H809" s="5">
        <f>VLOOKUP(D809,'2018_commission_structure'!$A$2:$I$4,9,FALSE)</f>
        <v>750000</v>
      </c>
      <c r="I809" s="9">
        <f t="shared" si="72"/>
        <v>937500</v>
      </c>
      <c r="J809" s="8">
        <f t="shared" si="73"/>
        <v>1125000</v>
      </c>
      <c r="K809" s="9">
        <f t="shared" si="74"/>
        <v>1500000</v>
      </c>
      <c r="L809" s="10">
        <f t="shared" si="75"/>
        <v>0.84751066666666663</v>
      </c>
      <c r="M809" t="str">
        <f t="shared" si="76"/>
        <v>0-100%</v>
      </c>
      <c r="N809" s="9">
        <f>MIN(H809, G809)*INDEX('2018_commission_structure'!$A$1:$I$4,
MATCH($D809, '2018_commission_structure'!$A$1:$A$4,0),
MATCH(N$1, '2018_commission_structure'!$A$1:$I$1,0))</f>
        <v>95344.95</v>
      </c>
      <c r="O809" s="11">
        <f>IF(G809&gt;H809, MIN(G809-H809, I809-H809)*
INDEX('2018_commission_structure'!$A$1:$I$4,
MATCH($D809, '2018_commission_structure'!$A$1:$A$4, 0),
MATCH(O$1, '2018_commission_structure'!$A$1:$I$1, 0)), 0)</f>
        <v>0</v>
      </c>
      <c r="P809" s="11">
        <f>IF(G809&gt;H809, MIN(G809-H809, J809-H809)*
INDEX('2018_commission_structure'!$A$1:$I$4,
MATCH($D809, '2018_commission_structure'!$A$1:$A$4, 0),
MATCH(O$1, '2018_commission_structure'!$A$1:$I$1, 0)), 0)</f>
        <v>0</v>
      </c>
      <c r="Q809" s="11">
        <f>IF(G809&gt;H809, MIN(G809-H809, I809-H809)*
INDEX('2018_commission_structure'!$A$1:$I$4,
MATCH($D809, '2018_commission_structure'!$A$1:$A$4, 0),
MATCH(P$1, '2018_commission_structure'!$A$1:$I$1, 0)), 0)</f>
        <v>0</v>
      </c>
      <c r="R809" s="11">
        <f>IF(G809&gt;K809, (G809-K809) *
INDEX('2018_commission_structure'!$A$1:$I$4,
MATCH($D809, '2018_commission_structure'!$A$1:$A$4,0),
MATCH(R$1, '2018_commission_structure'!$A$1:$I$1,0)), 0)</f>
        <v>0</v>
      </c>
      <c r="S809" s="11">
        <f t="shared" si="77"/>
        <v>0</v>
      </c>
      <c r="T809" s="11" cm="1">
        <f t="array" ref="T809">SUM(E809+O809:Q809)</f>
        <v>275934</v>
      </c>
    </row>
    <row r="810" spans="1:20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 xml:space="preserve"> COUNTIF(deals_closed!D:D,A810)</f>
        <v>16</v>
      </c>
      <c r="G810" s="5">
        <f>SUMIF(deals_closed!D:D, calculations!A810, deals_closed!C:C)</f>
        <v>528737</v>
      </c>
      <c r="H810" s="5">
        <f>VLOOKUP(D810,'2018_commission_structure'!$A$2:$I$4,9,FALSE)</f>
        <v>600000</v>
      </c>
      <c r="I810" s="9">
        <f t="shared" si="72"/>
        <v>750000</v>
      </c>
      <c r="J810" s="8">
        <f t="shared" si="73"/>
        <v>900000</v>
      </c>
      <c r="K810" s="9">
        <f t="shared" si="74"/>
        <v>1200000</v>
      </c>
      <c r="L810" s="10">
        <f t="shared" si="75"/>
        <v>0.88122833333333328</v>
      </c>
      <c r="M810" t="str">
        <f t="shared" si="76"/>
        <v>0-100%</v>
      </c>
      <c r="N810" s="9">
        <f>MIN(H810, G810)*INDEX('2018_commission_structure'!$A$1:$I$4,
MATCH($D810, '2018_commission_structure'!$A$1:$A$4,0),
MATCH(N$1, '2018_commission_structure'!$A$1:$I$1,0))</f>
        <v>68735.81</v>
      </c>
      <c r="O810" s="11">
        <f>IF(G810&gt;H810, MIN(G810-H810, I810-H810)*
INDEX('2018_commission_structure'!$A$1:$I$4,
MATCH($D810, '2018_commission_structure'!$A$1:$A$4, 0),
MATCH(O$1, '2018_commission_structure'!$A$1:$I$1, 0)), 0)</f>
        <v>0</v>
      </c>
      <c r="P810" s="11">
        <f>IF(G810&gt;H810, MIN(G810-H810, J810-H810)*
INDEX('2018_commission_structure'!$A$1:$I$4,
MATCH($D810, '2018_commission_structure'!$A$1:$A$4, 0),
MATCH(O$1, '2018_commission_structure'!$A$1:$I$1, 0)), 0)</f>
        <v>0</v>
      </c>
      <c r="Q810" s="11">
        <f>IF(G810&gt;H810, MIN(G810-H810, I810-H810)*
INDEX('2018_commission_structure'!$A$1:$I$4,
MATCH($D810, '2018_commission_structure'!$A$1:$A$4, 0),
MATCH(P$1, '2018_commission_structure'!$A$1:$I$1, 0)), 0)</f>
        <v>0</v>
      </c>
      <c r="R810" s="11">
        <f>IF(G810&gt;K810, (G810-K810) *
INDEX('2018_commission_structure'!$A$1:$I$4,
MATCH($D810, '2018_commission_structure'!$A$1:$A$4,0),
MATCH(R$1, '2018_commission_structure'!$A$1:$I$1,0)), 0)</f>
        <v>0</v>
      </c>
      <c r="S810" s="11">
        <f t="shared" si="77"/>
        <v>0</v>
      </c>
      <c r="T810" s="11" cm="1">
        <f t="array" ref="T810">SUM(E810+O810:Q810)</f>
        <v>207948</v>
      </c>
    </row>
    <row r="811" spans="1:20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 xml:space="preserve"> COUNTIF(deals_closed!D:D,A811)</f>
        <v>18</v>
      </c>
      <c r="G811" s="5">
        <f>SUMIF(deals_closed!D:D, calculations!A811, deals_closed!C:C)</f>
        <v>561077</v>
      </c>
      <c r="H811" s="5">
        <f>VLOOKUP(D811,'2018_commission_structure'!$A$2:$I$4,9,FALSE)</f>
        <v>600000</v>
      </c>
      <c r="I811" s="9">
        <f t="shared" si="72"/>
        <v>750000</v>
      </c>
      <c r="J811" s="8">
        <f t="shared" si="73"/>
        <v>900000</v>
      </c>
      <c r="K811" s="9">
        <f t="shared" si="74"/>
        <v>1200000</v>
      </c>
      <c r="L811" s="10">
        <f t="shared" si="75"/>
        <v>0.93512833333333334</v>
      </c>
      <c r="M811" t="str">
        <f t="shared" si="76"/>
        <v>0-100%</v>
      </c>
      <c r="N811" s="9">
        <f>MIN(H811, G811)*INDEX('2018_commission_structure'!$A$1:$I$4,
MATCH($D811, '2018_commission_structure'!$A$1:$A$4,0),
MATCH(N$1, '2018_commission_structure'!$A$1:$I$1,0))</f>
        <v>72940.010000000009</v>
      </c>
      <c r="O811" s="11">
        <f>IF(G811&gt;H811, MIN(G811-H811, I811-H811)*
INDEX('2018_commission_structure'!$A$1:$I$4,
MATCH($D811, '2018_commission_structure'!$A$1:$A$4, 0),
MATCH(O$1, '2018_commission_structure'!$A$1:$I$1, 0)), 0)</f>
        <v>0</v>
      </c>
      <c r="P811" s="11">
        <f>IF(G811&gt;H811, MIN(G811-H811, J811-H811)*
INDEX('2018_commission_structure'!$A$1:$I$4,
MATCH($D811, '2018_commission_structure'!$A$1:$A$4, 0),
MATCH(O$1, '2018_commission_structure'!$A$1:$I$1, 0)), 0)</f>
        <v>0</v>
      </c>
      <c r="Q811" s="11">
        <f>IF(G811&gt;H811, MIN(G811-H811, I811-H811)*
INDEX('2018_commission_structure'!$A$1:$I$4,
MATCH($D811, '2018_commission_structure'!$A$1:$A$4, 0),
MATCH(P$1, '2018_commission_structure'!$A$1:$I$1, 0)), 0)</f>
        <v>0</v>
      </c>
      <c r="R811" s="11">
        <f>IF(G811&gt;K811, (G811-K811) *
INDEX('2018_commission_structure'!$A$1:$I$4,
MATCH($D811, '2018_commission_structure'!$A$1:$A$4,0),
MATCH(R$1, '2018_commission_structure'!$A$1:$I$1,0)), 0)</f>
        <v>0</v>
      </c>
      <c r="S811" s="11">
        <f t="shared" si="77"/>
        <v>0</v>
      </c>
      <c r="T811" s="11" cm="1">
        <f t="array" ref="T811">SUM(E811+O811:Q811)</f>
        <v>221349</v>
      </c>
    </row>
    <row r="812" spans="1:20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 xml:space="preserve"> COUNTIF(deals_closed!D:D,A812)</f>
        <v>25</v>
      </c>
      <c r="G812" s="5">
        <f>SUMIF(deals_closed!D:D, calculations!A812, deals_closed!C:C)</f>
        <v>990045</v>
      </c>
      <c r="H812" s="5">
        <f>VLOOKUP(D812,'2018_commission_structure'!$A$2:$I$4,9,FALSE)</f>
        <v>600000</v>
      </c>
      <c r="I812" s="9">
        <f t="shared" si="72"/>
        <v>750000</v>
      </c>
      <c r="J812" s="8">
        <f t="shared" si="73"/>
        <v>900000</v>
      </c>
      <c r="K812" s="9">
        <f t="shared" si="74"/>
        <v>1200000</v>
      </c>
      <c r="L812" s="10">
        <f t="shared" si="75"/>
        <v>1.650075</v>
      </c>
      <c r="M812" t="str">
        <f t="shared" si="76"/>
        <v>150-200%</v>
      </c>
      <c r="N812" s="9">
        <f>MIN(H812, G812)*INDEX('2018_commission_structure'!$A$1:$I$4,
MATCH($D812, '2018_commission_structure'!$A$1:$A$4,0),
MATCH(N$1, '2018_commission_structure'!$A$1:$I$1,0))</f>
        <v>78000</v>
      </c>
      <c r="O812" s="11">
        <f>IF(G812&gt;H812, MIN(G812-H812, I812-H812)*
INDEX('2018_commission_structure'!$A$1:$I$4,
MATCH($D812, '2018_commission_structure'!$A$1:$A$4, 0),
MATCH(O$1, '2018_commission_structure'!$A$1:$I$1, 0)), 0)</f>
        <v>25500.000000000004</v>
      </c>
      <c r="P812" s="11">
        <f>IF(G812&gt;H812, MIN(G812-H812, J812-H812)*
INDEX('2018_commission_structure'!$A$1:$I$4,
MATCH($D812, '2018_commission_structure'!$A$1:$A$4, 0),
MATCH(O$1, '2018_commission_structure'!$A$1:$I$1, 0)), 0)</f>
        <v>51000.000000000007</v>
      </c>
      <c r="Q812" s="11">
        <f>IF(G812&gt;H812, MIN(G812-H812, I812-H812)*
INDEX('2018_commission_structure'!$A$1:$I$4,
MATCH($D812, '2018_commission_structure'!$A$1:$A$4, 0),
MATCH(P$1, '2018_commission_structure'!$A$1:$I$1, 0)), 0)</f>
        <v>31500</v>
      </c>
      <c r="R812" s="11">
        <f>IF(G812&gt;K812, (G812-K812) *
INDEX('2018_commission_structure'!$A$1:$I$4,
MATCH($D812, '2018_commission_structure'!$A$1:$A$4,0),
MATCH(R$1, '2018_commission_structure'!$A$1:$I$1,0)), 0)</f>
        <v>0</v>
      </c>
      <c r="S812" s="11">
        <f t="shared" si="77"/>
        <v>108000.00000000001</v>
      </c>
      <c r="T812" s="11" cm="1">
        <f t="array" ref="T812">SUM(E812+O812:Q812)</f>
        <v>285759</v>
      </c>
    </row>
    <row r="813" spans="1:20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 xml:space="preserve"> COUNTIF(deals_closed!D:D,A813)</f>
        <v>24</v>
      </c>
      <c r="G813" s="5">
        <f>SUMIF(deals_closed!D:D, calculations!A813, deals_closed!C:C)</f>
        <v>833134</v>
      </c>
      <c r="H813" s="5">
        <f>VLOOKUP(D813,'2018_commission_structure'!$A$2:$I$4,9,FALSE)</f>
        <v>750000</v>
      </c>
      <c r="I813" s="9">
        <f t="shared" si="72"/>
        <v>937500</v>
      </c>
      <c r="J813" s="8">
        <f t="shared" si="73"/>
        <v>1125000</v>
      </c>
      <c r="K813" s="9">
        <f t="shared" si="74"/>
        <v>1500000</v>
      </c>
      <c r="L813" s="10">
        <f t="shared" si="75"/>
        <v>1.1108453333333332</v>
      </c>
      <c r="M813" t="str">
        <f t="shared" si="76"/>
        <v>100-125%</v>
      </c>
      <c r="N813" s="9">
        <f>MIN(H813, G813)*INDEX('2018_commission_structure'!$A$1:$I$4,
MATCH($D813, '2018_commission_structure'!$A$1:$A$4,0),
MATCH(N$1, '2018_commission_structure'!$A$1:$I$1,0))</f>
        <v>112500</v>
      </c>
      <c r="O813" s="11">
        <f>IF(G813&gt;H813, MIN(G813-H813, I813-H813)*
INDEX('2018_commission_structure'!$A$1:$I$4,
MATCH($D813, '2018_commission_structure'!$A$1:$A$4, 0),
MATCH(O$1, '2018_commission_structure'!$A$1:$I$1, 0)), 0)</f>
        <v>15795.460000000001</v>
      </c>
      <c r="P813" s="11">
        <f>IF(G813&gt;H813, MIN(G813-H813, J813-H813)*
INDEX('2018_commission_structure'!$A$1:$I$4,
MATCH($D813, '2018_commission_structure'!$A$1:$A$4, 0),
MATCH(O$1, '2018_commission_structure'!$A$1:$I$1, 0)), 0)</f>
        <v>15795.460000000001</v>
      </c>
      <c r="Q813" s="11">
        <f>IF(G813&gt;H813, MIN(G813-H813, I813-H813)*
INDEX('2018_commission_structure'!$A$1:$I$4,
MATCH($D813, '2018_commission_structure'!$A$1:$A$4, 0),
MATCH(P$1, '2018_commission_structure'!$A$1:$I$1, 0)), 0)</f>
        <v>19120.82</v>
      </c>
      <c r="R813" s="11">
        <f>IF(G813&gt;K813, (G813-K813) *
INDEX('2018_commission_structure'!$A$1:$I$4,
MATCH($D813, '2018_commission_structure'!$A$1:$A$4,0),
MATCH(R$1, '2018_commission_structure'!$A$1:$I$1,0)), 0)</f>
        <v>0</v>
      </c>
      <c r="S813" s="11">
        <f t="shared" si="77"/>
        <v>50711.740000000005</v>
      </c>
      <c r="T813" s="11" cm="1">
        <f t="array" ref="T813">SUM(E813+O813:Q813)</f>
        <v>359006.74</v>
      </c>
    </row>
    <row r="814" spans="1:20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 xml:space="preserve"> COUNTIF(deals_closed!D:D,A814)</f>
        <v>18</v>
      </c>
      <c r="G814" s="5">
        <f>SUMIF(deals_closed!D:D, calculations!A814, deals_closed!C:C)</f>
        <v>659813</v>
      </c>
      <c r="H814" s="5">
        <f>VLOOKUP(D814,'2018_commission_structure'!$A$2:$I$4,9,FALSE)</f>
        <v>600000</v>
      </c>
      <c r="I814" s="9">
        <f t="shared" si="72"/>
        <v>750000</v>
      </c>
      <c r="J814" s="8">
        <f t="shared" si="73"/>
        <v>900000</v>
      </c>
      <c r="K814" s="9">
        <f t="shared" si="74"/>
        <v>1200000</v>
      </c>
      <c r="L814" s="10">
        <f t="shared" si="75"/>
        <v>1.0996883333333334</v>
      </c>
      <c r="M814" t="str">
        <f t="shared" si="76"/>
        <v>100-125%</v>
      </c>
      <c r="N814" s="9">
        <f>MIN(H814, G814)*INDEX('2018_commission_structure'!$A$1:$I$4,
MATCH($D814, '2018_commission_structure'!$A$1:$A$4,0),
MATCH(N$1, '2018_commission_structure'!$A$1:$I$1,0))</f>
        <v>78000</v>
      </c>
      <c r="O814" s="11">
        <f>IF(G814&gt;H814, MIN(G814-H814, I814-H814)*
INDEX('2018_commission_structure'!$A$1:$I$4,
MATCH($D814, '2018_commission_structure'!$A$1:$A$4, 0),
MATCH(O$1, '2018_commission_structure'!$A$1:$I$1, 0)), 0)</f>
        <v>10168.210000000001</v>
      </c>
      <c r="P814" s="11">
        <f>IF(G814&gt;H814, MIN(G814-H814, J814-H814)*
INDEX('2018_commission_structure'!$A$1:$I$4,
MATCH($D814, '2018_commission_structure'!$A$1:$A$4, 0),
MATCH(O$1, '2018_commission_structure'!$A$1:$I$1, 0)), 0)</f>
        <v>10168.210000000001</v>
      </c>
      <c r="Q814" s="11">
        <f>IF(G814&gt;H814, MIN(G814-H814, I814-H814)*
INDEX('2018_commission_structure'!$A$1:$I$4,
MATCH($D814, '2018_commission_structure'!$A$1:$A$4, 0),
MATCH(P$1, '2018_commission_structure'!$A$1:$I$1, 0)), 0)</f>
        <v>12560.73</v>
      </c>
      <c r="R814" s="11">
        <f>IF(G814&gt;K814, (G814-K814) *
INDEX('2018_commission_structure'!$A$1:$I$4,
MATCH($D814, '2018_commission_structure'!$A$1:$A$4,0),
MATCH(R$1, '2018_commission_structure'!$A$1:$I$1,0)), 0)</f>
        <v>0</v>
      </c>
      <c r="S814" s="11">
        <f t="shared" si="77"/>
        <v>32897.15</v>
      </c>
      <c r="T814" s="11" cm="1">
        <f t="array" ref="T814">SUM(E814+O814:Q814)</f>
        <v>220709.15000000002</v>
      </c>
    </row>
    <row r="815" spans="1:20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 xml:space="preserve"> COUNTIF(deals_closed!D:D,A815)</f>
        <v>19</v>
      </c>
      <c r="G815" s="5">
        <f>SUMIF(deals_closed!D:D, calculations!A815, deals_closed!C:C)</f>
        <v>632661</v>
      </c>
      <c r="H815" s="5">
        <f>VLOOKUP(D815,'2018_commission_structure'!$A$2:$I$4,9,FALSE)</f>
        <v>750000</v>
      </c>
      <c r="I815" s="9">
        <f t="shared" si="72"/>
        <v>937500</v>
      </c>
      <c r="J815" s="8">
        <f t="shared" si="73"/>
        <v>1125000</v>
      </c>
      <c r="K815" s="9">
        <f t="shared" si="74"/>
        <v>1500000</v>
      </c>
      <c r="L815" s="10">
        <f t="shared" si="75"/>
        <v>0.84354799999999996</v>
      </c>
      <c r="M815" t="str">
        <f t="shared" si="76"/>
        <v>0-100%</v>
      </c>
      <c r="N815" s="9">
        <f>MIN(H815, G815)*INDEX('2018_commission_structure'!$A$1:$I$4,
MATCH($D815, '2018_commission_structure'!$A$1:$A$4,0),
MATCH(N$1, '2018_commission_structure'!$A$1:$I$1,0))</f>
        <v>94899.15</v>
      </c>
      <c r="O815" s="11">
        <f>IF(G815&gt;H815, MIN(G815-H815, I815-H815)*
INDEX('2018_commission_structure'!$A$1:$I$4,
MATCH($D815, '2018_commission_structure'!$A$1:$A$4, 0),
MATCH(O$1, '2018_commission_structure'!$A$1:$I$1, 0)), 0)</f>
        <v>0</v>
      </c>
      <c r="P815" s="11">
        <f>IF(G815&gt;H815, MIN(G815-H815, J815-H815)*
INDEX('2018_commission_structure'!$A$1:$I$4,
MATCH($D815, '2018_commission_structure'!$A$1:$A$4, 0),
MATCH(O$1, '2018_commission_structure'!$A$1:$I$1, 0)), 0)</f>
        <v>0</v>
      </c>
      <c r="Q815" s="11">
        <f>IF(G815&gt;H815, MIN(G815-H815, I815-H815)*
INDEX('2018_commission_structure'!$A$1:$I$4,
MATCH($D815, '2018_commission_structure'!$A$1:$A$4, 0),
MATCH(P$1, '2018_commission_structure'!$A$1:$I$1, 0)), 0)</f>
        <v>0</v>
      </c>
      <c r="R815" s="11">
        <f>IF(G815&gt;K815, (G815-K815) *
INDEX('2018_commission_structure'!$A$1:$I$4,
MATCH($D815, '2018_commission_structure'!$A$1:$A$4,0),
MATCH(R$1, '2018_commission_structure'!$A$1:$I$1,0)), 0)</f>
        <v>0</v>
      </c>
      <c r="S815" s="11">
        <f t="shared" si="77"/>
        <v>0</v>
      </c>
      <c r="T815" s="11" cm="1">
        <f t="array" ref="T815">SUM(E815+O815:Q815)</f>
        <v>269811</v>
      </c>
    </row>
    <row r="816" spans="1:20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 xml:space="preserve"> COUNTIF(deals_closed!D:D,A816)</f>
        <v>27</v>
      </c>
      <c r="G816" s="5">
        <f>SUMIF(deals_closed!D:D, calculations!A816, deals_closed!C:C)</f>
        <v>924749</v>
      </c>
      <c r="H816" s="5">
        <f>VLOOKUP(D816,'2018_commission_structure'!$A$2:$I$4,9,FALSE)</f>
        <v>600000</v>
      </c>
      <c r="I816" s="9">
        <f t="shared" si="72"/>
        <v>750000</v>
      </c>
      <c r="J816" s="8">
        <f t="shared" si="73"/>
        <v>900000</v>
      </c>
      <c r="K816" s="9">
        <f t="shared" si="74"/>
        <v>1200000</v>
      </c>
      <c r="L816" s="10">
        <f t="shared" si="75"/>
        <v>1.5412483333333333</v>
      </c>
      <c r="M816" t="str">
        <f t="shared" si="76"/>
        <v>150-200%</v>
      </c>
      <c r="N816" s="9">
        <f>MIN(H816, G816)*INDEX('2018_commission_structure'!$A$1:$I$4,
MATCH($D816, '2018_commission_structure'!$A$1:$A$4,0),
MATCH(N$1, '2018_commission_structure'!$A$1:$I$1,0))</f>
        <v>78000</v>
      </c>
      <c r="O816" s="11">
        <f>IF(G816&gt;H816, MIN(G816-H816, I816-H816)*
INDEX('2018_commission_structure'!$A$1:$I$4,
MATCH($D816, '2018_commission_structure'!$A$1:$A$4, 0),
MATCH(O$1, '2018_commission_structure'!$A$1:$I$1, 0)), 0)</f>
        <v>25500.000000000004</v>
      </c>
      <c r="P816" s="11">
        <f>IF(G816&gt;H816, MIN(G816-H816, J816-H816)*
INDEX('2018_commission_structure'!$A$1:$I$4,
MATCH($D816, '2018_commission_structure'!$A$1:$A$4, 0),
MATCH(O$1, '2018_commission_structure'!$A$1:$I$1, 0)), 0)</f>
        <v>51000.000000000007</v>
      </c>
      <c r="Q816" s="11">
        <f>IF(G816&gt;H816, MIN(G816-H816, I816-H816)*
INDEX('2018_commission_structure'!$A$1:$I$4,
MATCH($D816, '2018_commission_structure'!$A$1:$A$4, 0),
MATCH(P$1, '2018_commission_structure'!$A$1:$I$1, 0)), 0)</f>
        <v>31500</v>
      </c>
      <c r="R816" s="11">
        <f>IF(G816&gt;K816, (G816-K816) *
INDEX('2018_commission_structure'!$A$1:$I$4,
MATCH($D816, '2018_commission_structure'!$A$1:$A$4,0),
MATCH(R$1, '2018_commission_structure'!$A$1:$I$1,0)), 0)</f>
        <v>0</v>
      </c>
      <c r="S816" s="11">
        <f t="shared" si="77"/>
        <v>108000.00000000001</v>
      </c>
      <c r="T816" s="11" cm="1">
        <f t="array" ref="T816">SUM(E816+O816:Q816)</f>
        <v>264111</v>
      </c>
    </row>
    <row r="817" spans="1:20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 xml:space="preserve"> COUNTIF(deals_closed!D:D,A817)</f>
        <v>20</v>
      </c>
      <c r="G817" s="5">
        <f>SUMIF(deals_closed!D:D, calculations!A817, deals_closed!C:C)</f>
        <v>596017</v>
      </c>
      <c r="H817" s="5">
        <f>VLOOKUP(D817,'2018_commission_structure'!$A$2:$I$4,9,FALSE)</f>
        <v>500000</v>
      </c>
      <c r="I817" s="9">
        <f t="shared" si="72"/>
        <v>625000</v>
      </c>
      <c r="J817" s="8">
        <f t="shared" si="73"/>
        <v>750000</v>
      </c>
      <c r="K817" s="9">
        <f t="shared" si="74"/>
        <v>1000000</v>
      </c>
      <c r="L817" s="10">
        <f t="shared" si="75"/>
        <v>1.192034</v>
      </c>
      <c r="M817" t="str">
        <f t="shared" si="76"/>
        <v>100-125%</v>
      </c>
      <c r="N817" s="9">
        <f>MIN(H817, G817)*INDEX('2018_commission_structure'!$A$1:$I$4,
MATCH($D817, '2018_commission_structure'!$A$1:$A$4,0),
MATCH(N$1, '2018_commission_structure'!$A$1:$I$1,0))</f>
        <v>50000</v>
      </c>
      <c r="O817" s="11">
        <f>IF(G817&gt;H817, MIN(G817-H817, I817-H817)*
INDEX('2018_commission_structure'!$A$1:$I$4,
MATCH($D817, '2018_commission_structure'!$A$1:$A$4, 0),
MATCH(O$1, '2018_commission_structure'!$A$1:$I$1, 0)), 0)</f>
        <v>14402.55</v>
      </c>
      <c r="P817" s="11">
        <f>IF(G817&gt;H817, MIN(G817-H817, J817-H817)*
INDEX('2018_commission_structure'!$A$1:$I$4,
MATCH($D817, '2018_commission_structure'!$A$1:$A$4, 0),
MATCH(O$1, '2018_commission_structure'!$A$1:$I$1, 0)), 0)</f>
        <v>14402.55</v>
      </c>
      <c r="Q817" s="11">
        <f>IF(G817&gt;H817, MIN(G817-H817, I817-H817)*
INDEX('2018_commission_structure'!$A$1:$I$4,
MATCH($D817, '2018_commission_structure'!$A$1:$A$4, 0),
MATCH(P$1, '2018_commission_structure'!$A$1:$I$1, 0)), 0)</f>
        <v>17283.059999999998</v>
      </c>
      <c r="R817" s="11">
        <f>IF(G817&gt;K817, (G817-K817) *
INDEX('2018_commission_structure'!$A$1:$I$4,
MATCH($D817, '2018_commission_structure'!$A$1:$A$4,0),
MATCH(R$1, '2018_commission_structure'!$A$1:$I$1,0)), 0)</f>
        <v>0</v>
      </c>
      <c r="S817" s="11">
        <f t="shared" si="77"/>
        <v>46088.159999999996</v>
      </c>
      <c r="T817" s="11" cm="1">
        <f t="array" ref="T817">SUM(E817+O817:Q817)</f>
        <v>197699.16</v>
      </c>
    </row>
    <row r="818" spans="1:20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 xml:space="preserve"> COUNTIF(deals_closed!D:D,A818)</f>
        <v>22</v>
      </c>
      <c r="G818" s="5">
        <f>SUMIF(deals_closed!D:D, calculations!A818, deals_closed!C:C)</f>
        <v>817460</v>
      </c>
      <c r="H818" s="5">
        <f>VLOOKUP(D818,'2018_commission_structure'!$A$2:$I$4,9,FALSE)</f>
        <v>750000</v>
      </c>
      <c r="I818" s="9">
        <f t="shared" si="72"/>
        <v>937500</v>
      </c>
      <c r="J818" s="8">
        <f t="shared" si="73"/>
        <v>1125000</v>
      </c>
      <c r="K818" s="9">
        <f t="shared" si="74"/>
        <v>1500000</v>
      </c>
      <c r="L818" s="10">
        <f t="shared" si="75"/>
        <v>1.0899466666666666</v>
      </c>
      <c r="M818" t="str">
        <f t="shared" si="76"/>
        <v>100-125%</v>
      </c>
      <c r="N818" s="9">
        <f>MIN(H818, G818)*INDEX('2018_commission_structure'!$A$1:$I$4,
MATCH($D818, '2018_commission_structure'!$A$1:$A$4,0),
MATCH(N$1, '2018_commission_structure'!$A$1:$I$1,0))</f>
        <v>112500</v>
      </c>
      <c r="O818" s="11">
        <f>IF(G818&gt;H818, MIN(G818-H818, I818-H818)*
INDEX('2018_commission_structure'!$A$1:$I$4,
MATCH($D818, '2018_commission_structure'!$A$1:$A$4, 0),
MATCH(O$1, '2018_commission_structure'!$A$1:$I$1, 0)), 0)</f>
        <v>12817.4</v>
      </c>
      <c r="P818" s="11">
        <f>IF(G818&gt;H818, MIN(G818-H818, J818-H818)*
INDEX('2018_commission_structure'!$A$1:$I$4,
MATCH($D818, '2018_commission_structure'!$A$1:$A$4, 0),
MATCH(O$1, '2018_commission_structure'!$A$1:$I$1, 0)), 0)</f>
        <v>12817.4</v>
      </c>
      <c r="Q818" s="11">
        <f>IF(G818&gt;H818, MIN(G818-H818, I818-H818)*
INDEX('2018_commission_structure'!$A$1:$I$4,
MATCH($D818, '2018_commission_structure'!$A$1:$A$4, 0),
MATCH(P$1, '2018_commission_structure'!$A$1:$I$1, 0)), 0)</f>
        <v>15515.800000000001</v>
      </c>
      <c r="R818" s="11">
        <f>IF(G818&gt;K818, (G818-K818) *
INDEX('2018_commission_structure'!$A$1:$I$4,
MATCH($D818, '2018_commission_structure'!$A$1:$A$4,0),
MATCH(R$1, '2018_commission_structure'!$A$1:$I$1,0)), 0)</f>
        <v>0</v>
      </c>
      <c r="S818" s="11">
        <f t="shared" si="77"/>
        <v>41150.6</v>
      </c>
      <c r="T818" s="11" cm="1">
        <f t="array" ref="T818">SUM(E818+O818:Q818)</f>
        <v>317021.59999999998</v>
      </c>
    </row>
    <row r="819" spans="1:20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 xml:space="preserve"> COUNTIF(deals_closed!D:D,A819)</f>
        <v>23</v>
      </c>
      <c r="G819" s="5">
        <f>SUMIF(deals_closed!D:D, calculations!A819, deals_closed!C:C)</f>
        <v>659507</v>
      </c>
      <c r="H819" s="5">
        <f>VLOOKUP(D819,'2018_commission_structure'!$A$2:$I$4,9,FALSE)</f>
        <v>600000</v>
      </c>
      <c r="I819" s="9">
        <f t="shared" si="72"/>
        <v>750000</v>
      </c>
      <c r="J819" s="8">
        <f t="shared" si="73"/>
        <v>900000</v>
      </c>
      <c r="K819" s="9">
        <f t="shared" si="74"/>
        <v>1200000</v>
      </c>
      <c r="L819" s="10">
        <f t="shared" si="75"/>
        <v>1.0991783333333334</v>
      </c>
      <c r="M819" t="str">
        <f t="shared" si="76"/>
        <v>100-125%</v>
      </c>
      <c r="N819" s="9">
        <f>MIN(H819, G819)*INDEX('2018_commission_structure'!$A$1:$I$4,
MATCH($D819, '2018_commission_structure'!$A$1:$A$4,0),
MATCH(N$1, '2018_commission_structure'!$A$1:$I$1,0))</f>
        <v>78000</v>
      </c>
      <c r="O819" s="11">
        <f>IF(G819&gt;H819, MIN(G819-H819, I819-H819)*
INDEX('2018_commission_structure'!$A$1:$I$4,
MATCH($D819, '2018_commission_structure'!$A$1:$A$4, 0),
MATCH(O$1, '2018_commission_structure'!$A$1:$I$1, 0)), 0)</f>
        <v>10116.19</v>
      </c>
      <c r="P819" s="11">
        <f>IF(G819&gt;H819, MIN(G819-H819, J819-H819)*
INDEX('2018_commission_structure'!$A$1:$I$4,
MATCH($D819, '2018_commission_structure'!$A$1:$A$4, 0),
MATCH(O$1, '2018_commission_structure'!$A$1:$I$1, 0)), 0)</f>
        <v>10116.19</v>
      </c>
      <c r="Q819" s="11">
        <f>IF(G819&gt;H819, MIN(G819-H819, I819-H819)*
INDEX('2018_commission_structure'!$A$1:$I$4,
MATCH($D819, '2018_commission_structure'!$A$1:$A$4, 0),
MATCH(P$1, '2018_commission_structure'!$A$1:$I$1, 0)), 0)</f>
        <v>12496.47</v>
      </c>
      <c r="R819" s="11">
        <f>IF(G819&gt;K819, (G819-K819) *
INDEX('2018_commission_structure'!$A$1:$I$4,
MATCH($D819, '2018_commission_structure'!$A$1:$A$4,0),
MATCH(R$1, '2018_commission_structure'!$A$1:$I$1,0)), 0)</f>
        <v>0</v>
      </c>
      <c r="S819" s="11">
        <f t="shared" si="77"/>
        <v>32728.85</v>
      </c>
      <c r="T819" s="11" cm="1">
        <f t="array" ref="T819">SUM(E819+O819:Q819)</f>
        <v>206071.85</v>
      </c>
    </row>
    <row r="820" spans="1:20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 xml:space="preserve"> COUNTIF(deals_closed!D:D,A820)</f>
        <v>22</v>
      </c>
      <c r="G820" s="5">
        <f>SUMIF(deals_closed!D:D, calculations!A820, deals_closed!C:C)</f>
        <v>779353</v>
      </c>
      <c r="H820" s="5">
        <f>VLOOKUP(D820,'2018_commission_structure'!$A$2:$I$4,9,FALSE)</f>
        <v>750000</v>
      </c>
      <c r="I820" s="9">
        <f t="shared" si="72"/>
        <v>937500</v>
      </c>
      <c r="J820" s="8">
        <f t="shared" si="73"/>
        <v>1125000</v>
      </c>
      <c r="K820" s="9">
        <f t="shared" si="74"/>
        <v>1500000</v>
      </c>
      <c r="L820" s="10">
        <f t="shared" si="75"/>
        <v>1.0391373333333334</v>
      </c>
      <c r="M820" t="str">
        <f t="shared" si="76"/>
        <v>100-125%</v>
      </c>
      <c r="N820" s="9">
        <f>MIN(H820, G820)*INDEX('2018_commission_structure'!$A$1:$I$4,
MATCH($D820, '2018_commission_structure'!$A$1:$A$4,0),
MATCH(N$1, '2018_commission_structure'!$A$1:$I$1,0))</f>
        <v>112500</v>
      </c>
      <c r="O820" s="11">
        <f>IF(G820&gt;H820, MIN(G820-H820, I820-H820)*
INDEX('2018_commission_structure'!$A$1:$I$4,
MATCH($D820, '2018_commission_structure'!$A$1:$A$4, 0),
MATCH(O$1, '2018_commission_structure'!$A$1:$I$1, 0)), 0)</f>
        <v>5577.07</v>
      </c>
      <c r="P820" s="11">
        <f>IF(G820&gt;H820, MIN(G820-H820, J820-H820)*
INDEX('2018_commission_structure'!$A$1:$I$4,
MATCH($D820, '2018_commission_structure'!$A$1:$A$4, 0),
MATCH(O$1, '2018_commission_structure'!$A$1:$I$1, 0)), 0)</f>
        <v>5577.07</v>
      </c>
      <c r="Q820" s="11">
        <f>IF(G820&gt;H820, MIN(G820-H820, I820-H820)*
INDEX('2018_commission_structure'!$A$1:$I$4,
MATCH($D820, '2018_commission_structure'!$A$1:$A$4, 0),
MATCH(P$1, '2018_commission_structure'!$A$1:$I$1, 0)), 0)</f>
        <v>6751.1900000000005</v>
      </c>
      <c r="R820" s="11">
        <f>IF(G820&gt;K820, (G820-K820) *
INDEX('2018_commission_structure'!$A$1:$I$4,
MATCH($D820, '2018_commission_structure'!$A$1:$A$4,0),
MATCH(R$1, '2018_commission_structure'!$A$1:$I$1,0)), 0)</f>
        <v>0</v>
      </c>
      <c r="S820" s="11">
        <f t="shared" si="77"/>
        <v>17905.330000000002</v>
      </c>
      <c r="T820" s="11" cm="1">
        <f t="array" ref="T820">SUM(E820+O820:Q820)</f>
        <v>293197.33</v>
      </c>
    </row>
    <row r="821" spans="1:20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 xml:space="preserve"> COUNTIF(deals_closed!D:D,A821)</f>
        <v>21</v>
      </c>
      <c r="G821" s="5">
        <f>SUMIF(deals_closed!D:D, calculations!A821, deals_closed!C:C)</f>
        <v>827946</v>
      </c>
      <c r="H821" s="5">
        <f>VLOOKUP(D821,'2018_commission_structure'!$A$2:$I$4,9,FALSE)</f>
        <v>750000</v>
      </c>
      <c r="I821" s="9">
        <f t="shared" si="72"/>
        <v>937500</v>
      </c>
      <c r="J821" s="8">
        <f t="shared" si="73"/>
        <v>1125000</v>
      </c>
      <c r="K821" s="9">
        <f t="shared" si="74"/>
        <v>1500000</v>
      </c>
      <c r="L821" s="10">
        <f t="shared" si="75"/>
        <v>1.103928</v>
      </c>
      <c r="M821" t="str">
        <f t="shared" si="76"/>
        <v>100-125%</v>
      </c>
      <c r="N821" s="9">
        <f>MIN(H821, G821)*INDEX('2018_commission_structure'!$A$1:$I$4,
MATCH($D821, '2018_commission_structure'!$A$1:$A$4,0),
MATCH(N$1, '2018_commission_structure'!$A$1:$I$1,0))</f>
        <v>112500</v>
      </c>
      <c r="O821" s="11">
        <f>IF(G821&gt;H821, MIN(G821-H821, I821-H821)*
INDEX('2018_commission_structure'!$A$1:$I$4,
MATCH($D821, '2018_commission_structure'!$A$1:$A$4, 0),
MATCH(O$1, '2018_commission_structure'!$A$1:$I$1, 0)), 0)</f>
        <v>14809.74</v>
      </c>
      <c r="P821" s="11">
        <f>IF(G821&gt;H821, MIN(G821-H821, J821-H821)*
INDEX('2018_commission_structure'!$A$1:$I$4,
MATCH($D821, '2018_commission_structure'!$A$1:$A$4, 0),
MATCH(O$1, '2018_commission_structure'!$A$1:$I$1, 0)), 0)</f>
        <v>14809.74</v>
      </c>
      <c r="Q821" s="11">
        <f>IF(G821&gt;H821, MIN(G821-H821, I821-H821)*
INDEX('2018_commission_structure'!$A$1:$I$4,
MATCH($D821, '2018_commission_structure'!$A$1:$A$4, 0),
MATCH(P$1, '2018_commission_structure'!$A$1:$I$1, 0)), 0)</f>
        <v>17927.580000000002</v>
      </c>
      <c r="R821" s="11">
        <f>IF(G821&gt;K821, (G821-K821) *
INDEX('2018_commission_structure'!$A$1:$I$4,
MATCH($D821, '2018_commission_structure'!$A$1:$A$4,0),
MATCH(R$1, '2018_commission_structure'!$A$1:$I$1,0)), 0)</f>
        <v>0</v>
      </c>
      <c r="S821" s="11">
        <f t="shared" si="77"/>
        <v>47547.06</v>
      </c>
      <c r="T821" s="11" cm="1">
        <f t="array" ref="T821">SUM(E821+O821:Q821)</f>
        <v>396486.06</v>
      </c>
    </row>
    <row r="822" spans="1:20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 xml:space="preserve"> COUNTIF(deals_closed!D:D,A822)</f>
        <v>17</v>
      </c>
      <c r="G822" s="5">
        <f>SUMIF(deals_closed!D:D, calculations!A822, deals_closed!C:C)</f>
        <v>614133</v>
      </c>
      <c r="H822" s="5">
        <f>VLOOKUP(D822,'2018_commission_structure'!$A$2:$I$4,9,FALSE)</f>
        <v>600000</v>
      </c>
      <c r="I822" s="9">
        <f t="shared" si="72"/>
        <v>750000</v>
      </c>
      <c r="J822" s="8">
        <f t="shared" si="73"/>
        <v>900000</v>
      </c>
      <c r="K822" s="9">
        <f t="shared" si="74"/>
        <v>1200000</v>
      </c>
      <c r="L822" s="10">
        <f t="shared" si="75"/>
        <v>1.023555</v>
      </c>
      <c r="M822" t="str">
        <f t="shared" si="76"/>
        <v>100-125%</v>
      </c>
      <c r="N822" s="9">
        <f>MIN(H822, G822)*INDEX('2018_commission_structure'!$A$1:$I$4,
MATCH($D822, '2018_commission_structure'!$A$1:$A$4,0),
MATCH(N$1, '2018_commission_structure'!$A$1:$I$1,0))</f>
        <v>78000</v>
      </c>
      <c r="O822" s="11">
        <f>IF(G822&gt;H822, MIN(G822-H822, I822-H822)*
INDEX('2018_commission_structure'!$A$1:$I$4,
MATCH($D822, '2018_commission_structure'!$A$1:$A$4, 0),
MATCH(O$1, '2018_commission_structure'!$A$1:$I$1, 0)), 0)</f>
        <v>2402.61</v>
      </c>
      <c r="P822" s="11">
        <f>IF(G822&gt;H822, MIN(G822-H822, J822-H822)*
INDEX('2018_commission_structure'!$A$1:$I$4,
MATCH($D822, '2018_commission_structure'!$A$1:$A$4, 0),
MATCH(O$1, '2018_commission_structure'!$A$1:$I$1, 0)), 0)</f>
        <v>2402.61</v>
      </c>
      <c r="Q822" s="11">
        <f>IF(G822&gt;H822, MIN(G822-H822, I822-H822)*
INDEX('2018_commission_structure'!$A$1:$I$4,
MATCH($D822, '2018_commission_structure'!$A$1:$A$4, 0),
MATCH(P$1, '2018_commission_structure'!$A$1:$I$1, 0)), 0)</f>
        <v>2967.93</v>
      </c>
      <c r="R822" s="11">
        <f>IF(G822&gt;K822, (G822-K822) *
INDEX('2018_commission_structure'!$A$1:$I$4,
MATCH($D822, '2018_commission_structure'!$A$1:$A$4,0),
MATCH(R$1, '2018_commission_structure'!$A$1:$I$1,0)), 0)</f>
        <v>0</v>
      </c>
      <c r="S822" s="11">
        <f t="shared" si="77"/>
        <v>7773.15</v>
      </c>
      <c r="T822" s="11" cm="1">
        <f t="array" ref="T822">SUM(E822+O822:Q822)</f>
        <v>237915.15</v>
      </c>
    </row>
    <row r="823" spans="1:20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 xml:space="preserve"> COUNTIF(deals_closed!D:D,A823)</f>
        <v>17</v>
      </c>
      <c r="G823" s="5">
        <f>SUMIF(deals_closed!D:D, calculations!A823, deals_closed!C:C)</f>
        <v>528881</v>
      </c>
      <c r="H823" s="5">
        <f>VLOOKUP(D823,'2018_commission_structure'!$A$2:$I$4,9,FALSE)</f>
        <v>600000</v>
      </c>
      <c r="I823" s="9">
        <f t="shared" si="72"/>
        <v>750000</v>
      </c>
      <c r="J823" s="8">
        <f t="shared" si="73"/>
        <v>900000</v>
      </c>
      <c r="K823" s="9">
        <f t="shared" si="74"/>
        <v>1200000</v>
      </c>
      <c r="L823" s="10">
        <f t="shared" si="75"/>
        <v>0.8814683333333333</v>
      </c>
      <c r="M823" t="str">
        <f t="shared" si="76"/>
        <v>0-100%</v>
      </c>
      <c r="N823" s="9">
        <f>MIN(H823, G823)*INDEX('2018_commission_structure'!$A$1:$I$4,
MATCH($D823, '2018_commission_structure'!$A$1:$A$4,0),
MATCH(N$1, '2018_commission_structure'!$A$1:$I$1,0))</f>
        <v>68754.53</v>
      </c>
      <c r="O823" s="11">
        <f>IF(G823&gt;H823, MIN(G823-H823, I823-H823)*
INDEX('2018_commission_structure'!$A$1:$I$4,
MATCH($D823, '2018_commission_structure'!$A$1:$A$4, 0),
MATCH(O$1, '2018_commission_structure'!$A$1:$I$1, 0)), 0)</f>
        <v>0</v>
      </c>
      <c r="P823" s="11">
        <f>IF(G823&gt;H823, MIN(G823-H823, J823-H823)*
INDEX('2018_commission_structure'!$A$1:$I$4,
MATCH($D823, '2018_commission_structure'!$A$1:$A$4, 0),
MATCH(O$1, '2018_commission_structure'!$A$1:$I$1, 0)), 0)</f>
        <v>0</v>
      </c>
      <c r="Q823" s="11">
        <f>IF(G823&gt;H823, MIN(G823-H823, I823-H823)*
INDEX('2018_commission_structure'!$A$1:$I$4,
MATCH($D823, '2018_commission_structure'!$A$1:$A$4, 0),
MATCH(P$1, '2018_commission_structure'!$A$1:$I$1, 0)), 0)</f>
        <v>0</v>
      </c>
      <c r="R823" s="11">
        <f>IF(G823&gt;K823, (G823-K823) *
INDEX('2018_commission_structure'!$A$1:$I$4,
MATCH($D823, '2018_commission_structure'!$A$1:$A$4,0),
MATCH(R$1, '2018_commission_structure'!$A$1:$I$1,0)), 0)</f>
        <v>0</v>
      </c>
      <c r="S823" s="11">
        <f t="shared" si="77"/>
        <v>0</v>
      </c>
      <c r="T823" s="11" cm="1">
        <f t="array" ref="T823">SUM(E823+O823:Q823)</f>
        <v>219018</v>
      </c>
    </row>
    <row r="824" spans="1:20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 xml:space="preserve"> COUNTIF(deals_closed!D:D,A824)</f>
        <v>14</v>
      </c>
      <c r="G824" s="5">
        <f>SUMIF(deals_closed!D:D, calculations!A824, deals_closed!C:C)</f>
        <v>413843</v>
      </c>
      <c r="H824" s="5">
        <f>VLOOKUP(D824,'2018_commission_structure'!$A$2:$I$4,9,FALSE)</f>
        <v>500000</v>
      </c>
      <c r="I824" s="9">
        <f t="shared" si="72"/>
        <v>625000</v>
      </c>
      <c r="J824" s="8">
        <f t="shared" si="73"/>
        <v>750000</v>
      </c>
      <c r="K824" s="9">
        <f t="shared" si="74"/>
        <v>1000000</v>
      </c>
      <c r="L824" s="10">
        <f t="shared" si="75"/>
        <v>0.82768600000000003</v>
      </c>
      <c r="M824" t="str">
        <f t="shared" si="76"/>
        <v>0-100%</v>
      </c>
      <c r="N824" s="9">
        <f>MIN(H824, G824)*INDEX('2018_commission_structure'!$A$1:$I$4,
MATCH($D824, '2018_commission_structure'!$A$1:$A$4,0),
MATCH(N$1, '2018_commission_structure'!$A$1:$I$1,0))</f>
        <v>41384.300000000003</v>
      </c>
      <c r="O824" s="11">
        <f>IF(G824&gt;H824, MIN(G824-H824, I824-H824)*
INDEX('2018_commission_structure'!$A$1:$I$4,
MATCH($D824, '2018_commission_structure'!$A$1:$A$4, 0),
MATCH(O$1, '2018_commission_structure'!$A$1:$I$1, 0)), 0)</f>
        <v>0</v>
      </c>
      <c r="P824" s="11">
        <f>IF(G824&gt;H824, MIN(G824-H824, J824-H824)*
INDEX('2018_commission_structure'!$A$1:$I$4,
MATCH($D824, '2018_commission_structure'!$A$1:$A$4, 0),
MATCH(O$1, '2018_commission_structure'!$A$1:$I$1, 0)), 0)</f>
        <v>0</v>
      </c>
      <c r="Q824" s="11">
        <f>IF(G824&gt;H824, MIN(G824-H824, I824-H824)*
INDEX('2018_commission_structure'!$A$1:$I$4,
MATCH($D824, '2018_commission_structure'!$A$1:$A$4, 0),
MATCH(P$1, '2018_commission_structure'!$A$1:$I$1, 0)), 0)</f>
        <v>0</v>
      </c>
      <c r="R824" s="11">
        <f>IF(G824&gt;K824, (G824-K824) *
INDEX('2018_commission_structure'!$A$1:$I$4,
MATCH($D824, '2018_commission_structure'!$A$1:$A$4,0),
MATCH(R$1, '2018_commission_structure'!$A$1:$I$1,0)), 0)</f>
        <v>0</v>
      </c>
      <c r="S824" s="11">
        <f t="shared" si="77"/>
        <v>0</v>
      </c>
      <c r="T824" s="11" cm="1">
        <f t="array" ref="T824">SUM(E824+O824:Q824)</f>
        <v>184389</v>
      </c>
    </row>
    <row r="825" spans="1:20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 xml:space="preserve"> COUNTIF(deals_closed!D:D,A825)</f>
        <v>19</v>
      </c>
      <c r="G825" s="5">
        <f>SUMIF(deals_closed!D:D, calculations!A825, deals_closed!C:C)</f>
        <v>662484</v>
      </c>
      <c r="H825" s="5">
        <f>VLOOKUP(D825,'2018_commission_structure'!$A$2:$I$4,9,FALSE)</f>
        <v>600000</v>
      </c>
      <c r="I825" s="9">
        <f t="shared" si="72"/>
        <v>750000</v>
      </c>
      <c r="J825" s="8">
        <f t="shared" si="73"/>
        <v>900000</v>
      </c>
      <c r="K825" s="9">
        <f t="shared" si="74"/>
        <v>1200000</v>
      </c>
      <c r="L825" s="10">
        <f t="shared" si="75"/>
        <v>1.1041399999999999</v>
      </c>
      <c r="M825" t="str">
        <f t="shared" si="76"/>
        <v>100-125%</v>
      </c>
      <c r="N825" s="9">
        <f>MIN(H825, G825)*INDEX('2018_commission_structure'!$A$1:$I$4,
MATCH($D825, '2018_commission_structure'!$A$1:$A$4,0),
MATCH(N$1, '2018_commission_structure'!$A$1:$I$1,0))</f>
        <v>78000</v>
      </c>
      <c r="O825" s="11">
        <f>IF(G825&gt;H825, MIN(G825-H825, I825-H825)*
INDEX('2018_commission_structure'!$A$1:$I$4,
MATCH($D825, '2018_commission_structure'!$A$1:$A$4, 0),
MATCH(O$1, '2018_commission_structure'!$A$1:$I$1, 0)), 0)</f>
        <v>10622.28</v>
      </c>
      <c r="P825" s="11">
        <f>IF(G825&gt;H825, MIN(G825-H825, J825-H825)*
INDEX('2018_commission_structure'!$A$1:$I$4,
MATCH($D825, '2018_commission_structure'!$A$1:$A$4, 0),
MATCH(O$1, '2018_commission_structure'!$A$1:$I$1, 0)), 0)</f>
        <v>10622.28</v>
      </c>
      <c r="Q825" s="11">
        <f>IF(G825&gt;H825, MIN(G825-H825, I825-H825)*
INDEX('2018_commission_structure'!$A$1:$I$4,
MATCH($D825, '2018_commission_structure'!$A$1:$A$4, 0),
MATCH(P$1, '2018_commission_structure'!$A$1:$I$1, 0)), 0)</f>
        <v>13121.64</v>
      </c>
      <c r="R825" s="11">
        <f>IF(G825&gt;K825, (G825-K825) *
INDEX('2018_commission_structure'!$A$1:$I$4,
MATCH($D825, '2018_commission_structure'!$A$1:$A$4,0),
MATCH(R$1, '2018_commission_structure'!$A$1:$I$1,0)), 0)</f>
        <v>0</v>
      </c>
      <c r="S825" s="11">
        <f t="shared" si="77"/>
        <v>34366.199999999997</v>
      </c>
      <c r="T825" s="11" cm="1">
        <f t="array" ref="T825">SUM(E825+O825:Q825)</f>
        <v>235816.2</v>
      </c>
    </row>
    <row r="826" spans="1:20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 xml:space="preserve"> COUNTIF(deals_closed!D:D,A826)</f>
        <v>20</v>
      </c>
      <c r="G826" s="5">
        <f>SUMIF(deals_closed!D:D, calculations!A826, deals_closed!C:C)</f>
        <v>740914</v>
      </c>
      <c r="H826" s="5">
        <f>VLOOKUP(D826,'2018_commission_structure'!$A$2:$I$4,9,FALSE)</f>
        <v>600000</v>
      </c>
      <c r="I826" s="9">
        <f t="shared" si="72"/>
        <v>750000</v>
      </c>
      <c r="J826" s="8">
        <f t="shared" si="73"/>
        <v>900000</v>
      </c>
      <c r="K826" s="9">
        <f t="shared" si="74"/>
        <v>1200000</v>
      </c>
      <c r="L826" s="10">
        <f t="shared" si="75"/>
        <v>1.2348566666666667</v>
      </c>
      <c r="M826" t="str">
        <f t="shared" si="76"/>
        <v>100-125%</v>
      </c>
      <c r="N826" s="9">
        <f>MIN(H826, G826)*INDEX('2018_commission_structure'!$A$1:$I$4,
MATCH($D826, '2018_commission_structure'!$A$1:$A$4,0),
MATCH(N$1, '2018_commission_structure'!$A$1:$I$1,0))</f>
        <v>78000</v>
      </c>
      <c r="O826" s="11">
        <f>IF(G826&gt;H826, MIN(G826-H826, I826-H826)*
INDEX('2018_commission_structure'!$A$1:$I$4,
MATCH($D826, '2018_commission_structure'!$A$1:$A$4, 0),
MATCH(O$1, '2018_commission_structure'!$A$1:$I$1, 0)), 0)</f>
        <v>23955.38</v>
      </c>
      <c r="P826" s="11">
        <f>IF(G826&gt;H826, MIN(G826-H826, J826-H826)*
INDEX('2018_commission_structure'!$A$1:$I$4,
MATCH($D826, '2018_commission_structure'!$A$1:$A$4, 0),
MATCH(O$1, '2018_commission_structure'!$A$1:$I$1, 0)), 0)</f>
        <v>23955.38</v>
      </c>
      <c r="Q826" s="11">
        <f>IF(G826&gt;H826, MIN(G826-H826, I826-H826)*
INDEX('2018_commission_structure'!$A$1:$I$4,
MATCH($D826, '2018_commission_structure'!$A$1:$A$4, 0),
MATCH(P$1, '2018_commission_structure'!$A$1:$I$1, 0)), 0)</f>
        <v>29591.94</v>
      </c>
      <c r="R826" s="11">
        <f>IF(G826&gt;K826, (G826-K826) *
INDEX('2018_commission_structure'!$A$1:$I$4,
MATCH($D826, '2018_commission_structure'!$A$1:$A$4,0),
MATCH(R$1, '2018_commission_structure'!$A$1:$I$1,0)), 0)</f>
        <v>0</v>
      </c>
      <c r="S826" s="11">
        <f t="shared" si="77"/>
        <v>77502.7</v>
      </c>
      <c r="T826" s="11" cm="1">
        <f t="array" ref="T826">SUM(E826+O826:Q826)</f>
        <v>232098.7</v>
      </c>
    </row>
    <row r="827" spans="1:20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 xml:space="preserve"> COUNTIF(deals_closed!D:D,A827)</f>
        <v>10</v>
      </c>
      <c r="G827" s="5">
        <f>SUMIF(deals_closed!D:D, calculations!A827, deals_closed!C:C)</f>
        <v>351514</v>
      </c>
      <c r="H827" s="5">
        <f>VLOOKUP(D827,'2018_commission_structure'!$A$2:$I$4,9,FALSE)</f>
        <v>750000</v>
      </c>
      <c r="I827" s="9">
        <f t="shared" si="72"/>
        <v>937500</v>
      </c>
      <c r="J827" s="8">
        <f t="shared" si="73"/>
        <v>1125000</v>
      </c>
      <c r="K827" s="9">
        <f t="shared" si="74"/>
        <v>1500000</v>
      </c>
      <c r="L827" s="10">
        <f t="shared" si="75"/>
        <v>0.46868533333333334</v>
      </c>
      <c r="M827" t="str">
        <f t="shared" si="76"/>
        <v>0-100%</v>
      </c>
      <c r="N827" s="9">
        <f>MIN(H827, G827)*INDEX('2018_commission_structure'!$A$1:$I$4,
MATCH($D827, '2018_commission_structure'!$A$1:$A$4,0),
MATCH(N$1, '2018_commission_structure'!$A$1:$I$1,0))</f>
        <v>52727.1</v>
      </c>
      <c r="O827" s="11">
        <f>IF(G827&gt;H827, MIN(G827-H827, I827-H827)*
INDEX('2018_commission_structure'!$A$1:$I$4,
MATCH($D827, '2018_commission_structure'!$A$1:$A$4, 0),
MATCH(O$1, '2018_commission_structure'!$A$1:$I$1, 0)), 0)</f>
        <v>0</v>
      </c>
      <c r="P827" s="11">
        <f>IF(G827&gt;H827, MIN(G827-H827, J827-H827)*
INDEX('2018_commission_structure'!$A$1:$I$4,
MATCH($D827, '2018_commission_structure'!$A$1:$A$4, 0),
MATCH(O$1, '2018_commission_structure'!$A$1:$I$1, 0)), 0)</f>
        <v>0</v>
      </c>
      <c r="Q827" s="11">
        <f>IF(G827&gt;H827, MIN(G827-H827, I827-H827)*
INDEX('2018_commission_structure'!$A$1:$I$4,
MATCH($D827, '2018_commission_structure'!$A$1:$A$4, 0),
MATCH(P$1, '2018_commission_structure'!$A$1:$I$1, 0)), 0)</f>
        <v>0</v>
      </c>
      <c r="R827" s="11">
        <f>IF(G827&gt;K827, (G827-K827) *
INDEX('2018_commission_structure'!$A$1:$I$4,
MATCH($D827, '2018_commission_structure'!$A$1:$A$4,0),
MATCH(R$1, '2018_commission_structure'!$A$1:$I$1,0)), 0)</f>
        <v>0</v>
      </c>
      <c r="S827" s="11">
        <f t="shared" si="77"/>
        <v>0</v>
      </c>
      <c r="T827" s="11" cm="1">
        <f t="array" ref="T827">SUM(E827+O827:Q827)</f>
        <v>235179</v>
      </c>
    </row>
    <row r="828" spans="1:20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 xml:space="preserve"> COUNTIF(deals_closed!D:D,A828)</f>
        <v>29</v>
      </c>
      <c r="G828" s="5">
        <f>SUMIF(deals_closed!D:D, calculations!A828, deals_closed!C:C)</f>
        <v>976706</v>
      </c>
      <c r="H828" s="5">
        <f>VLOOKUP(D828,'2018_commission_structure'!$A$2:$I$4,9,FALSE)</f>
        <v>600000</v>
      </c>
      <c r="I828" s="9">
        <f t="shared" si="72"/>
        <v>750000</v>
      </c>
      <c r="J828" s="8">
        <f t="shared" si="73"/>
        <v>900000</v>
      </c>
      <c r="K828" s="9">
        <f t="shared" si="74"/>
        <v>1200000</v>
      </c>
      <c r="L828" s="10">
        <f t="shared" si="75"/>
        <v>1.6278433333333333</v>
      </c>
      <c r="M828" t="str">
        <f t="shared" si="76"/>
        <v>150-200%</v>
      </c>
      <c r="N828" s="9">
        <f>MIN(H828, G828)*INDEX('2018_commission_structure'!$A$1:$I$4,
MATCH($D828, '2018_commission_structure'!$A$1:$A$4,0),
MATCH(N$1, '2018_commission_structure'!$A$1:$I$1,0))</f>
        <v>78000</v>
      </c>
      <c r="O828" s="11">
        <f>IF(G828&gt;H828, MIN(G828-H828, I828-H828)*
INDEX('2018_commission_structure'!$A$1:$I$4,
MATCH($D828, '2018_commission_structure'!$A$1:$A$4, 0),
MATCH(O$1, '2018_commission_structure'!$A$1:$I$1, 0)), 0)</f>
        <v>25500.000000000004</v>
      </c>
      <c r="P828" s="11">
        <f>IF(G828&gt;H828, MIN(G828-H828, J828-H828)*
INDEX('2018_commission_structure'!$A$1:$I$4,
MATCH($D828, '2018_commission_structure'!$A$1:$A$4, 0),
MATCH(O$1, '2018_commission_structure'!$A$1:$I$1, 0)), 0)</f>
        <v>51000.000000000007</v>
      </c>
      <c r="Q828" s="11">
        <f>IF(G828&gt;H828, MIN(G828-H828, I828-H828)*
INDEX('2018_commission_structure'!$A$1:$I$4,
MATCH($D828, '2018_commission_structure'!$A$1:$A$4, 0),
MATCH(P$1, '2018_commission_structure'!$A$1:$I$1, 0)), 0)</f>
        <v>31500</v>
      </c>
      <c r="R828" s="11">
        <f>IF(G828&gt;K828, (G828-K828) *
INDEX('2018_commission_structure'!$A$1:$I$4,
MATCH($D828, '2018_commission_structure'!$A$1:$A$4,0),
MATCH(R$1, '2018_commission_structure'!$A$1:$I$1,0)), 0)</f>
        <v>0</v>
      </c>
      <c r="S828" s="11">
        <f t="shared" si="77"/>
        <v>108000.00000000001</v>
      </c>
      <c r="T828" s="11" cm="1">
        <f t="array" ref="T828">SUM(E828+O828:Q828)</f>
        <v>282696</v>
      </c>
    </row>
    <row r="829" spans="1:20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 xml:space="preserve"> COUNTIF(deals_closed!D:D,A829)</f>
        <v>20</v>
      </c>
      <c r="G829" s="5">
        <f>SUMIF(deals_closed!D:D, calculations!A829, deals_closed!C:C)</f>
        <v>787996</v>
      </c>
      <c r="H829" s="5">
        <f>VLOOKUP(D829,'2018_commission_structure'!$A$2:$I$4,9,FALSE)</f>
        <v>750000</v>
      </c>
      <c r="I829" s="9">
        <f t="shared" si="72"/>
        <v>937500</v>
      </c>
      <c r="J829" s="8">
        <f t="shared" si="73"/>
        <v>1125000</v>
      </c>
      <c r="K829" s="9">
        <f t="shared" si="74"/>
        <v>1500000</v>
      </c>
      <c r="L829" s="10">
        <f t="shared" si="75"/>
        <v>1.0506613333333332</v>
      </c>
      <c r="M829" t="str">
        <f t="shared" si="76"/>
        <v>100-125%</v>
      </c>
      <c r="N829" s="9">
        <f>MIN(H829, G829)*INDEX('2018_commission_structure'!$A$1:$I$4,
MATCH($D829, '2018_commission_structure'!$A$1:$A$4,0),
MATCH(N$1, '2018_commission_structure'!$A$1:$I$1,0))</f>
        <v>112500</v>
      </c>
      <c r="O829" s="11">
        <f>IF(G829&gt;H829, MIN(G829-H829, I829-H829)*
INDEX('2018_commission_structure'!$A$1:$I$4,
MATCH($D829, '2018_commission_structure'!$A$1:$A$4, 0),
MATCH(O$1, '2018_commission_structure'!$A$1:$I$1, 0)), 0)</f>
        <v>7219.24</v>
      </c>
      <c r="P829" s="11">
        <f>IF(G829&gt;H829, MIN(G829-H829, J829-H829)*
INDEX('2018_commission_structure'!$A$1:$I$4,
MATCH($D829, '2018_commission_structure'!$A$1:$A$4, 0),
MATCH(O$1, '2018_commission_structure'!$A$1:$I$1, 0)), 0)</f>
        <v>7219.24</v>
      </c>
      <c r="Q829" s="11">
        <f>IF(G829&gt;H829, MIN(G829-H829, I829-H829)*
INDEX('2018_commission_structure'!$A$1:$I$4,
MATCH($D829, '2018_commission_structure'!$A$1:$A$4, 0),
MATCH(P$1, '2018_commission_structure'!$A$1:$I$1, 0)), 0)</f>
        <v>8739.08</v>
      </c>
      <c r="R829" s="11">
        <f>IF(G829&gt;K829, (G829-K829) *
INDEX('2018_commission_structure'!$A$1:$I$4,
MATCH($D829, '2018_commission_structure'!$A$1:$A$4,0),
MATCH(R$1, '2018_commission_structure'!$A$1:$I$1,0)), 0)</f>
        <v>0</v>
      </c>
      <c r="S829" s="11">
        <f t="shared" si="77"/>
        <v>23177.559999999998</v>
      </c>
      <c r="T829" s="11" cm="1">
        <f t="array" ref="T829">SUM(E829+O829:Q829)</f>
        <v>377186.56</v>
      </c>
    </row>
    <row r="830" spans="1:20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 xml:space="preserve"> COUNTIF(deals_closed!D:D,A830)</f>
        <v>22</v>
      </c>
      <c r="G830" s="5">
        <f>SUMIF(deals_closed!D:D, calculations!A830, deals_closed!C:C)</f>
        <v>799312</v>
      </c>
      <c r="H830" s="5">
        <f>VLOOKUP(D830,'2018_commission_structure'!$A$2:$I$4,9,FALSE)</f>
        <v>600000</v>
      </c>
      <c r="I830" s="9">
        <f t="shared" si="72"/>
        <v>750000</v>
      </c>
      <c r="J830" s="8">
        <f t="shared" si="73"/>
        <v>900000</v>
      </c>
      <c r="K830" s="9">
        <f t="shared" si="74"/>
        <v>1200000</v>
      </c>
      <c r="L830" s="10">
        <f t="shared" si="75"/>
        <v>1.3321866666666666</v>
      </c>
      <c r="M830" t="str">
        <f t="shared" si="76"/>
        <v>125-150%</v>
      </c>
      <c r="N830" s="9">
        <f>MIN(H830, G830)*INDEX('2018_commission_structure'!$A$1:$I$4,
MATCH($D830, '2018_commission_structure'!$A$1:$A$4,0),
MATCH(N$1, '2018_commission_structure'!$A$1:$I$1,0))</f>
        <v>78000</v>
      </c>
      <c r="O830" s="11">
        <f>IF(G830&gt;H830, MIN(G830-H830, I830-H830)*
INDEX('2018_commission_structure'!$A$1:$I$4,
MATCH($D830, '2018_commission_structure'!$A$1:$A$4, 0),
MATCH(O$1, '2018_commission_structure'!$A$1:$I$1, 0)), 0)</f>
        <v>25500.000000000004</v>
      </c>
      <c r="P830" s="11">
        <f>IF(G830&gt;H830, MIN(G830-H830, J830-H830)*
INDEX('2018_commission_structure'!$A$1:$I$4,
MATCH($D830, '2018_commission_structure'!$A$1:$A$4, 0),
MATCH(O$1, '2018_commission_structure'!$A$1:$I$1, 0)), 0)</f>
        <v>33883.040000000001</v>
      </c>
      <c r="Q830" s="11">
        <f>IF(G830&gt;H830, MIN(G830-H830, I830-H830)*
INDEX('2018_commission_structure'!$A$1:$I$4,
MATCH($D830, '2018_commission_structure'!$A$1:$A$4, 0),
MATCH(P$1, '2018_commission_structure'!$A$1:$I$1, 0)), 0)</f>
        <v>31500</v>
      </c>
      <c r="R830" s="11">
        <f>IF(G830&gt;K830, (G830-K830) *
INDEX('2018_commission_structure'!$A$1:$I$4,
MATCH($D830, '2018_commission_structure'!$A$1:$A$4,0),
MATCH(R$1, '2018_commission_structure'!$A$1:$I$1,0)), 0)</f>
        <v>0</v>
      </c>
      <c r="S830" s="11">
        <f t="shared" si="77"/>
        <v>90883.040000000008</v>
      </c>
      <c r="T830" s="11" cm="1">
        <f t="array" ref="T830">SUM(E830+O830:Q830)</f>
        <v>271582.04000000004</v>
      </c>
    </row>
    <row r="831" spans="1:20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 xml:space="preserve"> COUNTIF(deals_closed!D:D,A831)</f>
        <v>17</v>
      </c>
      <c r="G831" s="5">
        <f>SUMIF(deals_closed!D:D, calculations!A831, deals_closed!C:C)</f>
        <v>601920</v>
      </c>
      <c r="H831" s="5">
        <f>VLOOKUP(D831,'2018_commission_structure'!$A$2:$I$4,9,FALSE)</f>
        <v>500000</v>
      </c>
      <c r="I831" s="9">
        <f t="shared" si="72"/>
        <v>625000</v>
      </c>
      <c r="J831" s="8">
        <f t="shared" si="73"/>
        <v>750000</v>
      </c>
      <c r="K831" s="9">
        <f t="shared" si="74"/>
        <v>1000000</v>
      </c>
      <c r="L831" s="10">
        <f t="shared" si="75"/>
        <v>1.20384</v>
      </c>
      <c r="M831" t="str">
        <f t="shared" si="76"/>
        <v>100-125%</v>
      </c>
      <c r="N831" s="9">
        <f>MIN(H831, G831)*INDEX('2018_commission_structure'!$A$1:$I$4,
MATCH($D831, '2018_commission_structure'!$A$1:$A$4,0),
MATCH(N$1, '2018_commission_structure'!$A$1:$I$1,0))</f>
        <v>50000</v>
      </c>
      <c r="O831" s="11">
        <f>IF(G831&gt;H831, MIN(G831-H831, I831-H831)*
INDEX('2018_commission_structure'!$A$1:$I$4,
MATCH($D831, '2018_commission_structure'!$A$1:$A$4, 0),
MATCH(O$1, '2018_commission_structure'!$A$1:$I$1, 0)), 0)</f>
        <v>15288</v>
      </c>
      <c r="P831" s="11">
        <f>IF(G831&gt;H831, MIN(G831-H831, J831-H831)*
INDEX('2018_commission_structure'!$A$1:$I$4,
MATCH($D831, '2018_commission_structure'!$A$1:$A$4, 0),
MATCH(O$1, '2018_commission_structure'!$A$1:$I$1, 0)), 0)</f>
        <v>15288</v>
      </c>
      <c r="Q831" s="11">
        <f>IF(G831&gt;H831, MIN(G831-H831, I831-H831)*
INDEX('2018_commission_structure'!$A$1:$I$4,
MATCH($D831, '2018_commission_structure'!$A$1:$A$4, 0),
MATCH(P$1, '2018_commission_structure'!$A$1:$I$1, 0)), 0)</f>
        <v>18345.599999999999</v>
      </c>
      <c r="R831" s="11">
        <f>IF(G831&gt;K831, (G831-K831) *
INDEX('2018_commission_structure'!$A$1:$I$4,
MATCH($D831, '2018_commission_structure'!$A$1:$A$4,0),
MATCH(R$1, '2018_commission_structure'!$A$1:$I$1,0)), 0)</f>
        <v>0</v>
      </c>
      <c r="S831" s="11">
        <f t="shared" si="77"/>
        <v>48921.599999999999</v>
      </c>
      <c r="T831" s="11" cm="1">
        <f t="array" ref="T831">SUM(E831+O831:Q831)</f>
        <v>220506.6</v>
      </c>
    </row>
    <row r="832" spans="1:20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 xml:space="preserve"> COUNTIF(deals_closed!D:D,A832)</f>
        <v>13</v>
      </c>
      <c r="G832" s="5">
        <f>SUMIF(deals_closed!D:D, calculations!A832, deals_closed!C:C)</f>
        <v>457093</v>
      </c>
      <c r="H832" s="5">
        <f>VLOOKUP(D832,'2018_commission_structure'!$A$2:$I$4,9,FALSE)</f>
        <v>750000</v>
      </c>
      <c r="I832" s="9">
        <f t="shared" si="72"/>
        <v>937500</v>
      </c>
      <c r="J832" s="8">
        <f t="shared" si="73"/>
        <v>1125000</v>
      </c>
      <c r="K832" s="9">
        <f t="shared" si="74"/>
        <v>1500000</v>
      </c>
      <c r="L832" s="10">
        <f t="shared" si="75"/>
        <v>0.6094573333333333</v>
      </c>
      <c r="M832" t="str">
        <f t="shared" si="76"/>
        <v>0-100%</v>
      </c>
      <c r="N832" s="9">
        <f>MIN(H832, G832)*INDEX('2018_commission_structure'!$A$1:$I$4,
MATCH($D832, '2018_commission_structure'!$A$1:$A$4,0),
MATCH(N$1, '2018_commission_structure'!$A$1:$I$1,0))</f>
        <v>68563.95</v>
      </c>
      <c r="O832" s="11">
        <f>IF(G832&gt;H832, MIN(G832-H832, I832-H832)*
INDEX('2018_commission_structure'!$A$1:$I$4,
MATCH($D832, '2018_commission_structure'!$A$1:$A$4, 0),
MATCH(O$1, '2018_commission_structure'!$A$1:$I$1, 0)), 0)</f>
        <v>0</v>
      </c>
      <c r="P832" s="11">
        <f>IF(G832&gt;H832, MIN(G832-H832, J832-H832)*
INDEX('2018_commission_structure'!$A$1:$I$4,
MATCH($D832, '2018_commission_structure'!$A$1:$A$4, 0),
MATCH(O$1, '2018_commission_structure'!$A$1:$I$1, 0)), 0)</f>
        <v>0</v>
      </c>
      <c r="Q832" s="11">
        <f>IF(G832&gt;H832, MIN(G832-H832, I832-H832)*
INDEX('2018_commission_structure'!$A$1:$I$4,
MATCH($D832, '2018_commission_structure'!$A$1:$A$4, 0),
MATCH(P$1, '2018_commission_structure'!$A$1:$I$1, 0)), 0)</f>
        <v>0</v>
      </c>
      <c r="R832" s="11">
        <f>IF(G832&gt;K832, (G832-K832) *
INDEX('2018_commission_structure'!$A$1:$I$4,
MATCH($D832, '2018_commission_structure'!$A$1:$A$4,0),
MATCH(R$1, '2018_commission_structure'!$A$1:$I$1,0)), 0)</f>
        <v>0</v>
      </c>
      <c r="S832" s="11">
        <f t="shared" si="77"/>
        <v>0</v>
      </c>
      <c r="T832" s="11" cm="1">
        <f t="array" ref="T832">SUM(E832+O832:Q832)</f>
        <v>354585</v>
      </c>
    </row>
    <row r="833" spans="1:20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 xml:space="preserve"> COUNTIF(deals_closed!D:D,A833)</f>
        <v>24</v>
      </c>
      <c r="G833" s="5">
        <f>SUMIF(deals_closed!D:D, calculations!A833, deals_closed!C:C)</f>
        <v>751155</v>
      </c>
      <c r="H833" s="5">
        <f>VLOOKUP(D833,'2018_commission_structure'!$A$2:$I$4,9,FALSE)</f>
        <v>750000</v>
      </c>
      <c r="I833" s="9">
        <f t="shared" si="72"/>
        <v>937500</v>
      </c>
      <c r="J833" s="8">
        <f t="shared" si="73"/>
        <v>1125000</v>
      </c>
      <c r="K833" s="9">
        <f t="shared" si="74"/>
        <v>1500000</v>
      </c>
      <c r="L833" s="10">
        <f t="shared" si="75"/>
        <v>1.0015400000000001</v>
      </c>
      <c r="M833" t="str">
        <f t="shared" si="76"/>
        <v>100-125%</v>
      </c>
      <c r="N833" s="9">
        <f>MIN(H833, G833)*INDEX('2018_commission_structure'!$A$1:$I$4,
MATCH($D833, '2018_commission_structure'!$A$1:$A$4,0),
MATCH(N$1, '2018_commission_structure'!$A$1:$I$1,0))</f>
        <v>112500</v>
      </c>
      <c r="O833" s="11">
        <f>IF(G833&gt;H833, MIN(G833-H833, I833-H833)*
INDEX('2018_commission_structure'!$A$1:$I$4,
MATCH($D833, '2018_commission_structure'!$A$1:$A$4, 0),
MATCH(O$1, '2018_commission_structure'!$A$1:$I$1, 0)), 0)</f>
        <v>219.45</v>
      </c>
      <c r="P833" s="11">
        <f>IF(G833&gt;H833, MIN(G833-H833, J833-H833)*
INDEX('2018_commission_structure'!$A$1:$I$4,
MATCH($D833, '2018_commission_structure'!$A$1:$A$4, 0),
MATCH(O$1, '2018_commission_structure'!$A$1:$I$1, 0)), 0)</f>
        <v>219.45</v>
      </c>
      <c r="Q833" s="11">
        <f>IF(G833&gt;H833, MIN(G833-H833, I833-H833)*
INDEX('2018_commission_structure'!$A$1:$I$4,
MATCH($D833, '2018_commission_structure'!$A$1:$A$4, 0),
MATCH(P$1, '2018_commission_structure'!$A$1:$I$1, 0)), 0)</f>
        <v>265.65000000000003</v>
      </c>
      <c r="R833" s="11">
        <f>IF(G833&gt;K833, (G833-K833) *
INDEX('2018_commission_structure'!$A$1:$I$4,
MATCH($D833, '2018_commission_structure'!$A$1:$A$4,0),
MATCH(R$1, '2018_commission_structure'!$A$1:$I$1,0)), 0)</f>
        <v>0</v>
      </c>
      <c r="S833" s="11">
        <f t="shared" si="77"/>
        <v>704.55</v>
      </c>
      <c r="T833" s="11" cm="1">
        <f t="array" ref="T833">SUM(E833+O833:Q833)</f>
        <v>372959.55</v>
      </c>
    </row>
    <row r="834" spans="1:20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 xml:space="preserve"> COUNTIF(deals_closed!D:D,A834)</f>
        <v>18</v>
      </c>
      <c r="G834" s="5">
        <f>SUMIF(deals_closed!D:D, calculations!A834, deals_closed!C:C)</f>
        <v>637903</v>
      </c>
      <c r="H834" s="5">
        <f>VLOOKUP(D834,'2018_commission_structure'!$A$2:$I$4,9,FALSE)</f>
        <v>500000</v>
      </c>
      <c r="I834" s="9">
        <f t="shared" si="72"/>
        <v>625000</v>
      </c>
      <c r="J834" s="8">
        <f t="shared" si="73"/>
        <v>750000</v>
      </c>
      <c r="K834" s="9">
        <f t="shared" si="74"/>
        <v>1000000</v>
      </c>
      <c r="L834" s="10">
        <f t="shared" si="75"/>
        <v>1.275806</v>
      </c>
      <c r="M834" t="str">
        <f t="shared" si="76"/>
        <v>125-150%</v>
      </c>
      <c r="N834" s="9">
        <f>MIN(H834, G834)*INDEX('2018_commission_structure'!$A$1:$I$4,
MATCH($D834, '2018_commission_structure'!$A$1:$A$4,0),
MATCH(N$1, '2018_commission_structure'!$A$1:$I$1,0))</f>
        <v>50000</v>
      </c>
      <c r="O834" s="11">
        <f>IF(G834&gt;H834, MIN(G834-H834, I834-H834)*
INDEX('2018_commission_structure'!$A$1:$I$4,
MATCH($D834, '2018_commission_structure'!$A$1:$A$4, 0),
MATCH(O$1, '2018_commission_structure'!$A$1:$I$1, 0)), 0)</f>
        <v>18750</v>
      </c>
      <c r="P834" s="11">
        <f>IF(G834&gt;H834, MIN(G834-H834, J834-H834)*
INDEX('2018_commission_structure'!$A$1:$I$4,
MATCH($D834, '2018_commission_structure'!$A$1:$A$4, 0),
MATCH(O$1, '2018_commission_structure'!$A$1:$I$1, 0)), 0)</f>
        <v>20685.45</v>
      </c>
      <c r="Q834" s="11">
        <f>IF(G834&gt;H834, MIN(G834-H834, I834-H834)*
INDEX('2018_commission_structure'!$A$1:$I$4,
MATCH($D834, '2018_commission_structure'!$A$1:$A$4, 0),
MATCH(P$1, '2018_commission_structure'!$A$1:$I$1, 0)), 0)</f>
        <v>22500</v>
      </c>
      <c r="R834" s="11">
        <f>IF(G834&gt;K834, (G834-K834) *
INDEX('2018_commission_structure'!$A$1:$I$4,
MATCH($D834, '2018_commission_structure'!$A$1:$A$4,0),
MATCH(R$1, '2018_commission_structure'!$A$1:$I$1,0)), 0)</f>
        <v>0</v>
      </c>
      <c r="S834" s="11">
        <f t="shared" si="77"/>
        <v>61935.45</v>
      </c>
      <c r="T834" s="11" cm="1">
        <f t="array" ref="T834">SUM(E834+O834:Q834)</f>
        <v>244992.45</v>
      </c>
    </row>
    <row r="835" spans="1:20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 xml:space="preserve"> COUNTIF(deals_closed!D:D,A835)</f>
        <v>21</v>
      </c>
      <c r="G835" s="5">
        <f>SUMIF(deals_closed!D:D, calculations!A835, deals_closed!C:C)</f>
        <v>610003</v>
      </c>
      <c r="H835" s="5">
        <f>VLOOKUP(D835,'2018_commission_structure'!$A$2:$I$4,9,FALSE)</f>
        <v>750000</v>
      </c>
      <c r="I835" s="9">
        <f t="shared" ref="I835:I898" si="78">H835*1.25</f>
        <v>937500</v>
      </c>
      <c r="J835" s="8">
        <f t="shared" ref="J835:J898" si="79">H835*1.5</f>
        <v>1125000</v>
      </c>
      <c r="K835" s="9">
        <f t="shared" ref="K835:K898" si="80">H835*2</f>
        <v>1500000</v>
      </c>
      <c r="L835" s="10">
        <f t="shared" ref="L835:L898" si="81">G835/H835</f>
        <v>0.81333733333333336</v>
      </c>
      <c r="M835" t="str">
        <f t="shared" ref="M835:M898" si="82">IF(L835&lt;=1, "0-100%",
IF(L835&lt;=1.25, "100-125%",
IF(L835&lt;=1.5, "125-150%",
IF(L835&lt;2, "150-200%", "&gt;200%"))))</f>
        <v>0-100%</v>
      </c>
      <c r="N835" s="9">
        <f>MIN(H835, G835)*INDEX('2018_commission_structure'!$A$1:$I$4,
MATCH($D835, '2018_commission_structure'!$A$1:$A$4,0),
MATCH(N$1, '2018_commission_structure'!$A$1:$I$1,0))</f>
        <v>91500.45</v>
      </c>
      <c r="O835" s="11">
        <f>IF(G835&gt;H835, MIN(G835-H835, I835-H835)*
INDEX('2018_commission_structure'!$A$1:$I$4,
MATCH($D835, '2018_commission_structure'!$A$1:$A$4, 0),
MATCH(O$1, '2018_commission_structure'!$A$1:$I$1, 0)), 0)</f>
        <v>0</v>
      </c>
      <c r="P835" s="11">
        <f>IF(G835&gt;H835, MIN(G835-H835, J835-H835)*
INDEX('2018_commission_structure'!$A$1:$I$4,
MATCH($D835, '2018_commission_structure'!$A$1:$A$4, 0),
MATCH(O$1, '2018_commission_structure'!$A$1:$I$1, 0)), 0)</f>
        <v>0</v>
      </c>
      <c r="Q835" s="11">
        <f>IF(G835&gt;H835, MIN(G835-H835, I835-H835)*
INDEX('2018_commission_structure'!$A$1:$I$4,
MATCH($D835, '2018_commission_structure'!$A$1:$A$4, 0),
MATCH(P$1, '2018_commission_structure'!$A$1:$I$1, 0)), 0)</f>
        <v>0</v>
      </c>
      <c r="R835" s="11">
        <f>IF(G835&gt;K835, (G835-K835) *
INDEX('2018_commission_structure'!$A$1:$I$4,
MATCH($D835, '2018_commission_structure'!$A$1:$A$4,0),
MATCH(R$1, '2018_commission_structure'!$A$1:$I$1,0)), 0)</f>
        <v>0</v>
      </c>
      <c r="S835" s="11">
        <f t="shared" ref="S835:S898" si="83">SUM(O835:Q835)</f>
        <v>0</v>
      </c>
      <c r="T835" s="11" cm="1">
        <f t="array" ref="T835">SUM(E835+O835:Q835)</f>
        <v>277773</v>
      </c>
    </row>
    <row r="836" spans="1:20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 xml:space="preserve"> COUNTIF(deals_closed!D:D,A836)</f>
        <v>11</v>
      </c>
      <c r="G836" s="5">
        <f>SUMIF(deals_closed!D:D, calculations!A836, deals_closed!C:C)</f>
        <v>454991</v>
      </c>
      <c r="H836" s="5">
        <f>VLOOKUP(D836,'2018_commission_structure'!$A$2:$I$4,9,FALSE)</f>
        <v>600000</v>
      </c>
      <c r="I836" s="9">
        <f t="shared" si="78"/>
        <v>750000</v>
      </c>
      <c r="J836" s="8">
        <f t="shared" si="79"/>
        <v>900000</v>
      </c>
      <c r="K836" s="9">
        <f t="shared" si="80"/>
        <v>1200000</v>
      </c>
      <c r="L836" s="10">
        <f t="shared" si="81"/>
        <v>0.75831833333333332</v>
      </c>
      <c r="M836" t="str">
        <f t="shared" si="82"/>
        <v>0-100%</v>
      </c>
      <c r="N836" s="9">
        <f>MIN(H836, G836)*INDEX('2018_commission_structure'!$A$1:$I$4,
MATCH($D836, '2018_commission_structure'!$A$1:$A$4,0),
MATCH(N$1, '2018_commission_structure'!$A$1:$I$1,0))</f>
        <v>59148.83</v>
      </c>
      <c r="O836" s="11">
        <f>IF(G836&gt;H836, MIN(G836-H836, I836-H836)*
INDEX('2018_commission_structure'!$A$1:$I$4,
MATCH($D836, '2018_commission_structure'!$A$1:$A$4, 0),
MATCH(O$1, '2018_commission_structure'!$A$1:$I$1, 0)), 0)</f>
        <v>0</v>
      </c>
      <c r="P836" s="11">
        <f>IF(G836&gt;H836, MIN(G836-H836, J836-H836)*
INDEX('2018_commission_structure'!$A$1:$I$4,
MATCH($D836, '2018_commission_structure'!$A$1:$A$4, 0),
MATCH(O$1, '2018_commission_structure'!$A$1:$I$1, 0)), 0)</f>
        <v>0</v>
      </c>
      <c r="Q836" s="11">
        <f>IF(G836&gt;H836, MIN(G836-H836, I836-H836)*
INDEX('2018_commission_structure'!$A$1:$I$4,
MATCH($D836, '2018_commission_structure'!$A$1:$A$4, 0),
MATCH(P$1, '2018_commission_structure'!$A$1:$I$1, 0)), 0)</f>
        <v>0</v>
      </c>
      <c r="R836" s="11">
        <f>IF(G836&gt;K836, (G836-K836) *
INDEX('2018_commission_structure'!$A$1:$I$4,
MATCH($D836, '2018_commission_structure'!$A$1:$A$4,0),
MATCH(R$1, '2018_commission_structure'!$A$1:$I$1,0)), 0)</f>
        <v>0</v>
      </c>
      <c r="S836" s="11">
        <f t="shared" si="83"/>
        <v>0</v>
      </c>
      <c r="T836" s="11" cm="1">
        <f t="array" ref="T836">SUM(E836+O836:Q836)</f>
        <v>232422</v>
      </c>
    </row>
    <row r="837" spans="1:20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 xml:space="preserve"> COUNTIF(deals_closed!D:D,A837)</f>
        <v>22</v>
      </c>
      <c r="G837" s="5">
        <f>SUMIF(deals_closed!D:D, calculations!A837, deals_closed!C:C)</f>
        <v>766349</v>
      </c>
      <c r="H837" s="5">
        <f>VLOOKUP(D837,'2018_commission_structure'!$A$2:$I$4,9,FALSE)</f>
        <v>600000</v>
      </c>
      <c r="I837" s="9">
        <f t="shared" si="78"/>
        <v>750000</v>
      </c>
      <c r="J837" s="8">
        <f t="shared" si="79"/>
        <v>900000</v>
      </c>
      <c r="K837" s="9">
        <f t="shared" si="80"/>
        <v>1200000</v>
      </c>
      <c r="L837" s="10">
        <f t="shared" si="81"/>
        <v>1.2772483333333333</v>
      </c>
      <c r="M837" t="str">
        <f t="shared" si="82"/>
        <v>125-150%</v>
      </c>
      <c r="N837" s="9">
        <f>MIN(H837, G837)*INDEX('2018_commission_structure'!$A$1:$I$4,
MATCH($D837, '2018_commission_structure'!$A$1:$A$4,0),
MATCH(N$1, '2018_commission_structure'!$A$1:$I$1,0))</f>
        <v>78000</v>
      </c>
      <c r="O837" s="11">
        <f>IF(G837&gt;H837, MIN(G837-H837, I837-H837)*
INDEX('2018_commission_structure'!$A$1:$I$4,
MATCH($D837, '2018_commission_structure'!$A$1:$A$4, 0),
MATCH(O$1, '2018_commission_structure'!$A$1:$I$1, 0)), 0)</f>
        <v>25500.000000000004</v>
      </c>
      <c r="P837" s="11">
        <f>IF(G837&gt;H837, MIN(G837-H837, J837-H837)*
INDEX('2018_commission_structure'!$A$1:$I$4,
MATCH($D837, '2018_commission_structure'!$A$1:$A$4, 0),
MATCH(O$1, '2018_commission_structure'!$A$1:$I$1, 0)), 0)</f>
        <v>28279.33</v>
      </c>
      <c r="Q837" s="11">
        <f>IF(G837&gt;H837, MIN(G837-H837, I837-H837)*
INDEX('2018_commission_structure'!$A$1:$I$4,
MATCH($D837, '2018_commission_structure'!$A$1:$A$4, 0),
MATCH(P$1, '2018_commission_structure'!$A$1:$I$1, 0)), 0)</f>
        <v>31500</v>
      </c>
      <c r="R837" s="11">
        <f>IF(G837&gt;K837, (G837-K837) *
INDEX('2018_commission_structure'!$A$1:$I$4,
MATCH($D837, '2018_commission_structure'!$A$1:$A$4,0),
MATCH(R$1, '2018_commission_structure'!$A$1:$I$1,0)), 0)</f>
        <v>0</v>
      </c>
      <c r="S837" s="11">
        <f t="shared" si="83"/>
        <v>85279.33</v>
      </c>
      <c r="T837" s="11" cm="1">
        <f t="array" ref="T837">SUM(E837+O837:Q837)</f>
        <v>265774.33</v>
      </c>
    </row>
    <row r="838" spans="1:20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 xml:space="preserve"> COUNTIF(deals_closed!D:D,A838)</f>
        <v>23</v>
      </c>
      <c r="G838" s="5">
        <f>SUMIF(deals_closed!D:D, calculations!A838, deals_closed!C:C)</f>
        <v>696032</v>
      </c>
      <c r="H838" s="5">
        <f>VLOOKUP(D838,'2018_commission_structure'!$A$2:$I$4,9,FALSE)</f>
        <v>750000</v>
      </c>
      <c r="I838" s="9">
        <f t="shared" si="78"/>
        <v>937500</v>
      </c>
      <c r="J838" s="8">
        <f t="shared" si="79"/>
        <v>1125000</v>
      </c>
      <c r="K838" s="9">
        <f t="shared" si="80"/>
        <v>1500000</v>
      </c>
      <c r="L838" s="10">
        <f t="shared" si="81"/>
        <v>0.92804266666666668</v>
      </c>
      <c r="M838" t="str">
        <f t="shared" si="82"/>
        <v>0-100%</v>
      </c>
      <c r="N838" s="9">
        <f>MIN(H838, G838)*INDEX('2018_commission_structure'!$A$1:$I$4,
MATCH($D838, '2018_commission_structure'!$A$1:$A$4,0),
MATCH(N$1, '2018_commission_structure'!$A$1:$I$1,0))</f>
        <v>104404.8</v>
      </c>
      <c r="O838" s="11">
        <f>IF(G838&gt;H838, MIN(G838-H838, I838-H838)*
INDEX('2018_commission_structure'!$A$1:$I$4,
MATCH($D838, '2018_commission_structure'!$A$1:$A$4, 0),
MATCH(O$1, '2018_commission_structure'!$A$1:$I$1, 0)), 0)</f>
        <v>0</v>
      </c>
      <c r="P838" s="11">
        <f>IF(G838&gt;H838, MIN(G838-H838, J838-H838)*
INDEX('2018_commission_structure'!$A$1:$I$4,
MATCH($D838, '2018_commission_structure'!$A$1:$A$4, 0),
MATCH(O$1, '2018_commission_structure'!$A$1:$I$1, 0)), 0)</f>
        <v>0</v>
      </c>
      <c r="Q838" s="11">
        <f>IF(G838&gt;H838, MIN(G838-H838, I838-H838)*
INDEX('2018_commission_structure'!$A$1:$I$4,
MATCH($D838, '2018_commission_structure'!$A$1:$A$4, 0),
MATCH(P$1, '2018_commission_structure'!$A$1:$I$1, 0)), 0)</f>
        <v>0</v>
      </c>
      <c r="R838" s="11">
        <f>IF(G838&gt;K838, (G838-K838) *
INDEX('2018_commission_structure'!$A$1:$I$4,
MATCH($D838, '2018_commission_structure'!$A$1:$A$4,0),
MATCH(R$1, '2018_commission_structure'!$A$1:$I$1,0)), 0)</f>
        <v>0</v>
      </c>
      <c r="S838" s="11">
        <f t="shared" si="83"/>
        <v>0</v>
      </c>
      <c r="T838" s="11" cm="1">
        <f t="array" ref="T838">SUM(E838+O838:Q838)</f>
        <v>363264</v>
      </c>
    </row>
    <row r="839" spans="1:20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 xml:space="preserve"> COUNTIF(deals_closed!D:D,A839)</f>
        <v>18</v>
      </c>
      <c r="G839" s="5">
        <f>SUMIF(deals_closed!D:D, calculations!A839, deals_closed!C:C)</f>
        <v>652900</v>
      </c>
      <c r="H839" s="5">
        <f>VLOOKUP(D839,'2018_commission_structure'!$A$2:$I$4,9,FALSE)</f>
        <v>600000</v>
      </c>
      <c r="I839" s="9">
        <f t="shared" si="78"/>
        <v>750000</v>
      </c>
      <c r="J839" s="8">
        <f t="shared" si="79"/>
        <v>900000</v>
      </c>
      <c r="K839" s="9">
        <f t="shared" si="80"/>
        <v>1200000</v>
      </c>
      <c r="L839" s="10">
        <f t="shared" si="81"/>
        <v>1.0881666666666667</v>
      </c>
      <c r="M839" t="str">
        <f t="shared" si="82"/>
        <v>100-125%</v>
      </c>
      <c r="N839" s="9">
        <f>MIN(H839, G839)*INDEX('2018_commission_structure'!$A$1:$I$4,
MATCH($D839, '2018_commission_structure'!$A$1:$A$4,0),
MATCH(N$1, '2018_commission_structure'!$A$1:$I$1,0))</f>
        <v>78000</v>
      </c>
      <c r="O839" s="11">
        <f>IF(G839&gt;H839, MIN(G839-H839, I839-H839)*
INDEX('2018_commission_structure'!$A$1:$I$4,
MATCH($D839, '2018_commission_structure'!$A$1:$A$4, 0),
MATCH(O$1, '2018_commission_structure'!$A$1:$I$1, 0)), 0)</f>
        <v>8993</v>
      </c>
      <c r="P839" s="11">
        <f>IF(G839&gt;H839, MIN(G839-H839, J839-H839)*
INDEX('2018_commission_structure'!$A$1:$I$4,
MATCH($D839, '2018_commission_structure'!$A$1:$A$4, 0),
MATCH(O$1, '2018_commission_structure'!$A$1:$I$1, 0)), 0)</f>
        <v>8993</v>
      </c>
      <c r="Q839" s="11">
        <f>IF(G839&gt;H839, MIN(G839-H839, I839-H839)*
INDEX('2018_commission_structure'!$A$1:$I$4,
MATCH($D839, '2018_commission_structure'!$A$1:$A$4, 0),
MATCH(P$1, '2018_commission_structure'!$A$1:$I$1, 0)), 0)</f>
        <v>11109</v>
      </c>
      <c r="R839" s="11">
        <f>IF(G839&gt;K839, (G839-K839) *
INDEX('2018_commission_structure'!$A$1:$I$4,
MATCH($D839, '2018_commission_structure'!$A$1:$A$4,0),
MATCH(R$1, '2018_commission_structure'!$A$1:$I$1,0)), 0)</f>
        <v>0</v>
      </c>
      <c r="S839" s="11">
        <f t="shared" si="83"/>
        <v>29095</v>
      </c>
      <c r="T839" s="11" cm="1">
        <f t="array" ref="T839">SUM(E839+O839:Q839)</f>
        <v>219508</v>
      </c>
    </row>
    <row r="840" spans="1:20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 xml:space="preserve"> COUNTIF(deals_closed!D:D,A840)</f>
        <v>23</v>
      </c>
      <c r="G840" s="5">
        <f>SUMIF(deals_closed!D:D, calculations!A840, deals_closed!C:C)</f>
        <v>743886</v>
      </c>
      <c r="H840" s="5">
        <f>VLOOKUP(D840,'2018_commission_structure'!$A$2:$I$4,9,FALSE)</f>
        <v>750000</v>
      </c>
      <c r="I840" s="9">
        <f t="shared" si="78"/>
        <v>937500</v>
      </c>
      <c r="J840" s="8">
        <f t="shared" si="79"/>
        <v>1125000</v>
      </c>
      <c r="K840" s="9">
        <f t="shared" si="80"/>
        <v>1500000</v>
      </c>
      <c r="L840" s="10">
        <f t="shared" si="81"/>
        <v>0.99184799999999995</v>
      </c>
      <c r="M840" t="str">
        <f t="shared" si="82"/>
        <v>0-100%</v>
      </c>
      <c r="N840" s="9">
        <f>MIN(H840, G840)*INDEX('2018_commission_structure'!$A$1:$I$4,
MATCH($D840, '2018_commission_structure'!$A$1:$A$4,0),
MATCH(N$1, '2018_commission_structure'!$A$1:$I$1,0))</f>
        <v>111582.9</v>
      </c>
      <c r="O840" s="11">
        <f>IF(G840&gt;H840, MIN(G840-H840, I840-H840)*
INDEX('2018_commission_structure'!$A$1:$I$4,
MATCH($D840, '2018_commission_structure'!$A$1:$A$4, 0),
MATCH(O$1, '2018_commission_structure'!$A$1:$I$1, 0)), 0)</f>
        <v>0</v>
      </c>
      <c r="P840" s="11">
        <f>IF(G840&gt;H840, MIN(G840-H840, J840-H840)*
INDEX('2018_commission_structure'!$A$1:$I$4,
MATCH($D840, '2018_commission_structure'!$A$1:$A$4, 0),
MATCH(O$1, '2018_commission_structure'!$A$1:$I$1, 0)), 0)</f>
        <v>0</v>
      </c>
      <c r="Q840" s="11">
        <f>IF(G840&gt;H840, MIN(G840-H840, I840-H840)*
INDEX('2018_commission_structure'!$A$1:$I$4,
MATCH($D840, '2018_commission_structure'!$A$1:$A$4, 0),
MATCH(P$1, '2018_commission_structure'!$A$1:$I$1, 0)), 0)</f>
        <v>0</v>
      </c>
      <c r="R840" s="11">
        <f>IF(G840&gt;K840, (G840-K840) *
INDEX('2018_commission_structure'!$A$1:$I$4,
MATCH($D840, '2018_commission_structure'!$A$1:$A$4,0),
MATCH(R$1, '2018_commission_structure'!$A$1:$I$1,0)), 0)</f>
        <v>0</v>
      </c>
      <c r="S840" s="11">
        <f t="shared" si="83"/>
        <v>0</v>
      </c>
      <c r="T840" s="11" cm="1">
        <f t="array" ref="T840">SUM(E840+O840:Q840)</f>
        <v>251001</v>
      </c>
    </row>
    <row r="841" spans="1:20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 xml:space="preserve"> COUNTIF(deals_closed!D:D,A841)</f>
        <v>26</v>
      </c>
      <c r="G841" s="5">
        <f>SUMIF(deals_closed!D:D, calculations!A841, deals_closed!C:C)</f>
        <v>970661</v>
      </c>
      <c r="H841" s="5">
        <f>VLOOKUP(D841,'2018_commission_structure'!$A$2:$I$4,9,FALSE)</f>
        <v>500000</v>
      </c>
      <c r="I841" s="9">
        <f t="shared" si="78"/>
        <v>625000</v>
      </c>
      <c r="J841" s="8">
        <f t="shared" si="79"/>
        <v>750000</v>
      </c>
      <c r="K841" s="9">
        <f t="shared" si="80"/>
        <v>1000000</v>
      </c>
      <c r="L841" s="10">
        <f t="shared" si="81"/>
        <v>1.941322</v>
      </c>
      <c r="M841" t="str">
        <f t="shared" si="82"/>
        <v>150-200%</v>
      </c>
      <c r="N841" s="9">
        <f>MIN(H841, G841)*INDEX('2018_commission_structure'!$A$1:$I$4,
MATCH($D841, '2018_commission_structure'!$A$1:$A$4,0),
MATCH(N$1, '2018_commission_structure'!$A$1:$I$1,0))</f>
        <v>50000</v>
      </c>
      <c r="O841" s="11">
        <f>IF(G841&gt;H841, MIN(G841-H841, I841-H841)*
INDEX('2018_commission_structure'!$A$1:$I$4,
MATCH($D841, '2018_commission_structure'!$A$1:$A$4, 0),
MATCH(O$1, '2018_commission_structure'!$A$1:$I$1, 0)), 0)</f>
        <v>18750</v>
      </c>
      <c r="P841" s="11">
        <f>IF(G841&gt;H841, MIN(G841-H841, J841-H841)*
INDEX('2018_commission_structure'!$A$1:$I$4,
MATCH($D841, '2018_commission_structure'!$A$1:$A$4, 0),
MATCH(O$1, '2018_commission_structure'!$A$1:$I$1, 0)), 0)</f>
        <v>37500</v>
      </c>
      <c r="Q841" s="11">
        <f>IF(G841&gt;H841, MIN(G841-H841, I841-H841)*
INDEX('2018_commission_structure'!$A$1:$I$4,
MATCH($D841, '2018_commission_structure'!$A$1:$A$4, 0),
MATCH(P$1, '2018_commission_structure'!$A$1:$I$1, 0)), 0)</f>
        <v>22500</v>
      </c>
      <c r="R841" s="11">
        <f>IF(G841&gt;K841, (G841-K841) *
INDEX('2018_commission_structure'!$A$1:$I$4,
MATCH($D841, '2018_commission_structure'!$A$1:$A$4,0),
MATCH(R$1, '2018_commission_structure'!$A$1:$I$1,0)), 0)</f>
        <v>0</v>
      </c>
      <c r="S841" s="11">
        <f t="shared" si="83"/>
        <v>78750</v>
      </c>
      <c r="T841" s="11" cm="1">
        <f t="array" ref="T841">SUM(E841+O841:Q841)</f>
        <v>214533</v>
      </c>
    </row>
    <row r="842" spans="1:20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 xml:space="preserve"> COUNTIF(deals_closed!D:D,A842)</f>
        <v>28</v>
      </c>
      <c r="G842" s="5">
        <f>SUMIF(deals_closed!D:D, calculations!A842, deals_closed!C:C)</f>
        <v>982174</v>
      </c>
      <c r="H842" s="5">
        <f>VLOOKUP(D842,'2018_commission_structure'!$A$2:$I$4,9,FALSE)</f>
        <v>750000</v>
      </c>
      <c r="I842" s="9">
        <f t="shared" si="78"/>
        <v>937500</v>
      </c>
      <c r="J842" s="8">
        <f t="shared" si="79"/>
        <v>1125000</v>
      </c>
      <c r="K842" s="9">
        <f t="shared" si="80"/>
        <v>1500000</v>
      </c>
      <c r="L842" s="10">
        <f t="shared" si="81"/>
        <v>1.3095653333333332</v>
      </c>
      <c r="M842" t="str">
        <f t="shared" si="82"/>
        <v>125-150%</v>
      </c>
      <c r="N842" s="9">
        <f>MIN(H842, G842)*INDEX('2018_commission_structure'!$A$1:$I$4,
MATCH($D842, '2018_commission_structure'!$A$1:$A$4,0),
MATCH(N$1, '2018_commission_structure'!$A$1:$I$1,0))</f>
        <v>112500</v>
      </c>
      <c r="O842" s="11">
        <f>IF(G842&gt;H842, MIN(G842-H842, I842-H842)*
INDEX('2018_commission_structure'!$A$1:$I$4,
MATCH($D842, '2018_commission_structure'!$A$1:$A$4, 0),
MATCH(O$1, '2018_commission_structure'!$A$1:$I$1, 0)), 0)</f>
        <v>35625</v>
      </c>
      <c r="P842" s="11">
        <f>IF(G842&gt;H842, MIN(G842-H842, J842-H842)*
INDEX('2018_commission_structure'!$A$1:$I$4,
MATCH($D842, '2018_commission_structure'!$A$1:$A$4, 0),
MATCH(O$1, '2018_commission_structure'!$A$1:$I$1, 0)), 0)</f>
        <v>44113.06</v>
      </c>
      <c r="Q842" s="11">
        <f>IF(G842&gt;H842, MIN(G842-H842, I842-H842)*
INDEX('2018_commission_structure'!$A$1:$I$4,
MATCH($D842, '2018_commission_structure'!$A$1:$A$4, 0),
MATCH(P$1, '2018_commission_structure'!$A$1:$I$1, 0)), 0)</f>
        <v>43125</v>
      </c>
      <c r="R842" s="11">
        <f>IF(G842&gt;K842, (G842-K842) *
INDEX('2018_commission_structure'!$A$1:$I$4,
MATCH($D842, '2018_commission_structure'!$A$1:$A$4,0),
MATCH(R$1, '2018_commission_structure'!$A$1:$I$1,0)), 0)</f>
        <v>0</v>
      </c>
      <c r="S842" s="11">
        <f t="shared" si="83"/>
        <v>122863.06</v>
      </c>
      <c r="T842" s="11" cm="1">
        <f t="array" ref="T842">SUM(E842+O842:Q842)</f>
        <v>359245.06</v>
      </c>
    </row>
    <row r="843" spans="1:20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 xml:space="preserve"> COUNTIF(deals_closed!D:D,A843)</f>
        <v>22</v>
      </c>
      <c r="G843" s="5">
        <f>SUMIF(deals_closed!D:D, calculations!A843, deals_closed!C:C)</f>
        <v>773763</v>
      </c>
      <c r="H843" s="5">
        <f>VLOOKUP(D843,'2018_commission_structure'!$A$2:$I$4,9,FALSE)</f>
        <v>750000</v>
      </c>
      <c r="I843" s="9">
        <f t="shared" si="78"/>
        <v>937500</v>
      </c>
      <c r="J843" s="8">
        <f t="shared" si="79"/>
        <v>1125000</v>
      </c>
      <c r="K843" s="9">
        <f t="shared" si="80"/>
        <v>1500000</v>
      </c>
      <c r="L843" s="10">
        <f t="shared" si="81"/>
        <v>1.031684</v>
      </c>
      <c r="M843" t="str">
        <f t="shared" si="82"/>
        <v>100-125%</v>
      </c>
      <c r="N843" s="9">
        <f>MIN(H843, G843)*INDEX('2018_commission_structure'!$A$1:$I$4,
MATCH($D843, '2018_commission_structure'!$A$1:$A$4,0),
MATCH(N$1, '2018_commission_structure'!$A$1:$I$1,0))</f>
        <v>112500</v>
      </c>
      <c r="O843" s="11">
        <f>IF(G843&gt;H843, MIN(G843-H843, I843-H843)*
INDEX('2018_commission_structure'!$A$1:$I$4,
MATCH($D843, '2018_commission_structure'!$A$1:$A$4, 0),
MATCH(O$1, '2018_commission_structure'!$A$1:$I$1, 0)), 0)</f>
        <v>4514.97</v>
      </c>
      <c r="P843" s="11">
        <f>IF(G843&gt;H843, MIN(G843-H843, J843-H843)*
INDEX('2018_commission_structure'!$A$1:$I$4,
MATCH($D843, '2018_commission_structure'!$A$1:$A$4, 0),
MATCH(O$1, '2018_commission_structure'!$A$1:$I$1, 0)), 0)</f>
        <v>4514.97</v>
      </c>
      <c r="Q843" s="11">
        <f>IF(G843&gt;H843, MIN(G843-H843, I843-H843)*
INDEX('2018_commission_structure'!$A$1:$I$4,
MATCH($D843, '2018_commission_structure'!$A$1:$A$4, 0),
MATCH(P$1, '2018_commission_structure'!$A$1:$I$1, 0)), 0)</f>
        <v>5465.4900000000007</v>
      </c>
      <c r="R843" s="11">
        <f>IF(G843&gt;K843, (G843-K843) *
INDEX('2018_commission_structure'!$A$1:$I$4,
MATCH($D843, '2018_commission_structure'!$A$1:$A$4,0),
MATCH(R$1, '2018_commission_structure'!$A$1:$I$1,0)), 0)</f>
        <v>0</v>
      </c>
      <c r="S843" s="11">
        <f t="shared" si="83"/>
        <v>14495.43</v>
      </c>
      <c r="T843" s="11" cm="1">
        <f t="array" ref="T843">SUM(E843+O843:Q843)</f>
        <v>283811.43</v>
      </c>
    </row>
    <row r="844" spans="1:20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 xml:space="preserve"> COUNTIF(deals_closed!D:D,A844)</f>
        <v>26</v>
      </c>
      <c r="G844" s="5">
        <f>SUMIF(deals_closed!D:D, calculations!A844, deals_closed!C:C)</f>
        <v>802034</v>
      </c>
      <c r="H844" s="5">
        <f>VLOOKUP(D844,'2018_commission_structure'!$A$2:$I$4,9,FALSE)</f>
        <v>500000</v>
      </c>
      <c r="I844" s="9">
        <f t="shared" si="78"/>
        <v>625000</v>
      </c>
      <c r="J844" s="8">
        <f t="shared" si="79"/>
        <v>750000</v>
      </c>
      <c r="K844" s="9">
        <f t="shared" si="80"/>
        <v>1000000</v>
      </c>
      <c r="L844" s="10">
        <f t="shared" si="81"/>
        <v>1.604068</v>
      </c>
      <c r="M844" t="str">
        <f t="shared" si="82"/>
        <v>150-200%</v>
      </c>
      <c r="N844" s="9">
        <f>MIN(H844, G844)*INDEX('2018_commission_structure'!$A$1:$I$4,
MATCH($D844, '2018_commission_structure'!$A$1:$A$4,0),
MATCH(N$1, '2018_commission_structure'!$A$1:$I$1,0))</f>
        <v>50000</v>
      </c>
      <c r="O844" s="11">
        <f>IF(G844&gt;H844, MIN(G844-H844, I844-H844)*
INDEX('2018_commission_structure'!$A$1:$I$4,
MATCH($D844, '2018_commission_structure'!$A$1:$A$4, 0),
MATCH(O$1, '2018_commission_structure'!$A$1:$I$1, 0)), 0)</f>
        <v>18750</v>
      </c>
      <c r="P844" s="11">
        <f>IF(G844&gt;H844, MIN(G844-H844, J844-H844)*
INDEX('2018_commission_structure'!$A$1:$I$4,
MATCH($D844, '2018_commission_structure'!$A$1:$A$4, 0),
MATCH(O$1, '2018_commission_structure'!$A$1:$I$1, 0)), 0)</f>
        <v>37500</v>
      </c>
      <c r="Q844" s="11">
        <f>IF(G844&gt;H844, MIN(G844-H844, I844-H844)*
INDEX('2018_commission_structure'!$A$1:$I$4,
MATCH($D844, '2018_commission_structure'!$A$1:$A$4, 0),
MATCH(P$1, '2018_commission_structure'!$A$1:$I$1, 0)), 0)</f>
        <v>22500</v>
      </c>
      <c r="R844" s="11">
        <f>IF(G844&gt;K844, (G844-K844) *
INDEX('2018_commission_structure'!$A$1:$I$4,
MATCH($D844, '2018_commission_structure'!$A$1:$A$4,0),
MATCH(R$1, '2018_commission_structure'!$A$1:$I$1,0)), 0)</f>
        <v>0</v>
      </c>
      <c r="S844" s="11">
        <f t="shared" si="83"/>
        <v>78750</v>
      </c>
      <c r="T844" s="11" cm="1">
        <f t="array" ref="T844">SUM(E844+O844:Q844)</f>
        <v>201435</v>
      </c>
    </row>
    <row r="845" spans="1:20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 xml:space="preserve"> COUNTIF(deals_closed!D:D,A845)</f>
        <v>15</v>
      </c>
      <c r="G845" s="5">
        <f>SUMIF(deals_closed!D:D, calculations!A845, deals_closed!C:C)</f>
        <v>518485</v>
      </c>
      <c r="H845" s="5">
        <f>VLOOKUP(D845,'2018_commission_structure'!$A$2:$I$4,9,FALSE)</f>
        <v>500000</v>
      </c>
      <c r="I845" s="9">
        <f t="shared" si="78"/>
        <v>625000</v>
      </c>
      <c r="J845" s="8">
        <f t="shared" si="79"/>
        <v>750000</v>
      </c>
      <c r="K845" s="9">
        <f t="shared" si="80"/>
        <v>1000000</v>
      </c>
      <c r="L845" s="10">
        <f t="shared" si="81"/>
        <v>1.0369699999999999</v>
      </c>
      <c r="M845" t="str">
        <f t="shared" si="82"/>
        <v>100-125%</v>
      </c>
      <c r="N845" s="9">
        <f>MIN(H845, G845)*INDEX('2018_commission_structure'!$A$1:$I$4,
MATCH($D845, '2018_commission_structure'!$A$1:$A$4,0),
MATCH(N$1, '2018_commission_structure'!$A$1:$I$1,0))</f>
        <v>50000</v>
      </c>
      <c r="O845" s="11">
        <f>IF(G845&gt;H845, MIN(G845-H845, I845-H845)*
INDEX('2018_commission_structure'!$A$1:$I$4,
MATCH($D845, '2018_commission_structure'!$A$1:$A$4, 0),
MATCH(O$1, '2018_commission_structure'!$A$1:$I$1, 0)), 0)</f>
        <v>2772.75</v>
      </c>
      <c r="P845" s="11">
        <f>IF(G845&gt;H845, MIN(G845-H845, J845-H845)*
INDEX('2018_commission_structure'!$A$1:$I$4,
MATCH($D845, '2018_commission_structure'!$A$1:$A$4, 0),
MATCH(O$1, '2018_commission_structure'!$A$1:$I$1, 0)), 0)</f>
        <v>2772.75</v>
      </c>
      <c r="Q845" s="11">
        <f>IF(G845&gt;H845, MIN(G845-H845, I845-H845)*
INDEX('2018_commission_structure'!$A$1:$I$4,
MATCH($D845, '2018_commission_structure'!$A$1:$A$4, 0),
MATCH(P$1, '2018_commission_structure'!$A$1:$I$1, 0)), 0)</f>
        <v>3327.2999999999997</v>
      </c>
      <c r="R845" s="11">
        <f>IF(G845&gt;K845, (G845-K845) *
INDEX('2018_commission_structure'!$A$1:$I$4,
MATCH($D845, '2018_commission_structure'!$A$1:$A$4,0),
MATCH(R$1, '2018_commission_structure'!$A$1:$I$1,0)), 0)</f>
        <v>0</v>
      </c>
      <c r="S845" s="11">
        <f t="shared" si="83"/>
        <v>8872.7999999999993</v>
      </c>
      <c r="T845" s="11" cm="1">
        <f t="array" ref="T845">SUM(E845+O845:Q845)</f>
        <v>157666.79999999999</v>
      </c>
    </row>
    <row r="846" spans="1:20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 xml:space="preserve"> COUNTIF(deals_closed!D:D,A846)</f>
        <v>21</v>
      </c>
      <c r="G846" s="5">
        <f>SUMIF(deals_closed!D:D, calculations!A846, deals_closed!C:C)</f>
        <v>675470</v>
      </c>
      <c r="H846" s="5">
        <f>VLOOKUP(D846,'2018_commission_structure'!$A$2:$I$4,9,FALSE)</f>
        <v>750000</v>
      </c>
      <c r="I846" s="9">
        <f t="shared" si="78"/>
        <v>937500</v>
      </c>
      <c r="J846" s="8">
        <f t="shared" si="79"/>
        <v>1125000</v>
      </c>
      <c r="K846" s="9">
        <f t="shared" si="80"/>
        <v>1500000</v>
      </c>
      <c r="L846" s="10">
        <f t="shared" si="81"/>
        <v>0.90062666666666669</v>
      </c>
      <c r="M846" t="str">
        <f t="shared" si="82"/>
        <v>0-100%</v>
      </c>
      <c r="N846" s="9">
        <f>MIN(H846, G846)*INDEX('2018_commission_structure'!$A$1:$I$4,
MATCH($D846, '2018_commission_structure'!$A$1:$A$4,0),
MATCH(N$1, '2018_commission_structure'!$A$1:$I$1,0))</f>
        <v>101320.5</v>
      </c>
      <c r="O846" s="11">
        <f>IF(G846&gt;H846, MIN(G846-H846, I846-H846)*
INDEX('2018_commission_structure'!$A$1:$I$4,
MATCH($D846, '2018_commission_structure'!$A$1:$A$4, 0),
MATCH(O$1, '2018_commission_structure'!$A$1:$I$1, 0)), 0)</f>
        <v>0</v>
      </c>
      <c r="P846" s="11">
        <f>IF(G846&gt;H846, MIN(G846-H846, J846-H846)*
INDEX('2018_commission_structure'!$A$1:$I$4,
MATCH($D846, '2018_commission_structure'!$A$1:$A$4, 0),
MATCH(O$1, '2018_commission_structure'!$A$1:$I$1, 0)), 0)</f>
        <v>0</v>
      </c>
      <c r="Q846" s="11">
        <f>IF(G846&gt;H846, MIN(G846-H846, I846-H846)*
INDEX('2018_commission_structure'!$A$1:$I$4,
MATCH($D846, '2018_commission_structure'!$A$1:$A$4, 0),
MATCH(P$1, '2018_commission_structure'!$A$1:$I$1, 0)), 0)</f>
        <v>0</v>
      </c>
      <c r="R846" s="11">
        <f>IF(G846&gt;K846, (G846-K846) *
INDEX('2018_commission_structure'!$A$1:$I$4,
MATCH($D846, '2018_commission_structure'!$A$1:$A$4,0),
MATCH(R$1, '2018_commission_structure'!$A$1:$I$1,0)), 0)</f>
        <v>0</v>
      </c>
      <c r="S846" s="11">
        <f t="shared" si="83"/>
        <v>0</v>
      </c>
      <c r="T846" s="11" cm="1">
        <f t="array" ref="T846">SUM(E846+O846:Q846)</f>
        <v>289476</v>
      </c>
    </row>
    <row r="847" spans="1:20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 xml:space="preserve"> COUNTIF(deals_closed!D:D,A847)</f>
        <v>11</v>
      </c>
      <c r="G847" s="5">
        <f>SUMIF(deals_closed!D:D, calculations!A847, deals_closed!C:C)</f>
        <v>408387</v>
      </c>
      <c r="H847" s="5">
        <f>VLOOKUP(D847,'2018_commission_structure'!$A$2:$I$4,9,FALSE)</f>
        <v>500000</v>
      </c>
      <c r="I847" s="9">
        <f t="shared" si="78"/>
        <v>625000</v>
      </c>
      <c r="J847" s="8">
        <f t="shared" si="79"/>
        <v>750000</v>
      </c>
      <c r="K847" s="9">
        <f t="shared" si="80"/>
        <v>1000000</v>
      </c>
      <c r="L847" s="10">
        <f t="shared" si="81"/>
        <v>0.816774</v>
      </c>
      <c r="M847" t="str">
        <f t="shared" si="82"/>
        <v>0-100%</v>
      </c>
      <c r="N847" s="9">
        <f>MIN(H847, G847)*INDEX('2018_commission_structure'!$A$1:$I$4,
MATCH($D847, '2018_commission_structure'!$A$1:$A$4,0),
MATCH(N$1, '2018_commission_structure'!$A$1:$I$1,0))</f>
        <v>40838.700000000004</v>
      </c>
      <c r="O847" s="11">
        <f>IF(G847&gt;H847, MIN(G847-H847, I847-H847)*
INDEX('2018_commission_structure'!$A$1:$I$4,
MATCH($D847, '2018_commission_structure'!$A$1:$A$4, 0),
MATCH(O$1, '2018_commission_structure'!$A$1:$I$1, 0)), 0)</f>
        <v>0</v>
      </c>
      <c r="P847" s="11">
        <f>IF(G847&gt;H847, MIN(G847-H847, J847-H847)*
INDEX('2018_commission_structure'!$A$1:$I$4,
MATCH($D847, '2018_commission_structure'!$A$1:$A$4, 0),
MATCH(O$1, '2018_commission_structure'!$A$1:$I$1, 0)), 0)</f>
        <v>0</v>
      </c>
      <c r="Q847" s="11">
        <f>IF(G847&gt;H847, MIN(G847-H847, I847-H847)*
INDEX('2018_commission_structure'!$A$1:$I$4,
MATCH($D847, '2018_commission_structure'!$A$1:$A$4, 0),
MATCH(P$1, '2018_commission_structure'!$A$1:$I$1, 0)), 0)</f>
        <v>0</v>
      </c>
      <c r="R847" s="11">
        <f>IF(G847&gt;K847, (G847-K847) *
INDEX('2018_commission_structure'!$A$1:$I$4,
MATCH($D847, '2018_commission_structure'!$A$1:$A$4,0),
MATCH(R$1, '2018_commission_structure'!$A$1:$I$1,0)), 0)</f>
        <v>0</v>
      </c>
      <c r="S847" s="11">
        <f t="shared" si="83"/>
        <v>0</v>
      </c>
      <c r="T847" s="11" cm="1">
        <f t="array" ref="T847">SUM(E847+O847:Q847)</f>
        <v>145056</v>
      </c>
    </row>
    <row r="848" spans="1:20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 xml:space="preserve"> COUNTIF(deals_closed!D:D,A848)</f>
        <v>22</v>
      </c>
      <c r="G848" s="5">
        <f>SUMIF(deals_closed!D:D, calculations!A848, deals_closed!C:C)</f>
        <v>886977</v>
      </c>
      <c r="H848" s="5">
        <f>VLOOKUP(D848,'2018_commission_structure'!$A$2:$I$4,9,FALSE)</f>
        <v>500000</v>
      </c>
      <c r="I848" s="9">
        <f t="shared" si="78"/>
        <v>625000</v>
      </c>
      <c r="J848" s="8">
        <f t="shared" si="79"/>
        <v>750000</v>
      </c>
      <c r="K848" s="9">
        <f t="shared" si="80"/>
        <v>1000000</v>
      </c>
      <c r="L848" s="10">
        <f t="shared" si="81"/>
        <v>1.773954</v>
      </c>
      <c r="M848" t="str">
        <f t="shared" si="82"/>
        <v>150-200%</v>
      </c>
      <c r="N848" s="9">
        <f>MIN(H848, G848)*INDEX('2018_commission_structure'!$A$1:$I$4,
MATCH($D848, '2018_commission_structure'!$A$1:$A$4,0),
MATCH(N$1, '2018_commission_structure'!$A$1:$I$1,0))</f>
        <v>50000</v>
      </c>
      <c r="O848" s="11">
        <f>IF(G848&gt;H848, MIN(G848-H848, I848-H848)*
INDEX('2018_commission_structure'!$A$1:$I$4,
MATCH($D848, '2018_commission_structure'!$A$1:$A$4, 0),
MATCH(O$1, '2018_commission_structure'!$A$1:$I$1, 0)), 0)</f>
        <v>18750</v>
      </c>
      <c r="P848" s="11">
        <f>IF(G848&gt;H848, MIN(G848-H848, J848-H848)*
INDEX('2018_commission_structure'!$A$1:$I$4,
MATCH($D848, '2018_commission_structure'!$A$1:$A$4, 0),
MATCH(O$1, '2018_commission_structure'!$A$1:$I$1, 0)), 0)</f>
        <v>37500</v>
      </c>
      <c r="Q848" s="11">
        <f>IF(G848&gt;H848, MIN(G848-H848, I848-H848)*
INDEX('2018_commission_structure'!$A$1:$I$4,
MATCH($D848, '2018_commission_structure'!$A$1:$A$4, 0),
MATCH(P$1, '2018_commission_structure'!$A$1:$I$1, 0)), 0)</f>
        <v>22500</v>
      </c>
      <c r="R848" s="11">
        <f>IF(G848&gt;K848, (G848-K848) *
INDEX('2018_commission_structure'!$A$1:$I$4,
MATCH($D848, '2018_commission_structure'!$A$1:$A$4,0),
MATCH(R$1, '2018_commission_structure'!$A$1:$I$1,0)), 0)</f>
        <v>0</v>
      </c>
      <c r="S848" s="11">
        <f t="shared" si="83"/>
        <v>78750</v>
      </c>
      <c r="T848" s="11" cm="1">
        <f t="array" ref="T848">SUM(E848+O848:Q848)</f>
        <v>214305</v>
      </c>
    </row>
    <row r="849" spans="1:20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 xml:space="preserve"> COUNTIF(deals_closed!D:D,A849)</f>
        <v>15</v>
      </c>
      <c r="G849" s="5">
        <f>SUMIF(deals_closed!D:D, calculations!A849, deals_closed!C:C)</f>
        <v>641056</v>
      </c>
      <c r="H849" s="5">
        <f>VLOOKUP(D849,'2018_commission_structure'!$A$2:$I$4,9,FALSE)</f>
        <v>500000</v>
      </c>
      <c r="I849" s="9">
        <f t="shared" si="78"/>
        <v>625000</v>
      </c>
      <c r="J849" s="8">
        <f t="shared" si="79"/>
        <v>750000</v>
      </c>
      <c r="K849" s="9">
        <f t="shared" si="80"/>
        <v>1000000</v>
      </c>
      <c r="L849" s="10">
        <f t="shared" si="81"/>
        <v>1.2821119999999999</v>
      </c>
      <c r="M849" t="str">
        <f t="shared" si="82"/>
        <v>125-150%</v>
      </c>
      <c r="N849" s="9">
        <f>MIN(H849, G849)*INDEX('2018_commission_structure'!$A$1:$I$4,
MATCH($D849, '2018_commission_structure'!$A$1:$A$4,0),
MATCH(N$1, '2018_commission_structure'!$A$1:$I$1,0))</f>
        <v>50000</v>
      </c>
      <c r="O849" s="11">
        <f>IF(G849&gt;H849, MIN(G849-H849, I849-H849)*
INDEX('2018_commission_structure'!$A$1:$I$4,
MATCH($D849, '2018_commission_structure'!$A$1:$A$4, 0),
MATCH(O$1, '2018_commission_structure'!$A$1:$I$1, 0)), 0)</f>
        <v>18750</v>
      </c>
      <c r="P849" s="11">
        <f>IF(G849&gt;H849, MIN(G849-H849, J849-H849)*
INDEX('2018_commission_structure'!$A$1:$I$4,
MATCH($D849, '2018_commission_structure'!$A$1:$A$4, 0),
MATCH(O$1, '2018_commission_structure'!$A$1:$I$1, 0)), 0)</f>
        <v>21158.399999999998</v>
      </c>
      <c r="Q849" s="11">
        <f>IF(G849&gt;H849, MIN(G849-H849, I849-H849)*
INDEX('2018_commission_structure'!$A$1:$I$4,
MATCH($D849, '2018_commission_structure'!$A$1:$A$4, 0),
MATCH(P$1, '2018_commission_structure'!$A$1:$I$1, 0)), 0)</f>
        <v>22500</v>
      </c>
      <c r="R849" s="11">
        <f>IF(G849&gt;K849, (G849-K849) *
INDEX('2018_commission_structure'!$A$1:$I$4,
MATCH($D849, '2018_commission_structure'!$A$1:$A$4,0),
MATCH(R$1, '2018_commission_structure'!$A$1:$I$1,0)), 0)</f>
        <v>0</v>
      </c>
      <c r="S849" s="11">
        <f t="shared" si="83"/>
        <v>62408.399999999994</v>
      </c>
      <c r="T849" s="11" cm="1">
        <f t="array" ref="T849">SUM(E849+O849:Q849)</f>
        <v>181256.4</v>
      </c>
    </row>
    <row r="850" spans="1:20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 xml:space="preserve"> COUNTIF(deals_closed!D:D,A850)</f>
        <v>24</v>
      </c>
      <c r="G850" s="5">
        <f>SUMIF(deals_closed!D:D, calculations!A850, deals_closed!C:C)</f>
        <v>805015</v>
      </c>
      <c r="H850" s="5">
        <f>VLOOKUP(D850,'2018_commission_structure'!$A$2:$I$4,9,FALSE)</f>
        <v>750000</v>
      </c>
      <c r="I850" s="9">
        <f t="shared" si="78"/>
        <v>937500</v>
      </c>
      <c r="J850" s="8">
        <f t="shared" si="79"/>
        <v>1125000</v>
      </c>
      <c r="K850" s="9">
        <f t="shared" si="80"/>
        <v>1500000</v>
      </c>
      <c r="L850" s="10">
        <f t="shared" si="81"/>
        <v>1.0733533333333334</v>
      </c>
      <c r="M850" t="str">
        <f t="shared" si="82"/>
        <v>100-125%</v>
      </c>
      <c r="N850" s="9">
        <f>MIN(H850, G850)*INDEX('2018_commission_structure'!$A$1:$I$4,
MATCH($D850, '2018_commission_structure'!$A$1:$A$4,0),
MATCH(N$1, '2018_commission_structure'!$A$1:$I$1,0))</f>
        <v>112500</v>
      </c>
      <c r="O850" s="11">
        <f>IF(G850&gt;H850, MIN(G850-H850, I850-H850)*
INDEX('2018_commission_structure'!$A$1:$I$4,
MATCH($D850, '2018_commission_structure'!$A$1:$A$4, 0),
MATCH(O$1, '2018_commission_structure'!$A$1:$I$1, 0)), 0)</f>
        <v>10452.85</v>
      </c>
      <c r="P850" s="11">
        <f>IF(G850&gt;H850, MIN(G850-H850, J850-H850)*
INDEX('2018_commission_structure'!$A$1:$I$4,
MATCH($D850, '2018_commission_structure'!$A$1:$A$4, 0),
MATCH(O$1, '2018_commission_structure'!$A$1:$I$1, 0)), 0)</f>
        <v>10452.85</v>
      </c>
      <c r="Q850" s="11">
        <f>IF(G850&gt;H850, MIN(G850-H850, I850-H850)*
INDEX('2018_commission_structure'!$A$1:$I$4,
MATCH($D850, '2018_commission_structure'!$A$1:$A$4, 0),
MATCH(P$1, '2018_commission_structure'!$A$1:$I$1, 0)), 0)</f>
        <v>12653.45</v>
      </c>
      <c r="R850" s="11">
        <f>IF(G850&gt;K850, (G850-K850) *
INDEX('2018_commission_structure'!$A$1:$I$4,
MATCH($D850, '2018_commission_structure'!$A$1:$A$4,0),
MATCH(R$1, '2018_commission_structure'!$A$1:$I$1,0)), 0)</f>
        <v>0</v>
      </c>
      <c r="S850" s="11">
        <f t="shared" si="83"/>
        <v>33559.15</v>
      </c>
      <c r="T850" s="11" cm="1">
        <f t="array" ref="T850">SUM(E850+O850:Q850)</f>
        <v>342403.15</v>
      </c>
    </row>
    <row r="851" spans="1:20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 xml:space="preserve"> COUNTIF(deals_closed!D:D,A851)</f>
        <v>21</v>
      </c>
      <c r="G851" s="5">
        <f>SUMIF(deals_closed!D:D, calculations!A851, deals_closed!C:C)</f>
        <v>639491</v>
      </c>
      <c r="H851" s="5">
        <f>VLOOKUP(D851,'2018_commission_structure'!$A$2:$I$4,9,FALSE)</f>
        <v>500000</v>
      </c>
      <c r="I851" s="9">
        <f t="shared" si="78"/>
        <v>625000</v>
      </c>
      <c r="J851" s="8">
        <f t="shared" si="79"/>
        <v>750000</v>
      </c>
      <c r="K851" s="9">
        <f t="shared" si="80"/>
        <v>1000000</v>
      </c>
      <c r="L851" s="10">
        <f t="shared" si="81"/>
        <v>1.2789820000000001</v>
      </c>
      <c r="M851" t="str">
        <f t="shared" si="82"/>
        <v>125-150%</v>
      </c>
      <c r="N851" s="9">
        <f>MIN(H851, G851)*INDEX('2018_commission_structure'!$A$1:$I$4,
MATCH($D851, '2018_commission_structure'!$A$1:$A$4,0),
MATCH(N$1, '2018_commission_structure'!$A$1:$I$1,0))</f>
        <v>50000</v>
      </c>
      <c r="O851" s="11">
        <f>IF(G851&gt;H851, MIN(G851-H851, I851-H851)*
INDEX('2018_commission_structure'!$A$1:$I$4,
MATCH($D851, '2018_commission_structure'!$A$1:$A$4, 0),
MATCH(O$1, '2018_commission_structure'!$A$1:$I$1, 0)), 0)</f>
        <v>18750</v>
      </c>
      <c r="P851" s="11">
        <f>IF(G851&gt;H851, MIN(G851-H851, J851-H851)*
INDEX('2018_commission_structure'!$A$1:$I$4,
MATCH($D851, '2018_commission_structure'!$A$1:$A$4, 0),
MATCH(O$1, '2018_commission_structure'!$A$1:$I$1, 0)), 0)</f>
        <v>20923.649999999998</v>
      </c>
      <c r="Q851" s="11">
        <f>IF(G851&gt;H851, MIN(G851-H851, I851-H851)*
INDEX('2018_commission_structure'!$A$1:$I$4,
MATCH($D851, '2018_commission_structure'!$A$1:$A$4, 0),
MATCH(P$1, '2018_commission_structure'!$A$1:$I$1, 0)), 0)</f>
        <v>22500</v>
      </c>
      <c r="R851" s="11">
        <f>IF(G851&gt;K851, (G851-K851) *
INDEX('2018_commission_structure'!$A$1:$I$4,
MATCH($D851, '2018_commission_structure'!$A$1:$A$4,0),
MATCH(R$1, '2018_commission_structure'!$A$1:$I$1,0)), 0)</f>
        <v>0</v>
      </c>
      <c r="S851" s="11">
        <f t="shared" si="83"/>
        <v>62173.649999999994</v>
      </c>
      <c r="T851" s="11" cm="1">
        <f t="array" ref="T851">SUM(E851+O851:Q851)</f>
        <v>168010.65</v>
      </c>
    </row>
    <row r="852" spans="1:20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 xml:space="preserve"> COUNTIF(deals_closed!D:D,A852)</f>
        <v>21</v>
      </c>
      <c r="G852" s="5">
        <f>SUMIF(deals_closed!D:D, calculations!A852, deals_closed!C:C)</f>
        <v>831018</v>
      </c>
      <c r="H852" s="5">
        <f>VLOOKUP(D852,'2018_commission_structure'!$A$2:$I$4,9,FALSE)</f>
        <v>500000</v>
      </c>
      <c r="I852" s="9">
        <f t="shared" si="78"/>
        <v>625000</v>
      </c>
      <c r="J852" s="8">
        <f t="shared" si="79"/>
        <v>750000</v>
      </c>
      <c r="K852" s="9">
        <f t="shared" si="80"/>
        <v>1000000</v>
      </c>
      <c r="L852" s="10">
        <f t="shared" si="81"/>
        <v>1.6620360000000001</v>
      </c>
      <c r="M852" t="str">
        <f t="shared" si="82"/>
        <v>150-200%</v>
      </c>
      <c r="N852" s="9">
        <f>MIN(H852, G852)*INDEX('2018_commission_structure'!$A$1:$I$4,
MATCH($D852, '2018_commission_structure'!$A$1:$A$4,0),
MATCH(N$1, '2018_commission_structure'!$A$1:$I$1,0))</f>
        <v>50000</v>
      </c>
      <c r="O852" s="11">
        <f>IF(G852&gt;H852, MIN(G852-H852, I852-H852)*
INDEX('2018_commission_structure'!$A$1:$I$4,
MATCH($D852, '2018_commission_structure'!$A$1:$A$4, 0),
MATCH(O$1, '2018_commission_structure'!$A$1:$I$1, 0)), 0)</f>
        <v>18750</v>
      </c>
      <c r="P852" s="11">
        <f>IF(G852&gt;H852, MIN(G852-H852, J852-H852)*
INDEX('2018_commission_structure'!$A$1:$I$4,
MATCH($D852, '2018_commission_structure'!$A$1:$A$4, 0),
MATCH(O$1, '2018_commission_structure'!$A$1:$I$1, 0)), 0)</f>
        <v>37500</v>
      </c>
      <c r="Q852" s="11">
        <f>IF(G852&gt;H852, MIN(G852-H852, I852-H852)*
INDEX('2018_commission_structure'!$A$1:$I$4,
MATCH($D852, '2018_commission_structure'!$A$1:$A$4, 0),
MATCH(P$1, '2018_commission_structure'!$A$1:$I$1, 0)), 0)</f>
        <v>22500</v>
      </c>
      <c r="R852" s="11">
        <f>IF(G852&gt;K852, (G852-K852) *
INDEX('2018_commission_structure'!$A$1:$I$4,
MATCH($D852, '2018_commission_structure'!$A$1:$A$4,0),
MATCH(R$1, '2018_commission_structure'!$A$1:$I$1,0)), 0)</f>
        <v>0</v>
      </c>
      <c r="S852" s="11">
        <f t="shared" si="83"/>
        <v>78750</v>
      </c>
      <c r="T852" s="11" cm="1">
        <f t="array" ref="T852">SUM(E852+O852:Q852)</f>
        <v>229557</v>
      </c>
    </row>
    <row r="853" spans="1:20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 xml:space="preserve"> COUNTIF(deals_closed!D:D,A853)</f>
        <v>19</v>
      </c>
      <c r="G853" s="5">
        <f>SUMIF(deals_closed!D:D, calculations!A853, deals_closed!C:C)</f>
        <v>652389</v>
      </c>
      <c r="H853" s="5">
        <f>VLOOKUP(D853,'2018_commission_structure'!$A$2:$I$4,9,FALSE)</f>
        <v>500000</v>
      </c>
      <c r="I853" s="9">
        <f t="shared" si="78"/>
        <v>625000</v>
      </c>
      <c r="J853" s="8">
        <f t="shared" si="79"/>
        <v>750000</v>
      </c>
      <c r="K853" s="9">
        <f t="shared" si="80"/>
        <v>1000000</v>
      </c>
      <c r="L853" s="10">
        <f t="shared" si="81"/>
        <v>1.304778</v>
      </c>
      <c r="M853" t="str">
        <f t="shared" si="82"/>
        <v>125-150%</v>
      </c>
      <c r="N853" s="9">
        <f>MIN(H853, G853)*INDEX('2018_commission_structure'!$A$1:$I$4,
MATCH($D853, '2018_commission_structure'!$A$1:$A$4,0),
MATCH(N$1, '2018_commission_structure'!$A$1:$I$1,0))</f>
        <v>50000</v>
      </c>
      <c r="O853" s="11">
        <f>IF(G853&gt;H853, MIN(G853-H853, I853-H853)*
INDEX('2018_commission_structure'!$A$1:$I$4,
MATCH($D853, '2018_commission_structure'!$A$1:$A$4, 0),
MATCH(O$1, '2018_commission_structure'!$A$1:$I$1, 0)), 0)</f>
        <v>18750</v>
      </c>
      <c r="P853" s="11">
        <f>IF(G853&gt;H853, MIN(G853-H853, J853-H853)*
INDEX('2018_commission_structure'!$A$1:$I$4,
MATCH($D853, '2018_commission_structure'!$A$1:$A$4, 0),
MATCH(O$1, '2018_commission_structure'!$A$1:$I$1, 0)), 0)</f>
        <v>22858.35</v>
      </c>
      <c r="Q853" s="11">
        <f>IF(G853&gt;H853, MIN(G853-H853, I853-H853)*
INDEX('2018_commission_structure'!$A$1:$I$4,
MATCH($D853, '2018_commission_structure'!$A$1:$A$4, 0),
MATCH(P$1, '2018_commission_structure'!$A$1:$I$1, 0)), 0)</f>
        <v>22500</v>
      </c>
      <c r="R853" s="11">
        <f>IF(G853&gt;K853, (G853-K853) *
INDEX('2018_commission_structure'!$A$1:$I$4,
MATCH($D853, '2018_commission_structure'!$A$1:$A$4,0),
MATCH(R$1, '2018_commission_structure'!$A$1:$I$1,0)), 0)</f>
        <v>0</v>
      </c>
      <c r="S853" s="11">
        <f t="shared" si="83"/>
        <v>64108.35</v>
      </c>
      <c r="T853" s="11" cm="1">
        <f t="array" ref="T853">SUM(E853+O853:Q853)</f>
        <v>175780.35</v>
      </c>
    </row>
    <row r="854" spans="1:20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 xml:space="preserve"> COUNTIF(deals_closed!D:D,A854)</f>
        <v>18</v>
      </c>
      <c r="G854" s="5">
        <f>SUMIF(deals_closed!D:D, calculations!A854, deals_closed!C:C)</f>
        <v>620204</v>
      </c>
      <c r="H854" s="5">
        <f>VLOOKUP(D854,'2018_commission_structure'!$A$2:$I$4,9,FALSE)</f>
        <v>600000</v>
      </c>
      <c r="I854" s="9">
        <f t="shared" si="78"/>
        <v>750000</v>
      </c>
      <c r="J854" s="8">
        <f t="shared" si="79"/>
        <v>900000</v>
      </c>
      <c r="K854" s="9">
        <f t="shared" si="80"/>
        <v>1200000</v>
      </c>
      <c r="L854" s="10">
        <f t="shared" si="81"/>
        <v>1.0336733333333334</v>
      </c>
      <c r="M854" t="str">
        <f t="shared" si="82"/>
        <v>100-125%</v>
      </c>
      <c r="N854" s="9">
        <f>MIN(H854, G854)*INDEX('2018_commission_structure'!$A$1:$I$4,
MATCH($D854, '2018_commission_structure'!$A$1:$A$4,0),
MATCH(N$1, '2018_commission_structure'!$A$1:$I$1,0))</f>
        <v>78000</v>
      </c>
      <c r="O854" s="11">
        <f>IF(G854&gt;H854, MIN(G854-H854, I854-H854)*
INDEX('2018_commission_structure'!$A$1:$I$4,
MATCH($D854, '2018_commission_structure'!$A$1:$A$4, 0),
MATCH(O$1, '2018_commission_structure'!$A$1:$I$1, 0)), 0)</f>
        <v>3434.6800000000003</v>
      </c>
      <c r="P854" s="11">
        <f>IF(G854&gt;H854, MIN(G854-H854, J854-H854)*
INDEX('2018_commission_structure'!$A$1:$I$4,
MATCH($D854, '2018_commission_structure'!$A$1:$A$4, 0),
MATCH(O$1, '2018_commission_structure'!$A$1:$I$1, 0)), 0)</f>
        <v>3434.6800000000003</v>
      </c>
      <c r="Q854" s="11">
        <f>IF(G854&gt;H854, MIN(G854-H854, I854-H854)*
INDEX('2018_commission_structure'!$A$1:$I$4,
MATCH($D854, '2018_commission_structure'!$A$1:$A$4, 0),
MATCH(P$1, '2018_commission_structure'!$A$1:$I$1, 0)), 0)</f>
        <v>4242.84</v>
      </c>
      <c r="R854" s="11">
        <f>IF(G854&gt;K854, (G854-K854) *
INDEX('2018_commission_structure'!$A$1:$I$4,
MATCH($D854, '2018_commission_structure'!$A$1:$A$4,0),
MATCH(R$1, '2018_commission_structure'!$A$1:$I$1,0)), 0)</f>
        <v>0</v>
      </c>
      <c r="S854" s="11">
        <f t="shared" si="83"/>
        <v>11112.2</v>
      </c>
      <c r="T854" s="11" cm="1">
        <f t="array" ref="T854">SUM(E854+O854:Q854)</f>
        <v>243486.19999999998</v>
      </c>
    </row>
    <row r="855" spans="1:20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 xml:space="preserve"> COUNTIF(deals_closed!D:D,A855)</f>
        <v>18</v>
      </c>
      <c r="G855" s="5">
        <f>SUMIF(deals_closed!D:D, calculations!A855, deals_closed!C:C)</f>
        <v>642239</v>
      </c>
      <c r="H855" s="5">
        <f>VLOOKUP(D855,'2018_commission_structure'!$A$2:$I$4,9,FALSE)</f>
        <v>600000</v>
      </c>
      <c r="I855" s="9">
        <f t="shared" si="78"/>
        <v>750000</v>
      </c>
      <c r="J855" s="8">
        <f t="shared" si="79"/>
        <v>900000</v>
      </c>
      <c r="K855" s="9">
        <f t="shared" si="80"/>
        <v>1200000</v>
      </c>
      <c r="L855" s="10">
        <f t="shared" si="81"/>
        <v>1.0703983333333333</v>
      </c>
      <c r="M855" t="str">
        <f t="shared" si="82"/>
        <v>100-125%</v>
      </c>
      <c r="N855" s="9">
        <f>MIN(H855, G855)*INDEX('2018_commission_structure'!$A$1:$I$4,
MATCH($D855, '2018_commission_structure'!$A$1:$A$4,0),
MATCH(N$1, '2018_commission_structure'!$A$1:$I$1,0))</f>
        <v>78000</v>
      </c>
      <c r="O855" s="11">
        <f>IF(G855&gt;H855, MIN(G855-H855, I855-H855)*
INDEX('2018_commission_structure'!$A$1:$I$4,
MATCH($D855, '2018_commission_structure'!$A$1:$A$4, 0),
MATCH(O$1, '2018_commission_structure'!$A$1:$I$1, 0)), 0)</f>
        <v>7180.63</v>
      </c>
      <c r="P855" s="11">
        <f>IF(G855&gt;H855, MIN(G855-H855, J855-H855)*
INDEX('2018_commission_structure'!$A$1:$I$4,
MATCH($D855, '2018_commission_structure'!$A$1:$A$4, 0),
MATCH(O$1, '2018_commission_structure'!$A$1:$I$1, 0)), 0)</f>
        <v>7180.63</v>
      </c>
      <c r="Q855" s="11">
        <f>IF(G855&gt;H855, MIN(G855-H855, I855-H855)*
INDEX('2018_commission_structure'!$A$1:$I$4,
MATCH($D855, '2018_commission_structure'!$A$1:$A$4, 0),
MATCH(P$1, '2018_commission_structure'!$A$1:$I$1, 0)), 0)</f>
        <v>8870.19</v>
      </c>
      <c r="R855" s="11">
        <f>IF(G855&gt;K855, (G855-K855) *
INDEX('2018_commission_structure'!$A$1:$I$4,
MATCH($D855, '2018_commission_structure'!$A$1:$A$4,0),
MATCH(R$1, '2018_commission_structure'!$A$1:$I$1,0)), 0)</f>
        <v>0</v>
      </c>
      <c r="S855" s="11">
        <f t="shared" si="83"/>
        <v>23231.45</v>
      </c>
      <c r="T855" s="11" cm="1">
        <f t="array" ref="T855">SUM(E855+O855:Q855)</f>
        <v>237749.45</v>
      </c>
    </row>
    <row r="856" spans="1:20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 xml:space="preserve"> COUNTIF(deals_closed!D:D,A856)</f>
        <v>26</v>
      </c>
      <c r="G856" s="5">
        <f>SUMIF(deals_closed!D:D, calculations!A856, deals_closed!C:C)</f>
        <v>937682</v>
      </c>
      <c r="H856" s="5">
        <f>VLOOKUP(D856,'2018_commission_structure'!$A$2:$I$4,9,FALSE)</f>
        <v>500000</v>
      </c>
      <c r="I856" s="9">
        <f t="shared" si="78"/>
        <v>625000</v>
      </c>
      <c r="J856" s="8">
        <f t="shared" si="79"/>
        <v>750000</v>
      </c>
      <c r="K856" s="9">
        <f t="shared" si="80"/>
        <v>1000000</v>
      </c>
      <c r="L856" s="10">
        <f t="shared" si="81"/>
        <v>1.875364</v>
      </c>
      <c r="M856" t="str">
        <f t="shared" si="82"/>
        <v>150-200%</v>
      </c>
      <c r="N856" s="9">
        <f>MIN(H856, G856)*INDEX('2018_commission_structure'!$A$1:$I$4,
MATCH($D856, '2018_commission_structure'!$A$1:$A$4,0),
MATCH(N$1, '2018_commission_structure'!$A$1:$I$1,0))</f>
        <v>50000</v>
      </c>
      <c r="O856" s="11">
        <f>IF(G856&gt;H856, MIN(G856-H856, I856-H856)*
INDEX('2018_commission_structure'!$A$1:$I$4,
MATCH($D856, '2018_commission_structure'!$A$1:$A$4, 0),
MATCH(O$1, '2018_commission_structure'!$A$1:$I$1, 0)), 0)</f>
        <v>18750</v>
      </c>
      <c r="P856" s="11">
        <f>IF(G856&gt;H856, MIN(G856-H856, J856-H856)*
INDEX('2018_commission_structure'!$A$1:$I$4,
MATCH($D856, '2018_commission_structure'!$A$1:$A$4, 0),
MATCH(O$1, '2018_commission_structure'!$A$1:$I$1, 0)), 0)</f>
        <v>37500</v>
      </c>
      <c r="Q856" s="11">
        <f>IF(G856&gt;H856, MIN(G856-H856, I856-H856)*
INDEX('2018_commission_structure'!$A$1:$I$4,
MATCH($D856, '2018_commission_structure'!$A$1:$A$4, 0),
MATCH(P$1, '2018_commission_structure'!$A$1:$I$1, 0)), 0)</f>
        <v>22500</v>
      </c>
      <c r="R856" s="11">
        <f>IF(G856&gt;K856, (G856-K856) *
INDEX('2018_commission_structure'!$A$1:$I$4,
MATCH($D856, '2018_commission_structure'!$A$1:$A$4,0),
MATCH(R$1, '2018_commission_structure'!$A$1:$I$1,0)), 0)</f>
        <v>0</v>
      </c>
      <c r="S856" s="11">
        <f t="shared" si="83"/>
        <v>78750</v>
      </c>
      <c r="T856" s="11" cm="1">
        <f t="array" ref="T856">SUM(E856+O856:Q856)</f>
        <v>202611</v>
      </c>
    </row>
    <row r="857" spans="1:20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 xml:space="preserve"> COUNTIF(deals_closed!D:D,A857)</f>
        <v>24</v>
      </c>
      <c r="G857" s="5">
        <f>SUMIF(deals_closed!D:D, calculations!A857, deals_closed!C:C)</f>
        <v>916522</v>
      </c>
      <c r="H857" s="5">
        <f>VLOOKUP(D857,'2018_commission_structure'!$A$2:$I$4,9,FALSE)</f>
        <v>750000</v>
      </c>
      <c r="I857" s="9">
        <f t="shared" si="78"/>
        <v>937500</v>
      </c>
      <c r="J857" s="8">
        <f t="shared" si="79"/>
        <v>1125000</v>
      </c>
      <c r="K857" s="9">
        <f t="shared" si="80"/>
        <v>1500000</v>
      </c>
      <c r="L857" s="10">
        <f t="shared" si="81"/>
        <v>1.2220293333333334</v>
      </c>
      <c r="M857" t="str">
        <f t="shared" si="82"/>
        <v>100-125%</v>
      </c>
      <c r="N857" s="9">
        <f>MIN(H857, G857)*INDEX('2018_commission_structure'!$A$1:$I$4,
MATCH($D857, '2018_commission_structure'!$A$1:$A$4,0),
MATCH(N$1, '2018_commission_structure'!$A$1:$I$1,0))</f>
        <v>112500</v>
      </c>
      <c r="O857" s="11">
        <f>IF(G857&gt;H857, MIN(G857-H857, I857-H857)*
INDEX('2018_commission_structure'!$A$1:$I$4,
MATCH($D857, '2018_commission_structure'!$A$1:$A$4, 0),
MATCH(O$1, '2018_commission_structure'!$A$1:$I$1, 0)), 0)</f>
        <v>31639.18</v>
      </c>
      <c r="P857" s="11">
        <f>IF(G857&gt;H857, MIN(G857-H857, J857-H857)*
INDEX('2018_commission_structure'!$A$1:$I$4,
MATCH($D857, '2018_commission_structure'!$A$1:$A$4, 0),
MATCH(O$1, '2018_commission_structure'!$A$1:$I$1, 0)), 0)</f>
        <v>31639.18</v>
      </c>
      <c r="Q857" s="11">
        <f>IF(G857&gt;H857, MIN(G857-H857, I857-H857)*
INDEX('2018_commission_structure'!$A$1:$I$4,
MATCH($D857, '2018_commission_structure'!$A$1:$A$4, 0),
MATCH(P$1, '2018_commission_structure'!$A$1:$I$1, 0)), 0)</f>
        <v>38300.060000000005</v>
      </c>
      <c r="R857" s="11">
        <f>IF(G857&gt;K857, (G857-K857) *
INDEX('2018_commission_structure'!$A$1:$I$4,
MATCH($D857, '2018_commission_structure'!$A$1:$A$4,0),
MATCH(R$1, '2018_commission_structure'!$A$1:$I$1,0)), 0)</f>
        <v>0</v>
      </c>
      <c r="S857" s="11">
        <f t="shared" si="83"/>
        <v>101578.42000000001</v>
      </c>
      <c r="T857" s="11" cm="1">
        <f t="array" ref="T857">SUM(E857+O857:Q857)</f>
        <v>359620.42</v>
      </c>
    </row>
    <row r="858" spans="1:20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 xml:space="preserve"> COUNTIF(deals_closed!D:D,A858)</f>
        <v>22</v>
      </c>
      <c r="G858" s="5">
        <f>SUMIF(deals_closed!D:D, calculations!A858, deals_closed!C:C)</f>
        <v>651320</v>
      </c>
      <c r="H858" s="5">
        <f>VLOOKUP(D858,'2018_commission_structure'!$A$2:$I$4,9,FALSE)</f>
        <v>500000</v>
      </c>
      <c r="I858" s="9">
        <f t="shared" si="78"/>
        <v>625000</v>
      </c>
      <c r="J858" s="8">
        <f t="shared" si="79"/>
        <v>750000</v>
      </c>
      <c r="K858" s="9">
        <f t="shared" si="80"/>
        <v>1000000</v>
      </c>
      <c r="L858" s="10">
        <f t="shared" si="81"/>
        <v>1.30264</v>
      </c>
      <c r="M858" t="str">
        <f t="shared" si="82"/>
        <v>125-150%</v>
      </c>
      <c r="N858" s="9">
        <f>MIN(H858, G858)*INDEX('2018_commission_structure'!$A$1:$I$4,
MATCH($D858, '2018_commission_structure'!$A$1:$A$4,0),
MATCH(N$1, '2018_commission_structure'!$A$1:$I$1,0))</f>
        <v>50000</v>
      </c>
      <c r="O858" s="11">
        <f>IF(G858&gt;H858, MIN(G858-H858, I858-H858)*
INDEX('2018_commission_structure'!$A$1:$I$4,
MATCH($D858, '2018_commission_structure'!$A$1:$A$4, 0),
MATCH(O$1, '2018_commission_structure'!$A$1:$I$1, 0)), 0)</f>
        <v>18750</v>
      </c>
      <c r="P858" s="11">
        <f>IF(G858&gt;H858, MIN(G858-H858, J858-H858)*
INDEX('2018_commission_structure'!$A$1:$I$4,
MATCH($D858, '2018_commission_structure'!$A$1:$A$4, 0),
MATCH(O$1, '2018_commission_structure'!$A$1:$I$1, 0)), 0)</f>
        <v>22698</v>
      </c>
      <c r="Q858" s="11">
        <f>IF(G858&gt;H858, MIN(G858-H858, I858-H858)*
INDEX('2018_commission_structure'!$A$1:$I$4,
MATCH($D858, '2018_commission_structure'!$A$1:$A$4, 0),
MATCH(P$1, '2018_commission_structure'!$A$1:$I$1, 0)), 0)</f>
        <v>22500</v>
      </c>
      <c r="R858" s="11">
        <f>IF(G858&gt;K858, (G858-K858) *
INDEX('2018_commission_structure'!$A$1:$I$4,
MATCH($D858, '2018_commission_structure'!$A$1:$A$4,0),
MATCH(R$1, '2018_commission_structure'!$A$1:$I$1,0)), 0)</f>
        <v>0</v>
      </c>
      <c r="S858" s="11">
        <f t="shared" si="83"/>
        <v>63948</v>
      </c>
      <c r="T858" s="11" cm="1">
        <f t="array" ref="T858">SUM(E858+O858:Q858)</f>
        <v>176364</v>
      </c>
    </row>
    <row r="859" spans="1:20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 xml:space="preserve"> COUNTIF(deals_closed!D:D,A859)</f>
        <v>17</v>
      </c>
      <c r="G859" s="5">
        <f>SUMIF(deals_closed!D:D, calculations!A859, deals_closed!C:C)</f>
        <v>650996</v>
      </c>
      <c r="H859" s="5">
        <f>VLOOKUP(D859,'2018_commission_structure'!$A$2:$I$4,9,FALSE)</f>
        <v>500000</v>
      </c>
      <c r="I859" s="9">
        <f t="shared" si="78"/>
        <v>625000</v>
      </c>
      <c r="J859" s="8">
        <f t="shared" si="79"/>
        <v>750000</v>
      </c>
      <c r="K859" s="9">
        <f t="shared" si="80"/>
        <v>1000000</v>
      </c>
      <c r="L859" s="10">
        <f t="shared" si="81"/>
        <v>1.301992</v>
      </c>
      <c r="M859" t="str">
        <f t="shared" si="82"/>
        <v>125-150%</v>
      </c>
      <c r="N859" s="9">
        <f>MIN(H859, G859)*INDEX('2018_commission_structure'!$A$1:$I$4,
MATCH($D859, '2018_commission_structure'!$A$1:$A$4,0),
MATCH(N$1, '2018_commission_structure'!$A$1:$I$1,0))</f>
        <v>50000</v>
      </c>
      <c r="O859" s="11">
        <f>IF(G859&gt;H859, MIN(G859-H859, I859-H859)*
INDEX('2018_commission_structure'!$A$1:$I$4,
MATCH($D859, '2018_commission_structure'!$A$1:$A$4, 0),
MATCH(O$1, '2018_commission_structure'!$A$1:$I$1, 0)), 0)</f>
        <v>18750</v>
      </c>
      <c r="P859" s="11">
        <f>IF(G859&gt;H859, MIN(G859-H859, J859-H859)*
INDEX('2018_commission_structure'!$A$1:$I$4,
MATCH($D859, '2018_commission_structure'!$A$1:$A$4, 0),
MATCH(O$1, '2018_commission_structure'!$A$1:$I$1, 0)), 0)</f>
        <v>22649.399999999998</v>
      </c>
      <c r="Q859" s="11">
        <f>IF(G859&gt;H859, MIN(G859-H859, I859-H859)*
INDEX('2018_commission_structure'!$A$1:$I$4,
MATCH($D859, '2018_commission_structure'!$A$1:$A$4, 0),
MATCH(P$1, '2018_commission_structure'!$A$1:$I$1, 0)), 0)</f>
        <v>22500</v>
      </c>
      <c r="R859" s="11">
        <f>IF(G859&gt;K859, (G859-K859) *
INDEX('2018_commission_structure'!$A$1:$I$4,
MATCH($D859, '2018_commission_structure'!$A$1:$A$4,0),
MATCH(R$1, '2018_commission_structure'!$A$1:$I$1,0)), 0)</f>
        <v>0</v>
      </c>
      <c r="S859" s="11">
        <f t="shared" si="83"/>
        <v>63899.399999999994</v>
      </c>
      <c r="T859" s="11" cm="1">
        <f t="array" ref="T859">SUM(E859+O859:Q859)</f>
        <v>171962.4</v>
      </c>
    </row>
    <row r="860" spans="1:20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 xml:space="preserve"> COUNTIF(deals_closed!D:D,A860)</f>
        <v>19</v>
      </c>
      <c r="G860" s="5">
        <f>SUMIF(deals_closed!D:D, calculations!A860, deals_closed!C:C)</f>
        <v>737953</v>
      </c>
      <c r="H860" s="5">
        <f>VLOOKUP(D860,'2018_commission_structure'!$A$2:$I$4,9,FALSE)</f>
        <v>600000</v>
      </c>
      <c r="I860" s="9">
        <f t="shared" si="78"/>
        <v>750000</v>
      </c>
      <c r="J860" s="8">
        <f t="shared" si="79"/>
        <v>900000</v>
      </c>
      <c r="K860" s="9">
        <f t="shared" si="80"/>
        <v>1200000</v>
      </c>
      <c r="L860" s="10">
        <f t="shared" si="81"/>
        <v>1.2299216666666666</v>
      </c>
      <c r="M860" t="str">
        <f t="shared" si="82"/>
        <v>100-125%</v>
      </c>
      <c r="N860" s="9">
        <f>MIN(H860, G860)*INDEX('2018_commission_structure'!$A$1:$I$4,
MATCH($D860, '2018_commission_structure'!$A$1:$A$4,0),
MATCH(N$1, '2018_commission_structure'!$A$1:$I$1,0))</f>
        <v>78000</v>
      </c>
      <c r="O860" s="11">
        <f>IF(G860&gt;H860, MIN(G860-H860, I860-H860)*
INDEX('2018_commission_structure'!$A$1:$I$4,
MATCH($D860, '2018_commission_structure'!$A$1:$A$4, 0),
MATCH(O$1, '2018_commission_structure'!$A$1:$I$1, 0)), 0)</f>
        <v>23452.010000000002</v>
      </c>
      <c r="P860" s="11">
        <f>IF(G860&gt;H860, MIN(G860-H860, J860-H860)*
INDEX('2018_commission_structure'!$A$1:$I$4,
MATCH($D860, '2018_commission_structure'!$A$1:$A$4, 0),
MATCH(O$1, '2018_commission_structure'!$A$1:$I$1, 0)), 0)</f>
        <v>23452.010000000002</v>
      </c>
      <c r="Q860" s="11">
        <f>IF(G860&gt;H860, MIN(G860-H860, I860-H860)*
INDEX('2018_commission_structure'!$A$1:$I$4,
MATCH($D860, '2018_commission_structure'!$A$1:$A$4, 0),
MATCH(P$1, '2018_commission_structure'!$A$1:$I$1, 0)), 0)</f>
        <v>28970.129999999997</v>
      </c>
      <c r="R860" s="11">
        <f>IF(G860&gt;K860, (G860-K860) *
INDEX('2018_commission_structure'!$A$1:$I$4,
MATCH($D860, '2018_commission_structure'!$A$1:$A$4,0),
MATCH(R$1, '2018_commission_structure'!$A$1:$I$1,0)), 0)</f>
        <v>0</v>
      </c>
      <c r="S860" s="11">
        <f t="shared" si="83"/>
        <v>75874.149999999994</v>
      </c>
      <c r="T860" s="11" cm="1">
        <f t="array" ref="T860">SUM(E860+O860:Q860)</f>
        <v>289234.15000000002</v>
      </c>
    </row>
    <row r="861" spans="1:20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 xml:space="preserve"> COUNTIF(deals_closed!D:D,A861)</f>
        <v>20</v>
      </c>
      <c r="G861" s="5">
        <f>SUMIF(deals_closed!D:D, calculations!A861, deals_closed!C:C)</f>
        <v>724029</v>
      </c>
      <c r="H861" s="5">
        <f>VLOOKUP(D861,'2018_commission_structure'!$A$2:$I$4,9,FALSE)</f>
        <v>500000</v>
      </c>
      <c r="I861" s="9">
        <f t="shared" si="78"/>
        <v>625000</v>
      </c>
      <c r="J861" s="8">
        <f t="shared" si="79"/>
        <v>750000</v>
      </c>
      <c r="K861" s="9">
        <f t="shared" si="80"/>
        <v>1000000</v>
      </c>
      <c r="L861" s="10">
        <f t="shared" si="81"/>
        <v>1.4480580000000001</v>
      </c>
      <c r="M861" t="str">
        <f t="shared" si="82"/>
        <v>125-150%</v>
      </c>
      <c r="N861" s="9">
        <f>MIN(H861, G861)*INDEX('2018_commission_structure'!$A$1:$I$4,
MATCH($D861, '2018_commission_structure'!$A$1:$A$4,0),
MATCH(N$1, '2018_commission_structure'!$A$1:$I$1,0))</f>
        <v>50000</v>
      </c>
      <c r="O861" s="11">
        <f>IF(G861&gt;H861, MIN(G861-H861, I861-H861)*
INDEX('2018_commission_structure'!$A$1:$I$4,
MATCH($D861, '2018_commission_structure'!$A$1:$A$4, 0),
MATCH(O$1, '2018_commission_structure'!$A$1:$I$1, 0)), 0)</f>
        <v>18750</v>
      </c>
      <c r="P861" s="11">
        <f>IF(G861&gt;H861, MIN(G861-H861, J861-H861)*
INDEX('2018_commission_structure'!$A$1:$I$4,
MATCH($D861, '2018_commission_structure'!$A$1:$A$4, 0),
MATCH(O$1, '2018_commission_structure'!$A$1:$I$1, 0)), 0)</f>
        <v>33604.35</v>
      </c>
      <c r="Q861" s="11">
        <f>IF(G861&gt;H861, MIN(G861-H861, I861-H861)*
INDEX('2018_commission_structure'!$A$1:$I$4,
MATCH($D861, '2018_commission_structure'!$A$1:$A$4, 0),
MATCH(P$1, '2018_commission_structure'!$A$1:$I$1, 0)), 0)</f>
        <v>22500</v>
      </c>
      <c r="R861" s="11">
        <f>IF(G861&gt;K861, (G861-K861) *
INDEX('2018_commission_structure'!$A$1:$I$4,
MATCH($D861, '2018_commission_structure'!$A$1:$A$4,0),
MATCH(R$1, '2018_commission_structure'!$A$1:$I$1,0)), 0)</f>
        <v>0</v>
      </c>
      <c r="S861" s="11">
        <f t="shared" si="83"/>
        <v>74854.350000000006</v>
      </c>
      <c r="T861" s="11" cm="1">
        <f t="array" ref="T861">SUM(E861+O861:Q861)</f>
        <v>221176.35</v>
      </c>
    </row>
    <row r="862" spans="1:20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 xml:space="preserve"> COUNTIF(deals_closed!D:D,A862)</f>
        <v>23</v>
      </c>
      <c r="G862" s="5">
        <f>SUMIF(deals_closed!D:D, calculations!A862, deals_closed!C:C)</f>
        <v>893432</v>
      </c>
      <c r="H862" s="5">
        <f>VLOOKUP(D862,'2018_commission_structure'!$A$2:$I$4,9,FALSE)</f>
        <v>750000</v>
      </c>
      <c r="I862" s="9">
        <f t="shared" si="78"/>
        <v>937500</v>
      </c>
      <c r="J862" s="8">
        <f t="shared" si="79"/>
        <v>1125000</v>
      </c>
      <c r="K862" s="9">
        <f t="shared" si="80"/>
        <v>1500000</v>
      </c>
      <c r="L862" s="10">
        <f t="shared" si="81"/>
        <v>1.1912426666666667</v>
      </c>
      <c r="M862" t="str">
        <f t="shared" si="82"/>
        <v>100-125%</v>
      </c>
      <c r="N862" s="9">
        <f>MIN(H862, G862)*INDEX('2018_commission_structure'!$A$1:$I$4,
MATCH($D862, '2018_commission_structure'!$A$1:$A$4,0),
MATCH(N$1, '2018_commission_structure'!$A$1:$I$1,0))</f>
        <v>112500</v>
      </c>
      <c r="O862" s="11">
        <f>IF(G862&gt;H862, MIN(G862-H862, I862-H862)*
INDEX('2018_commission_structure'!$A$1:$I$4,
MATCH($D862, '2018_commission_structure'!$A$1:$A$4, 0),
MATCH(O$1, '2018_commission_structure'!$A$1:$I$1, 0)), 0)</f>
        <v>27252.080000000002</v>
      </c>
      <c r="P862" s="11">
        <f>IF(G862&gt;H862, MIN(G862-H862, J862-H862)*
INDEX('2018_commission_structure'!$A$1:$I$4,
MATCH($D862, '2018_commission_structure'!$A$1:$A$4, 0),
MATCH(O$1, '2018_commission_structure'!$A$1:$I$1, 0)), 0)</f>
        <v>27252.080000000002</v>
      </c>
      <c r="Q862" s="11">
        <f>IF(G862&gt;H862, MIN(G862-H862, I862-H862)*
INDEX('2018_commission_structure'!$A$1:$I$4,
MATCH($D862, '2018_commission_structure'!$A$1:$A$4, 0),
MATCH(P$1, '2018_commission_structure'!$A$1:$I$1, 0)), 0)</f>
        <v>32989.360000000001</v>
      </c>
      <c r="R862" s="11">
        <f>IF(G862&gt;K862, (G862-K862) *
INDEX('2018_commission_structure'!$A$1:$I$4,
MATCH($D862, '2018_commission_structure'!$A$1:$A$4,0),
MATCH(R$1, '2018_commission_structure'!$A$1:$I$1,0)), 0)</f>
        <v>0</v>
      </c>
      <c r="S862" s="11">
        <f t="shared" si="83"/>
        <v>87493.52</v>
      </c>
      <c r="T862" s="11" cm="1">
        <f t="array" ref="T862">SUM(E862+O862:Q862)</f>
        <v>438598.52</v>
      </c>
    </row>
    <row r="863" spans="1:20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 xml:space="preserve"> COUNTIF(deals_closed!D:D,A863)</f>
        <v>28</v>
      </c>
      <c r="G863" s="5">
        <f>SUMIF(deals_closed!D:D, calculations!A863, deals_closed!C:C)</f>
        <v>930106</v>
      </c>
      <c r="H863" s="5">
        <f>VLOOKUP(D863,'2018_commission_structure'!$A$2:$I$4,9,FALSE)</f>
        <v>750000</v>
      </c>
      <c r="I863" s="9">
        <f t="shared" si="78"/>
        <v>937500</v>
      </c>
      <c r="J863" s="8">
        <f t="shared" si="79"/>
        <v>1125000</v>
      </c>
      <c r="K863" s="9">
        <f t="shared" si="80"/>
        <v>1500000</v>
      </c>
      <c r="L863" s="10">
        <f t="shared" si="81"/>
        <v>1.2401413333333333</v>
      </c>
      <c r="M863" t="str">
        <f t="shared" si="82"/>
        <v>100-125%</v>
      </c>
      <c r="N863" s="9">
        <f>MIN(H863, G863)*INDEX('2018_commission_structure'!$A$1:$I$4,
MATCH($D863, '2018_commission_structure'!$A$1:$A$4,0),
MATCH(N$1, '2018_commission_structure'!$A$1:$I$1,0))</f>
        <v>112500</v>
      </c>
      <c r="O863" s="11">
        <f>IF(G863&gt;H863, MIN(G863-H863, I863-H863)*
INDEX('2018_commission_structure'!$A$1:$I$4,
MATCH($D863, '2018_commission_structure'!$A$1:$A$4, 0),
MATCH(O$1, '2018_commission_structure'!$A$1:$I$1, 0)), 0)</f>
        <v>34220.14</v>
      </c>
      <c r="P863" s="11">
        <f>IF(G863&gt;H863, MIN(G863-H863, J863-H863)*
INDEX('2018_commission_structure'!$A$1:$I$4,
MATCH($D863, '2018_commission_structure'!$A$1:$A$4, 0),
MATCH(O$1, '2018_commission_structure'!$A$1:$I$1, 0)), 0)</f>
        <v>34220.14</v>
      </c>
      <c r="Q863" s="11">
        <f>IF(G863&gt;H863, MIN(G863-H863, I863-H863)*
INDEX('2018_commission_structure'!$A$1:$I$4,
MATCH($D863, '2018_commission_structure'!$A$1:$A$4, 0),
MATCH(P$1, '2018_commission_structure'!$A$1:$I$1, 0)), 0)</f>
        <v>41424.380000000005</v>
      </c>
      <c r="R863" s="11">
        <f>IF(G863&gt;K863, (G863-K863) *
INDEX('2018_commission_structure'!$A$1:$I$4,
MATCH($D863, '2018_commission_structure'!$A$1:$A$4,0),
MATCH(R$1, '2018_commission_structure'!$A$1:$I$1,0)), 0)</f>
        <v>0</v>
      </c>
      <c r="S863" s="11">
        <f t="shared" si="83"/>
        <v>109864.66</v>
      </c>
      <c r="T863" s="11" cm="1">
        <f t="array" ref="T863">SUM(E863+O863:Q863)</f>
        <v>448528.66000000003</v>
      </c>
    </row>
    <row r="864" spans="1:20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 xml:space="preserve"> COUNTIF(deals_closed!D:D,A864)</f>
        <v>18</v>
      </c>
      <c r="G864" s="5">
        <f>SUMIF(deals_closed!D:D, calculations!A864, deals_closed!C:C)</f>
        <v>688820</v>
      </c>
      <c r="H864" s="5">
        <f>VLOOKUP(D864,'2018_commission_structure'!$A$2:$I$4,9,FALSE)</f>
        <v>750000</v>
      </c>
      <c r="I864" s="9">
        <f t="shared" si="78"/>
        <v>937500</v>
      </c>
      <c r="J864" s="8">
        <f t="shared" si="79"/>
        <v>1125000</v>
      </c>
      <c r="K864" s="9">
        <f t="shared" si="80"/>
        <v>1500000</v>
      </c>
      <c r="L864" s="10">
        <f t="shared" si="81"/>
        <v>0.91842666666666661</v>
      </c>
      <c r="M864" t="str">
        <f t="shared" si="82"/>
        <v>0-100%</v>
      </c>
      <c r="N864" s="9">
        <f>MIN(H864, G864)*INDEX('2018_commission_structure'!$A$1:$I$4,
MATCH($D864, '2018_commission_structure'!$A$1:$A$4,0),
MATCH(N$1, '2018_commission_structure'!$A$1:$I$1,0))</f>
        <v>103323</v>
      </c>
      <c r="O864" s="11">
        <f>IF(G864&gt;H864, MIN(G864-H864, I864-H864)*
INDEX('2018_commission_structure'!$A$1:$I$4,
MATCH($D864, '2018_commission_structure'!$A$1:$A$4, 0),
MATCH(O$1, '2018_commission_structure'!$A$1:$I$1, 0)), 0)</f>
        <v>0</v>
      </c>
      <c r="P864" s="11">
        <f>IF(G864&gt;H864, MIN(G864-H864, J864-H864)*
INDEX('2018_commission_structure'!$A$1:$I$4,
MATCH($D864, '2018_commission_structure'!$A$1:$A$4, 0),
MATCH(O$1, '2018_commission_structure'!$A$1:$I$1, 0)), 0)</f>
        <v>0</v>
      </c>
      <c r="Q864" s="11">
        <f>IF(G864&gt;H864, MIN(G864-H864, I864-H864)*
INDEX('2018_commission_structure'!$A$1:$I$4,
MATCH($D864, '2018_commission_structure'!$A$1:$A$4, 0),
MATCH(P$1, '2018_commission_structure'!$A$1:$I$1, 0)), 0)</f>
        <v>0</v>
      </c>
      <c r="R864" s="11">
        <f>IF(G864&gt;K864, (G864-K864) *
INDEX('2018_commission_structure'!$A$1:$I$4,
MATCH($D864, '2018_commission_structure'!$A$1:$A$4,0),
MATCH(R$1, '2018_commission_structure'!$A$1:$I$1,0)), 0)</f>
        <v>0</v>
      </c>
      <c r="S864" s="11">
        <f t="shared" si="83"/>
        <v>0</v>
      </c>
      <c r="T864" s="11" cm="1">
        <f t="array" ref="T864">SUM(E864+O864:Q864)</f>
        <v>314706</v>
      </c>
    </row>
    <row r="865" spans="1:20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 xml:space="preserve"> COUNTIF(deals_closed!D:D,A865)</f>
        <v>20</v>
      </c>
      <c r="G865" s="5">
        <f>SUMIF(deals_closed!D:D, calculations!A865, deals_closed!C:C)</f>
        <v>653912</v>
      </c>
      <c r="H865" s="5">
        <f>VLOOKUP(D865,'2018_commission_structure'!$A$2:$I$4,9,FALSE)</f>
        <v>750000</v>
      </c>
      <c r="I865" s="9">
        <f t="shared" si="78"/>
        <v>937500</v>
      </c>
      <c r="J865" s="8">
        <f t="shared" si="79"/>
        <v>1125000</v>
      </c>
      <c r="K865" s="9">
        <f t="shared" si="80"/>
        <v>1500000</v>
      </c>
      <c r="L865" s="10">
        <f t="shared" si="81"/>
        <v>0.87188266666666669</v>
      </c>
      <c r="M865" t="str">
        <f t="shared" si="82"/>
        <v>0-100%</v>
      </c>
      <c r="N865" s="9">
        <f>MIN(H865, G865)*INDEX('2018_commission_structure'!$A$1:$I$4,
MATCH($D865, '2018_commission_structure'!$A$1:$A$4,0),
MATCH(N$1, '2018_commission_structure'!$A$1:$I$1,0))</f>
        <v>98086.8</v>
      </c>
      <c r="O865" s="11">
        <f>IF(G865&gt;H865, MIN(G865-H865, I865-H865)*
INDEX('2018_commission_structure'!$A$1:$I$4,
MATCH($D865, '2018_commission_structure'!$A$1:$A$4, 0),
MATCH(O$1, '2018_commission_structure'!$A$1:$I$1, 0)), 0)</f>
        <v>0</v>
      </c>
      <c r="P865" s="11">
        <f>IF(G865&gt;H865, MIN(G865-H865, J865-H865)*
INDEX('2018_commission_structure'!$A$1:$I$4,
MATCH($D865, '2018_commission_structure'!$A$1:$A$4, 0),
MATCH(O$1, '2018_commission_structure'!$A$1:$I$1, 0)), 0)</f>
        <v>0</v>
      </c>
      <c r="Q865" s="11">
        <f>IF(G865&gt;H865, MIN(G865-H865, I865-H865)*
INDEX('2018_commission_structure'!$A$1:$I$4,
MATCH($D865, '2018_commission_structure'!$A$1:$A$4, 0),
MATCH(P$1, '2018_commission_structure'!$A$1:$I$1, 0)), 0)</f>
        <v>0</v>
      </c>
      <c r="R865" s="11">
        <f>IF(G865&gt;K865, (G865-K865) *
INDEX('2018_commission_structure'!$A$1:$I$4,
MATCH($D865, '2018_commission_structure'!$A$1:$A$4,0),
MATCH(R$1, '2018_commission_structure'!$A$1:$I$1,0)), 0)</f>
        <v>0</v>
      </c>
      <c r="S865" s="11">
        <f t="shared" si="83"/>
        <v>0</v>
      </c>
      <c r="T865" s="11" cm="1">
        <f t="array" ref="T865">SUM(E865+O865:Q865)</f>
        <v>303705</v>
      </c>
    </row>
    <row r="866" spans="1:20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 xml:space="preserve"> COUNTIF(deals_closed!D:D,A866)</f>
        <v>22</v>
      </c>
      <c r="G866" s="5">
        <f>SUMIF(deals_closed!D:D, calculations!A866, deals_closed!C:C)</f>
        <v>814665</v>
      </c>
      <c r="H866" s="5">
        <f>VLOOKUP(D866,'2018_commission_structure'!$A$2:$I$4,9,FALSE)</f>
        <v>500000</v>
      </c>
      <c r="I866" s="9">
        <f t="shared" si="78"/>
        <v>625000</v>
      </c>
      <c r="J866" s="8">
        <f t="shared" si="79"/>
        <v>750000</v>
      </c>
      <c r="K866" s="9">
        <f t="shared" si="80"/>
        <v>1000000</v>
      </c>
      <c r="L866" s="10">
        <f t="shared" si="81"/>
        <v>1.6293299999999999</v>
      </c>
      <c r="M866" t="str">
        <f t="shared" si="82"/>
        <v>150-200%</v>
      </c>
      <c r="N866" s="9">
        <f>MIN(H866, G866)*INDEX('2018_commission_structure'!$A$1:$I$4,
MATCH($D866, '2018_commission_structure'!$A$1:$A$4,0),
MATCH(N$1, '2018_commission_structure'!$A$1:$I$1,0))</f>
        <v>50000</v>
      </c>
      <c r="O866" s="11">
        <f>IF(G866&gt;H866, MIN(G866-H866, I866-H866)*
INDEX('2018_commission_structure'!$A$1:$I$4,
MATCH($D866, '2018_commission_structure'!$A$1:$A$4, 0),
MATCH(O$1, '2018_commission_structure'!$A$1:$I$1, 0)), 0)</f>
        <v>18750</v>
      </c>
      <c r="P866" s="11">
        <f>IF(G866&gt;H866, MIN(G866-H866, J866-H866)*
INDEX('2018_commission_structure'!$A$1:$I$4,
MATCH($D866, '2018_commission_structure'!$A$1:$A$4, 0),
MATCH(O$1, '2018_commission_structure'!$A$1:$I$1, 0)), 0)</f>
        <v>37500</v>
      </c>
      <c r="Q866" s="11">
        <f>IF(G866&gt;H866, MIN(G866-H866, I866-H866)*
INDEX('2018_commission_structure'!$A$1:$I$4,
MATCH($D866, '2018_commission_structure'!$A$1:$A$4, 0),
MATCH(P$1, '2018_commission_structure'!$A$1:$I$1, 0)), 0)</f>
        <v>22500</v>
      </c>
      <c r="R866" s="11">
        <f>IF(G866&gt;K866, (G866-K866) *
INDEX('2018_commission_structure'!$A$1:$I$4,
MATCH($D866, '2018_commission_structure'!$A$1:$A$4,0),
MATCH(R$1, '2018_commission_structure'!$A$1:$I$1,0)), 0)</f>
        <v>0</v>
      </c>
      <c r="S866" s="11">
        <f t="shared" si="83"/>
        <v>78750</v>
      </c>
      <c r="T866" s="11" cm="1">
        <f t="array" ref="T866">SUM(E866+O866:Q866)</f>
        <v>225537</v>
      </c>
    </row>
    <row r="867" spans="1:20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 xml:space="preserve"> COUNTIF(deals_closed!D:D,A867)</f>
        <v>19</v>
      </c>
      <c r="G867" s="5">
        <f>SUMIF(deals_closed!D:D, calculations!A867, deals_closed!C:C)</f>
        <v>691420</v>
      </c>
      <c r="H867" s="5">
        <f>VLOOKUP(D867,'2018_commission_structure'!$A$2:$I$4,9,FALSE)</f>
        <v>750000</v>
      </c>
      <c r="I867" s="9">
        <f t="shared" si="78"/>
        <v>937500</v>
      </c>
      <c r="J867" s="8">
        <f t="shared" si="79"/>
        <v>1125000</v>
      </c>
      <c r="K867" s="9">
        <f t="shared" si="80"/>
        <v>1500000</v>
      </c>
      <c r="L867" s="10">
        <f t="shared" si="81"/>
        <v>0.92189333333333334</v>
      </c>
      <c r="M867" t="str">
        <f t="shared" si="82"/>
        <v>0-100%</v>
      </c>
      <c r="N867" s="9">
        <f>MIN(H867, G867)*INDEX('2018_commission_structure'!$A$1:$I$4,
MATCH($D867, '2018_commission_structure'!$A$1:$A$4,0),
MATCH(N$1, '2018_commission_structure'!$A$1:$I$1,0))</f>
        <v>103713</v>
      </c>
      <c r="O867" s="11">
        <f>IF(G867&gt;H867, MIN(G867-H867, I867-H867)*
INDEX('2018_commission_structure'!$A$1:$I$4,
MATCH($D867, '2018_commission_structure'!$A$1:$A$4, 0),
MATCH(O$1, '2018_commission_structure'!$A$1:$I$1, 0)), 0)</f>
        <v>0</v>
      </c>
      <c r="P867" s="11">
        <f>IF(G867&gt;H867, MIN(G867-H867, J867-H867)*
INDEX('2018_commission_structure'!$A$1:$I$4,
MATCH($D867, '2018_commission_structure'!$A$1:$A$4, 0),
MATCH(O$1, '2018_commission_structure'!$A$1:$I$1, 0)), 0)</f>
        <v>0</v>
      </c>
      <c r="Q867" s="11">
        <f>IF(G867&gt;H867, MIN(G867-H867, I867-H867)*
INDEX('2018_commission_structure'!$A$1:$I$4,
MATCH($D867, '2018_commission_structure'!$A$1:$A$4, 0),
MATCH(P$1, '2018_commission_structure'!$A$1:$I$1, 0)), 0)</f>
        <v>0</v>
      </c>
      <c r="R867" s="11">
        <f>IF(G867&gt;K867, (G867-K867) *
INDEX('2018_commission_structure'!$A$1:$I$4,
MATCH($D867, '2018_commission_structure'!$A$1:$A$4,0),
MATCH(R$1, '2018_commission_structure'!$A$1:$I$1,0)), 0)</f>
        <v>0</v>
      </c>
      <c r="S867" s="11">
        <f t="shared" si="83"/>
        <v>0</v>
      </c>
      <c r="T867" s="11" cm="1">
        <f t="array" ref="T867">SUM(E867+O867:Q867)</f>
        <v>225171</v>
      </c>
    </row>
    <row r="868" spans="1:20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 xml:space="preserve"> COUNTIF(deals_closed!D:D,A868)</f>
        <v>19</v>
      </c>
      <c r="G868" s="5">
        <f>SUMIF(deals_closed!D:D, calculations!A868, deals_closed!C:C)</f>
        <v>680191</v>
      </c>
      <c r="H868" s="5">
        <f>VLOOKUP(D868,'2018_commission_structure'!$A$2:$I$4,9,FALSE)</f>
        <v>600000</v>
      </c>
      <c r="I868" s="9">
        <f t="shared" si="78"/>
        <v>750000</v>
      </c>
      <c r="J868" s="8">
        <f t="shared" si="79"/>
        <v>900000</v>
      </c>
      <c r="K868" s="9">
        <f t="shared" si="80"/>
        <v>1200000</v>
      </c>
      <c r="L868" s="10">
        <f t="shared" si="81"/>
        <v>1.1336516666666667</v>
      </c>
      <c r="M868" t="str">
        <f t="shared" si="82"/>
        <v>100-125%</v>
      </c>
      <c r="N868" s="9">
        <f>MIN(H868, G868)*INDEX('2018_commission_structure'!$A$1:$I$4,
MATCH($D868, '2018_commission_structure'!$A$1:$A$4,0),
MATCH(N$1, '2018_commission_structure'!$A$1:$I$1,0))</f>
        <v>78000</v>
      </c>
      <c r="O868" s="11">
        <f>IF(G868&gt;H868, MIN(G868-H868, I868-H868)*
INDEX('2018_commission_structure'!$A$1:$I$4,
MATCH($D868, '2018_commission_structure'!$A$1:$A$4, 0),
MATCH(O$1, '2018_commission_structure'!$A$1:$I$1, 0)), 0)</f>
        <v>13632.470000000001</v>
      </c>
      <c r="P868" s="11">
        <f>IF(G868&gt;H868, MIN(G868-H868, J868-H868)*
INDEX('2018_commission_structure'!$A$1:$I$4,
MATCH($D868, '2018_commission_structure'!$A$1:$A$4, 0),
MATCH(O$1, '2018_commission_structure'!$A$1:$I$1, 0)), 0)</f>
        <v>13632.470000000001</v>
      </c>
      <c r="Q868" s="11">
        <f>IF(G868&gt;H868, MIN(G868-H868, I868-H868)*
INDEX('2018_commission_structure'!$A$1:$I$4,
MATCH($D868, '2018_commission_structure'!$A$1:$A$4, 0),
MATCH(P$1, '2018_commission_structure'!$A$1:$I$1, 0)), 0)</f>
        <v>16840.11</v>
      </c>
      <c r="R868" s="11">
        <f>IF(G868&gt;K868, (G868-K868) *
INDEX('2018_commission_structure'!$A$1:$I$4,
MATCH($D868, '2018_commission_structure'!$A$1:$A$4,0),
MATCH(R$1, '2018_commission_structure'!$A$1:$I$1,0)), 0)</f>
        <v>0</v>
      </c>
      <c r="S868" s="11">
        <f t="shared" si="83"/>
        <v>44105.05</v>
      </c>
      <c r="T868" s="11" cm="1">
        <f t="array" ref="T868">SUM(E868+O868:Q868)</f>
        <v>279845.05</v>
      </c>
    </row>
    <row r="869" spans="1:20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 xml:space="preserve"> COUNTIF(deals_closed!D:D,A869)</f>
        <v>22</v>
      </c>
      <c r="G869" s="5">
        <f>SUMIF(deals_closed!D:D, calculations!A869, deals_closed!C:C)</f>
        <v>837529</v>
      </c>
      <c r="H869" s="5">
        <f>VLOOKUP(D869,'2018_commission_structure'!$A$2:$I$4,9,FALSE)</f>
        <v>500000</v>
      </c>
      <c r="I869" s="9">
        <f t="shared" si="78"/>
        <v>625000</v>
      </c>
      <c r="J869" s="8">
        <f t="shared" si="79"/>
        <v>750000</v>
      </c>
      <c r="K869" s="9">
        <f t="shared" si="80"/>
        <v>1000000</v>
      </c>
      <c r="L869" s="10">
        <f t="shared" si="81"/>
        <v>1.6750579999999999</v>
      </c>
      <c r="M869" t="str">
        <f t="shared" si="82"/>
        <v>150-200%</v>
      </c>
      <c r="N869" s="9">
        <f>MIN(H869, G869)*INDEX('2018_commission_structure'!$A$1:$I$4,
MATCH($D869, '2018_commission_structure'!$A$1:$A$4,0),
MATCH(N$1, '2018_commission_structure'!$A$1:$I$1,0))</f>
        <v>50000</v>
      </c>
      <c r="O869" s="11">
        <f>IF(G869&gt;H869, MIN(G869-H869, I869-H869)*
INDEX('2018_commission_structure'!$A$1:$I$4,
MATCH($D869, '2018_commission_structure'!$A$1:$A$4, 0),
MATCH(O$1, '2018_commission_structure'!$A$1:$I$1, 0)), 0)</f>
        <v>18750</v>
      </c>
      <c r="P869" s="11">
        <f>IF(G869&gt;H869, MIN(G869-H869, J869-H869)*
INDEX('2018_commission_structure'!$A$1:$I$4,
MATCH($D869, '2018_commission_structure'!$A$1:$A$4, 0),
MATCH(O$1, '2018_commission_structure'!$A$1:$I$1, 0)), 0)</f>
        <v>37500</v>
      </c>
      <c r="Q869" s="11">
        <f>IF(G869&gt;H869, MIN(G869-H869, I869-H869)*
INDEX('2018_commission_structure'!$A$1:$I$4,
MATCH($D869, '2018_commission_structure'!$A$1:$A$4, 0),
MATCH(P$1, '2018_commission_structure'!$A$1:$I$1, 0)), 0)</f>
        <v>22500</v>
      </c>
      <c r="R869" s="11">
        <f>IF(G869&gt;K869, (G869-K869) *
INDEX('2018_commission_structure'!$A$1:$I$4,
MATCH($D869, '2018_commission_structure'!$A$1:$A$4,0),
MATCH(R$1, '2018_commission_structure'!$A$1:$I$1,0)), 0)</f>
        <v>0</v>
      </c>
      <c r="S869" s="11">
        <f t="shared" si="83"/>
        <v>78750</v>
      </c>
      <c r="T869" s="11" cm="1">
        <f t="array" ref="T869">SUM(E869+O869:Q869)</f>
        <v>173211</v>
      </c>
    </row>
    <row r="870" spans="1:20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 xml:space="preserve"> COUNTIF(deals_closed!D:D,A870)</f>
        <v>17</v>
      </c>
      <c r="G870" s="5">
        <f>SUMIF(deals_closed!D:D, calculations!A870, deals_closed!C:C)</f>
        <v>561478</v>
      </c>
      <c r="H870" s="5">
        <f>VLOOKUP(D870,'2018_commission_structure'!$A$2:$I$4,9,FALSE)</f>
        <v>750000</v>
      </c>
      <c r="I870" s="9">
        <f t="shared" si="78"/>
        <v>937500</v>
      </c>
      <c r="J870" s="8">
        <f t="shared" si="79"/>
        <v>1125000</v>
      </c>
      <c r="K870" s="9">
        <f t="shared" si="80"/>
        <v>1500000</v>
      </c>
      <c r="L870" s="10">
        <f t="shared" si="81"/>
        <v>0.74863733333333338</v>
      </c>
      <c r="M870" t="str">
        <f t="shared" si="82"/>
        <v>0-100%</v>
      </c>
      <c r="N870" s="9">
        <f>MIN(H870, G870)*INDEX('2018_commission_structure'!$A$1:$I$4,
MATCH($D870, '2018_commission_structure'!$A$1:$A$4,0),
MATCH(N$1, '2018_commission_structure'!$A$1:$I$1,0))</f>
        <v>84221.7</v>
      </c>
      <c r="O870" s="11">
        <f>IF(G870&gt;H870, MIN(G870-H870, I870-H870)*
INDEX('2018_commission_structure'!$A$1:$I$4,
MATCH($D870, '2018_commission_structure'!$A$1:$A$4, 0),
MATCH(O$1, '2018_commission_structure'!$A$1:$I$1, 0)), 0)</f>
        <v>0</v>
      </c>
      <c r="P870" s="11">
        <f>IF(G870&gt;H870, MIN(G870-H870, J870-H870)*
INDEX('2018_commission_structure'!$A$1:$I$4,
MATCH($D870, '2018_commission_structure'!$A$1:$A$4, 0),
MATCH(O$1, '2018_commission_structure'!$A$1:$I$1, 0)), 0)</f>
        <v>0</v>
      </c>
      <c r="Q870" s="11">
        <f>IF(G870&gt;H870, MIN(G870-H870, I870-H870)*
INDEX('2018_commission_structure'!$A$1:$I$4,
MATCH($D870, '2018_commission_structure'!$A$1:$A$4, 0),
MATCH(P$1, '2018_commission_structure'!$A$1:$I$1, 0)), 0)</f>
        <v>0</v>
      </c>
      <c r="R870" s="11">
        <f>IF(G870&gt;K870, (G870-K870) *
INDEX('2018_commission_structure'!$A$1:$I$4,
MATCH($D870, '2018_commission_structure'!$A$1:$A$4,0),
MATCH(R$1, '2018_commission_structure'!$A$1:$I$1,0)), 0)</f>
        <v>0</v>
      </c>
      <c r="S870" s="11">
        <f t="shared" si="83"/>
        <v>0</v>
      </c>
      <c r="T870" s="11" cm="1">
        <f t="array" ref="T870">SUM(E870+O870:Q870)</f>
        <v>358749</v>
      </c>
    </row>
    <row r="871" spans="1:20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 xml:space="preserve"> COUNTIF(deals_closed!D:D,A871)</f>
        <v>16</v>
      </c>
      <c r="G871" s="5">
        <f>SUMIF(deals_closed!D:D, calculations!A871, deals_closed!C:C)</f>
        <v>519595</v>
      </c>
      <c r="H871" s="5">
        <f>VLOOKUP(D871,'2018_commission_structure'!$A$2:$I$4,9,FALSE)</f>
        <v>500000</v>
      </c>
      <c r="I871" s="9">
        <f t="shared" si="78"/>
        <v>625000</v>
      </c>
      <c r="J871" s="8">
        <f t="shared" si="79"/>
        <v>750000</v>
      </c>
      <c r="K871" s="9">
        <f t="shared" si="80"/>
        <v>1000000</v>
      </c>
      <c r="L871" s="10">
        <f t="shared" si="81"/>
        <v>1.0391900000000001</v>
      </c>
      <c r="M871" t="str">
        <f t="shared" si="82"/>
        <v>100-125%</v>
      </c>
      <c r="N871" s="9">
        <f>MIN(H871, G871)*INDEX('2018_commission_structure'!$A$1:$I$4,
MATCH($D871, '2018_commission_structure'!$A$1:$A$4,0),
MATCH(N$1, '2018_commission_structure'!$A$1:$I$1,0))</f>
        <v>50000</v>
      </c>
      <c r="O871" s="11">
        <f>IF(G871&gt;H871, MIN(G871-H871, I871-H871)*
INDEX('2018_commission_structure'!$A$1:$I$4,
MATCH($D871, '2018_commission_structure'!$A$1:$A$4, 0),
MATCH(O$1, '2018_commission_structure'!$A$1:$I$1, 0)), 0)</f>
        <v>2939.25</v>
      </c>
      <c r="P871" s="11">
        <f>IF(G871&gt;H871, MIN(G871-H871, J871-H871)*
INDEX('2018_commission_structure'!$A$1:$I$4,
MATCH($D871, '2018_commission_structure'!$A$1:$A$4, 0),
MATCH(O$1, '2018_commission_structure'!$A$1:$I$1, 0)), 0)</f>
        <v>2939.25</v>
      </c>
      <c r="Q871" s="11">
        <f>IF(G871&gt;H871, MIN(G871-H871, I871-H871)*
INDEX('2018_commission_structure'!$A$1:$I$4,
MATCH($D871, '2018_commission_structure'!$A$1:$A$4, 0),
MATCH(P$1, '2018_commission_structure'!$A$1:$I$1, 0)), 0)</f>
        <v>3527.1</v>
      </c>
      <c r="R871" s="11">
        <f>IF(G871&gt;K871, (G871-K871) *
INDEX('2018_commission_structure'!$A$1:$I$4,
MATCH($D871, '2018_commission_structure'!$A$1:$A$4,0),
MATCH(R$1, '2018_commission_structure'!$A$1:$I$1,0)), 0)</f>
        <v>0</v>
      </c>
      <c r="S871" s="11">
        <f t="shared" si="83"/>
        <v>9405.6</v>
      </c>
      <c r="T871" s="11" cm="1">
        <f t="array" ref="T871">SUM(E871+O871:Q871)</f>
        <v>140985.60000000001</v>
      </c>
    </row>
    <row r="872" spans="1:20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 xml:space="preserve"> COUNTIF(deals_closed!D:D,A872)</f>
        <v>25</v>
      </c>
      <c r="G872" s="5">
        <f>SUMIF(deals_closed!D:D, calculations!A872, deals_closed!C:C)</f>
        <v>762004</v>
      </c>
      <c r="H872" s="5">
        <f>VLOOKUP(D872,'2018_commission_structure'!$A$2:$I$4,9,FALSE)</f>
        <v>500000</v>
      </c>
      <c r="I872" s="9">
        <f t="shared" si="78"/>
        <v>625000</v>
      </c>
      <c r="J872" s="8">
        <f t="shared" si="79"/>
        <v>750000</v>
      </c>
      <c r="K872" s="9">
        <f t="shared" si="80"/>
        <v>1000000</v>
      </c>
      <c r="L872" s="10">
        <f t="shared" si="81"/>
        <v>1.524008</v>
      </c>
      <c r="M872" t="str">
        <f t="shared" si="82"/>
        <v>150-200%</v>
      </c>
      <c r="N872" s="9">
        <f>MIN(H872, G872)*INDEX('2018_commission_structure'!$A$1:$I$4,
MATCH($D872, '2018_commission_structure'!$A$1:$A$4,0),
MATCH(N$1, '2018_commission_structure'!$A$1:$I$1,0))</f>
        <v>50000</v>
      </c>
      <c r="O872" s="11">
        <f>IF(G872&gt;H872, MIN(G872-H872, I872-H872)*
INDEX('2018_commission_structure'!$A$1:$I$4,
MATCH($D872, '2018_commission_structure'!$A$1:$A$4, 0),
MATCH(O$1, '2018_commission_structure'!$A$1:$I$1, 0)), 0)</f>
        <v>18750</v>
      </c>
      <c r="P872" s="11">
        <f>IF(G872&gt;H872, MIN(G872-H872, J872-H872)*
INDEX('2018_commission_structure'!$A$1:$I$4,
MATCH($D872, '2018_commission_structure'!$A$1:$A$4, 0),
MATCH(O$1, '2018_commission_structure'!$A$1:$I$1, 0)), 0)</f>
        <v>37500</v>
      </c>
      <c r="Q872" s="11">
        <f>IF(G872&gt;H872, MIN(G872-H872, I872-H872)*
INDEX('2018_commission_structure'!$A$1:$I$4,
MATCH($D872, '2018_commission_structure'!$A$1:$A$4, 0),
MATCH(P$1, '2018_commission_structure'!$A$1:$I$1, 0)), 0)</f>
        <v>22500</v>
      </c>
      <c r="R872" s="11">
        <f>IF(G872&gt;K872, (G872-K872) *
INDEX('2018_commission_structure'!$A$1:$I$4,
MATCH($D872, '2018_commission_structure'!$A$1:$A$4,0),
MATCH(R$1, '2018_commission_structure'!$A$1:$I$1,0)), 0)</f>
        <v>0</v>
      </c>
      <c r="S872" s="11">
        <f t="shared" si="83"/>
        <v>78750</v>
      </c>
      <c r="T872" s="11" cm="1">
        <f t="array" ref="T872">SUM(E872+O872:Q872)</f>
        <v>247461</v>
      </c>
    </row>
    <row r="873" spans="1:20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 xml:space="preserve"> COUNTIF(deals_closed!D:D,A873)</f>
        <v>17</v>
      </c>
      <c r="G873" s="5">
        <f>SUMIF(deals_closed!D:D, calculations!A873, deals_closed!C:C)</f>
        <v>658453</v>
      </c>
      <c r="H873" s="5">
        <f>VLOOKUP(D873,'2018_commission_structure'!$A$2:$I$4,9,FALSE)</f>
        <v>600000</v>
      </c>
      <c r="I873" s="9">
        <f t="shared" si="78"/>
        <v>750000</v>
      </c>
      <c r="J873" s="8">
        <f t="shared" si="79"/>
        <v>900000</v>
      </c>
      <c r="K873" s="9">
        <f t="shared" si="80"/>
        <v>1200000</v>
      </c>
      <c r="L873" s="10">
        <f t="shared" si="81"/>
        <v>1.0974216666666667</v>
      </c>
      <c r="M873" t="str">
        <f t="shared" si="82"/>
        <v>100-125%</v>
      </c>
      <c r="N873" s="9">
        <f>MIN(H873, G873)*INDEX('2018_commission_structure'!$A$1:$I$4,
MATCH($D873, '2018_commission_structure'!$A$1:$A$4,0),
MATCH(N$1, '2018_commission_structure'!$A$1:$I$1,0))</f>
        <v>78000</v>
      </c>
      <c r="O873" s="11">
        <f>IF(G873&gt;H873, MIN(G873-H873, I873-H873)*
INDEX('2018_commission_structure'!$A$1:$I$4,
MATCH($D873, '2018_commission_structure'!$A$1:$A$4, 0),
MATCH(O$1, '2018_commission_structure'!$A$1:$I$1, 0)), 0)</f>
        <v>9937.01</v>
      </c>
      <c r="P873" s="11">
        <f>IF(G873&gt;H873, MIN(G873-H873, J873-H873)*
INDEX('2018_commission_structure'!$A$1:$I$4,
MATCH($D873, '2018_commission_structure'!$A$1:$A$4, 0),
MATCH(O$1, '2018_commission_structure'!$A$1:$I$1, 0)), 0)</f>
        <v>9937.01</v>
      </c>
      <c r="Q873" s="11">
        <f>IF(G873&gt;H873, MIN(G873-H873, I873-H873)*
INDEX('2018_commission_structure'!$A$1:$I$4,
MATCH($D873, '2018_commission_structure'!$A$1:$A$4, 0),
MATCH(P$1, '2018_commission_structure'!$A$1:$I$1, 0)), 0)</f>
        <v>12275.13</v>
      </c>
      <c r="R873" s="11">
        <f>IF(G873&gt;K873, (G873-K873) *
INDEX('2018_commission_structure'!$A$1:$I$4,
MATCH($D873, '2018_commission_structure'!$A$1:$A$4,0),
MATCH(R$1, '2018_commission_structure'!$A$1:$I$1,0)), 0)</f>
        <v>0</v>
      </c>
      <c r="S873" s="11">
        <f t="shared" si="83"/>
        <v>32149.15</v>
      </c>
      <c r="T873" s="11" cm="1">
        <f t="array" ref="T873">SUM(E873+O873:Q873)</f>
        <v>213289.15</v>
      </c>
    </row>
    <row r="874" spans="1:20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 xml:space="preserve"> COUNTIF(deals_closed!D:D,A874)</f>
        <v>24</v>
      </c>
      <c r="G874" s="5">
        <f>SUMIF(deals_closed!D:D, calculations!A874, deals_closed!C:C)</f>
        <v>848509</v>
      </c>
      <c r="H874" s="5">
        <f>VLOOKUP(D874,'2018_commission_structure'!$A$2:$I$4,9,FALSE)</f>
        <v>500000</v>
      </c>
      <c r="I874" s="9">
        <f t="shared" si="78"/>
        <v>625000</v>
      </c>
      <c r="J874" s="8">
        <f t="shared" si="79"/>
        <v>750000</v>
      </c>
      <c r="K874" s="9">
        <f t="shared" si="80"/>
        <v>1000000</v>
      </c>
      <c r="L874" s="10">
        <f t="shared" si="81"/>
        <v>1.6970179999999999</v>
      </c>
      <c r="M874" t="str">
        <f t="shared" si="82"/>
        <v>150-200%</v>
      </c>
      <c r="N874" s="9">
        <f>MIN(H874, G874)*INDEX('2018_commission_structure'!$A$1:$I$4,
MATCH($D874, '2018_commission_structure'!$A$1:$A$4,0),
MATCH(N$1, '2018_commission_structure'!$A$1:$I$1,0))</f>
        <v>50000</v>
      </c>
      <c r="O874" s="11">
        <f>IF(G874&gt;H874, MIN(G874-H874, I874-H874)*
INDEX('2018_commission_structure'!$A$1:$I$4,
MATCH($D874, '2018_commission_structure'!$A$1:$A$4, 0),
MATCH(O$1, '2018_commission_structure'!$A$1:$I$1, 0)), 0)</f>
        <v>18750</v>
      </c>
      <c r="P874" s="11">
        <f>IF(G874&gt;H874, MIN(G874-H874, J874-H874)*
INDEX('2018_commission_structure'!$A$1:$I$4,
MATCH($D874, '2018_commission_structure'!$A$1:$A$4, 0),
MATCH(O$1, '2018_commission_structure'!$A$1:$I$1, 0)), 0)</f>
        <v>37500</v>
      </c>
      <c r="Q874" s="11">
        <f>IF(G874&gt;H874, MIN(G874-H874, I874-H874)*
INDEX('2018_commission_structure'!$A$1:$I$4,
MATCH($D874, '2018_commission_structure'!$A$1:$A$4, 0),
MATCH(P$1, '2018_commission_structure'!$A$1:$I$1, 0)), 0)</f>
        <v>22500</v>
      </c>
      <c r="R874" s="11">
        <f>IF(G874&gt;K874, (G874-K874) *
INDEX('2018_commission_structure'!$A$1:$I$4,
MATCH($D874, '2018_commission_structure'!$A$1:$A$4,0),
MATCH(R$1, '2018_commission_structure'!$A$1:$I$1,0)), 0)</f>
        <v>0</v>
      </c>
      <c r="S874" s="11">
        <f t="shared" si="83"/>
        <v>78750</v>
      </c>
      <c r="T874" s="11" cm="1">
        <f t="array" ref="T874">SUM(E874+O874:Q874)</f>
        <v>249111</v>
      </c>
    </row>
    <row r="875" spans="1:20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 xml:space="preserve"> COUNTIF(deals_closed!D:D,A875)</f>
        <v>18</v>
      </c>
      <c r="G875" s="5">
        <f>SUMIF(deals_closed!D:D, calculations!A875, deals_closed!C:C)</f>
        <v>646367</v>
      </c>
      <c r="H875" s="5">
        <f>VLOOKUP(D875,'2018_commission_structure'!$A$2:$I$4,9,FALSE)</f>
        <v>600000</v>
      </c>
      <c r="I875" s="9">
        <f t="shared" si="78"/>
        <v>750000</v>
      </c>
      <c r="J875" s="8">
        <f t="shared" si="79"/>
        <v>900000</v>
      </c>
      <c r="K875" s="9">
        <f t="shared" si="80"/>
        <v>1200000</v>
      </c>
      <c r="L875" s="10">
        <f t="shared" si="81"/>
        <v>1.0772783333333333</v>
      </c>
      <c r="M875" t="str">
        <f t="shared" si="82"/>
        <v>100-125%</v>
      </c>
      <c r="N875" s="9">
        <f>MIN(H875, G875)*INDEX('2018_commission_structure'!$A$1:$I$4,
MATCH($D875, '2018_commission_structure'!$A$1:$A$4,0),
MATCH(N$1, '2018_commission_structure'!$A$1:$I$1,0))</f>
        <v>78000</v>
      </c>
      <c r="O875" s="11">
        <f>IF(G875&gt;H875, MIN(G875-H875, I875-H875)*
INDEX('2018_commission_structure'!$A$1:$I$4,
MATCH($D875, '2018_commission_structure'!$A$1:$A$4, 0),
MATCH(O$1, '2018_commission_structure'!$A$1:$I$1, 0)), 0)</f>
        <v>7882.39</v>
      </c>
      <c r="P875" s="11">
        <f>IF(G875&gt;H875, MIN(G875-H875, J875-H875)*
INDEX('2018_commission_structure'!$A$1:$I$4,
MATCH($D875, '2018_commission_structure'!$A$1:$A$4, 0),
MATCH(O$1, '2018_commission_structure'!$A$1:$I$1, 0)), 0)</f>
        <v>7882.39</v>
      </c>
      <c r="Q875" s="11">
        <f>IF(G875&gt;H875, MIN(G875-H875, I875-H875)*
INDEX('2018_commission_structure'!$A$1:$I$4,
MATCH($D875, '2018_commission_structure'!$A$1:$A$4, 0),
MATCH(P$1, '2018_commission_structure'!$A$1:$I$1, 0)), 0)</f>
        <v>9737.07</v>
      </c>
      <c r="R875" s="11">
        <f>IF(G875&gt;K875, (G875-K875) *
INDEX('2018_commission_structure'!$A$1:$I$4,
MATCH($D875, '2018_commission_structure'!$A$1:$A$4,0),
MATCH(R$1, '2018_commission_structure'!$A$1:$I$1,0)), 0)</f>
        <v>0</v>
      </c>
      <c r="S875" s="11">
        <f t="shared" si="83"/>
        <v>25501.85</v>
      </c>
      <c r="T875" s="11" cm="1">
        <f t="array" ref="T875">SUM(E875+O875:Q875)</f>
        <v>263908.84999999998</v>
      </c>
    </row>
    <row r="876" spans="1:20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 xml:space="preserve"> COUNTIF(deals_closed!D:D,A876)</f>
        <v>23</v>
      </c>
      <c r="G876" s="5">
        <f>SUMIF(deals_closed!D:D, calculations!A876, deals_closed!C:C)</f>
        <v>950987</v>
      </c>
      <c r="H876" s="5">
        <f>VLOOKUP(D876,'2018_commission_structure'!$A$2:$I$4,9,FALSE)</f>
        <v>600000</v>
      </c>
      <c r="I876" s="9">
        <f t="shared" si="78"/>
        <v>750000</v>
      </c>
      <c r="J876" s="8">
        <f t="shared" si="79"/>
        <v>900000</v>
      </c>
      <c r="K876" s="9">
        <f t="shared" si="80"/>
        <v>1200000</v>
      </c>
      <c r="L876" s="10">
        <f t="shared" si="81"/>
        <v>1.5849783333333334</v>
      </c>
      <c r="M876" t="str">
        <f t="shared" si="82"/>
        <v>150-200%</v>
      </c>
      <c r="N876" s="9">
        <f>MIN(H876, G876)*INDEX('2018_commission_structure'!$A$1:$I$4,
MATCH($D876, '2018_commission_structure'!$A$1:$A$4,0),
MATCH(N$1, '2018_commission_structure'!$A$1:$I$1,0))</f>
        <v>78000</v>
      </c>
      <c r="O876" s="11">
        <f>IF(G876&gt;H876, MIN(G876-H876, I876-H876)*
INDEX('2018_commission_structure'!$A$1:$I$4,
MATCH($D876, '2018_commission_structure'!$A$1:$A$4, 0),
MATCH(O$1, '2018_commission_structure'!$A$1:$I$1, 0)), 0)</f>
        <v>25500.000000000004</v>
      </c>
      <c r="P876" s="11">
        <f>IF(G876&gt;H876, MIN(G876-H876, J876-H876)*
INDEX('2018_commission_structure'!$A$1:$I$4,
MATCH($D876, '2018_commission_structure'!$A$1:$A$4, 0),
MATCH(O$1, '2018_commission_structure'!$A$1:$I$1, 0)), 0)</f>
        <v>51000.000000000007</v>
      </c>
      <c r="Q876" s="11">
        <f>IF(G876&gt;H876, MIN(G876-H876, I876-H876)*
INDEX('2018_commission_structure'!$A$1:$I$4,
MATCH($D876, '2018_commission_structure'!$A$1:$A$4, 0),
MATCH(P$1, '2018_commission_structure'!$A$1:$I$1, 0)), 0)</f>
        <v>31500</v>
      </c>
      <c r="R876" s="11">
        <f>IF(G876&gt;K876, (G876-K876) *
INDEX('2018_commission_structure'!$A$1:$I$4,
MATCH($D876, '2018_commission_structure'!$A$1:$A$4,0),
MATCH(R$1, '2018_commission_structure'!$A$1:$I$1,0)), 0)</f>
        <v>0</v>
      </c>
      <c r="S876" s="11">
        <f t="shared" si="83"/>
        <v>108000.00000000001</v>
      </c>
      <c r="T876" s="11" cm="1">
        <f t="array" ref="T876">SUM(E876+O876:Q876)</f>
        <v>344469</v>
      </c>
    </row>
    <row r="877" spans="1:20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 xml:space="preserve"> COUNTIF(deals_closed!D:D,A877)</f>
        <v>15</v>
      </c>
      <c r="G877" s="5">
        <f>SUMIF(deals_closed!D:D, calculations!A877, deals_closed!C:C)</f>
        <v>525024</v>
      </c>
      <c r="H877" s="5">
        <f>VLOOKUP(D877,'2018_commission_structure'!$A$2:$I$4,9,FALSE)</f>
        <v>750000</v>
      </c>
      <c r="I877" s="9">
        <f t="shared" si="78"/>
        <v>937500</v>
      </c>
      <c r="J877" s="8">
        <f t="shared" si="79"/>
        <v>1125000</v>
      </c>
      <c r="K877" s="9">
        <f t="shared" si="80"/>
        <v>1500000</v>
      </c>
      <c r="L877" s="10">
        <f t="shared" si="81"/>
        <v>0.70003199999999999</v>
      </c>
      <c r="M877" t="str">
        <f t="shared" si="82"/>
        <v>0-100%</v>
      </c>
      <c r="N877" s="9">
        <f>MIN(H877, G877)*INDEX('2018_commission_structure'!$A$1:$I$4,
MATCH($D877, '2018_commission_structure'!$A$1:$A$4,0),
MATCH(N$1, '2018_commission_structure'!$A$1:$I$1,0))</f>
        <v>78753.599999999991</v>
      </c>
      <c r="O877" s="11">
        <f>IF(G877&gt;H877, MIN(G877-H877, I877-H877)*
INDEX('2018_commission_structure'!$A$1:$I$4,
MATCH($D877, '2018_commission_structure'!$A$1:$A$4, 0),
MATCH(O$1, '2018_commission_structure'!$A$1:$I$1, 0)), 0)</f>
        <v>0</v>
      </c>
      <c r="P877" s="11">
        <f>IF(G877&gt;H877, MIN(G877-H877, J877-H877)*
INDEX('2018_commission_structure'!$A$1:$I$4,
MATCH($D877, '2018_commission_structure'!$A$1:$A$4, 0),
MATCH(O$1, '2018_commission_structure'!$A$1:$I$1, 0)), 0)</f>
        <v>0</v>
      </c>
      <c r="Q877" s="11">
        <f>IF(G877&gt;H877, MIN(G877-H877, I877-H877)*
INDEX('2018_commission_structure'!$A$1:$I$4,
MATCH($D877, '2018_commission_structure'!$A$1:$A$4, 0),
MATCH(P$1, '2018_commission_structure'!$A$1:$I$1, 0)), 0)</f>
        <v>0</v>
      </c>
      <c r="R877" s="11">
        <f>IF(G877&gt;K877, (G877-K877) *
INDEX('2018_commission_structure'!$A$1:$I$4,
MATCH($D877, '2018_commission_structure'!$A$1:$A$4,0),
MATCH(R$1, '2018_commission_structure'!$A$1:$I$1,0)), 0)</f>
        <v>0</v>
      </c>
      <c r="S877" s="11">
        <f t="shared" si="83"/>
        <v>0</v>
      </c>
      <c r="T877" s="11" cm="1">
        <f t="array" ref="T877">SUM(E877+O877:Q877)</f>
        <v>271257</v>
      </c>
    </row>
    <row r="878" spans="1:20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 xml:space="preserve"> COUNTIF(deals_closed!D:D,A878)</f>
        <v>18</v>
      </c>
      <c r="G878" s="5">
        <f>SUMIF(deals_closed!D:D, calculations!A878, deals_closed!C:C)</f>
        <v>575085</v>
      </c>
      <c r="H878" s="5">
        <f>VLOOKUP(D878,'2018_commission_structure'!$A$2:$I$4,9,FALSE)</f>
        <v>600000</v>
      </c>
      <c r="I878" s="9">
        <f t="shared" si="78"/>
        <v>750000</v>
      </c>
      <c r="J878" s="8">
        <f t="shared" si="79"/>
        <v>900000</v>
      </c>
      <c r="K878" s="9">
        <f t="shared" si="80"/>
        <v>1200000</v>
      </c>
      <c r="L878" s="10">
        <f t="shared" si="81"/>
        <v>0.95847499999999997</v>
      </c>
      <c r="M878" t="str">
        <f t="shared" si="82"/>
        <v>0-100%</v>
      </c>
      <c r="N878" s="9">
        <f>MIN(H878, G878)*INDEX('2018_commission_structure'!$A$1:$I$4,
MATCH($D878, '2018_commission_structure'!$A$1:$A$4,0),
MATCH(N$1, '2018_commission_structure'!$A$1:$I$1,0))</f>
        <v>74761.05</v>
      </c>
      <c r="O878" s="11">
        <f>IF(G878&gt;H878, MIN(G878-H878, I878-H878)*
INDEX('2018_commission_structure'!$A$1:$I$4,
MATCH($D878, '2018_commission_structure'!$A$1:$A$4, 0),
MATCH(O$1, '2018_commission_structure'!$A$1:$I$1, 0)), 0)</f>
        <v>0</v>
      </c>
      <c r="P878" s="11">
        <f>IF(G878&gt;H878, MIN(G878-H878, J878-H878)*
INDEX('2018_commission_structure'!$A$1:$I$4,
MATCH($D878, '2018_commission_structure'!$A$1:$A$4, 0),
MATCH(O$1, '2018_commission_structure'!$A$1:$I$1, 0)), 0)</f>
        <v>0</v>
      </c>
      <c r="Q878" s="11">
        <f>IF(G878&gt;H878, MIN(G878-H878, I878-H878)*
INDEX('2018_commission_structure'!$A$1:$I$4,
MATCH($D878, '2018_commission_structure'!$A$1:$A$4, 0),
MATCH(P$1, '2018_commission_structure'!$A$1:$I$1, 0)), 0)</f>
        <v>0</v>
      </c>
      <c r="R878" s="11">
        <f>IF(G878&gt;K878, (G878-K878) *
INDEX('2018_commission_structure'!$A$1:$I$4,
MATCH($D878, '2018_commission_structure'!$A$1:$A$4,0),
MATCH(R$1, '2018_commission_structure'!$A$1:$I$1,0)), 0)</f>
        <v>0</v>
      </c>
      <c r="S878" s="11">
        <f t="shared" si="83"/>
        <v>0</v>
      </c>
      <c r="T878" s="11" cm="1">
        <f t="array" ref="T878">SUM(E878+O878:Q878)</f>
        <v>231201</v>
      </c>
    </row>
    <row r="879" spans="1:20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 xml:space="preserve"> COUNTIF(deals_closed!D:D,A879)</f>
        <v>26</v>
      </c>
      <c r="G879" s="5">
        <f>SUMIF(deals_closed!D:D, calculations!A879, deals_closed!C:C)</f>
        <v>991891</v>
      </c>
      <c r="H879" s="5">
        <f>VLOOKUP(D879,'2018_commission_structure'!$A$2:$I$4,9,FALSE)</f>
        <v>600000</v>
      </c>
      <c r="I879" s="9">
        <f t="shared" si="78"/>
        <v>750000</v>
      </c>
      <c r="J879" s="8">
        <f t="shared" si="79"/>
        <v>900000</v>
      </c>
      <c r="K879" s="9">
        <f t="shared" si="80"/>
        <v>1200000</v>
      </c>
      <c r="L879" s="10">
        <f t="shared" si="81"/>
        <v>1.6531516666666666</v>
      </c>
      <c r="M879" t="str">
        <f t="shared" si="82"/>
        <v>150-200%</v>
      </c>
      <c r="N879" s="9">
        <f>MIN(H879, G879)*INDEX('2018_commission_structure'!$A$1:$I$4,
MATCH($D879, '2018_commission_structure'!$A$1:$A$4,0),
MATCH(N$1, '2018_commission_structure'!$A$1:$I$1,0))</f>
        <v>78000</v>
      </c>
      <c r="O879" s="11">
        <f>IF(G879&gt;H879, MIN(G879-H879, I879-H879)*
INDEX('2018_commission_structure'!$A$1:$I$4,
MATCH($D879, '2018_commission_structure'!$A$1:$A$4, 0),
MATCH(O$1, '2018_commission_structure'!$A$1:$I$1, 0)), 0)</f>
        <v>25500.000000000004</v>
      </c>
      <c r="P879" s="11">
        <f>IF(G879&gt;H879, MIN(G879-H879, J879-H879)*
INDEX('2018_commission_structure'!$A$1:$I$4,
MATCH($D879, '2018_commission_structure'!$A$1:$A$4, 0),
MATCH(O$1, '2018_commission_structure'!$A$1:$I$1, 0)), 0)</f>
        <v>51000.000000000007</v>
      </c>
      <c r="Q879" s="11">
        <f>IF(G879&gt;H879, MIN(G879-H879, I879-H879)*
INDEX('2018_commission_structure'!$A$1:$I$4,
MATCH($D879, '2018_commission_structure'!$A$1:$A$4, 0),
MATCH(P$1, '2018_commission_structure'!$A$1:$I$1, 0)), 0)</f>
        <v>31500</v>
      </c>
      <c r="R879" s="11">
        <f>IF(G879&gt;K879, (G879-K879) *
INDEX('2018_commission_structure'!$A$1:$I$4,
MATCH($D879, '2018_commission_structure'!$A$1:$A$4,0),
MATCH(R$1, '2018_commission_structure'!$A$1:$I$1,0)), 0)</f>
        <v>0</v>
      </c>
      <c r="S879" s="11">
        <f t="shared" si="83"/>
        <v>108000.00000000001</v>
      </c>
      <c r="T879" s="11" cm="1">
        <f t="array" ref="T879">SUM(E879+O879:Q879)</f>
        <v>288483</v>
      </c>
    </row>
    <row r="880" spans="1:20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 xml:space="preserve"> COUNTIF(deals_closed!D:D,A880)</f>
        <v>23</v>
      </c>
      <c r="G880" s="5">
        <f>SUMIF(deals_closed!D:D, calculations!A880, deals_closed!C:C)</f>
        <v>789211</v>
      </c>
      <c r="H880" s="5">
        <f>VLOOKUP(D880,'2018_commission_structure'!$A$2:$I$4,9,FALSE)</f>
        <v>750000</v>
      </c>
      <c r="I880" s="9">
        <f t="shared" si="78"/>
        <v>937500</v>
      </c>
      <c r="J880" s="8">
        <f t="shared" si="79"/>
        <v>1125000</v>
      </c>
      <c r="K880" s="9">
        <f t="shared" si="80"/>
        <v>1500000</v>
      </c>
      <c r="L880" s="10">
        <f t="shared" si="81"/>
        <v>1.0522813333333334</v>
      </c>
      <c r="M880" t="str">
        <f t="shared" si="82"/>
        <v>100-125%</v>
      </c>
      <c r="N880" s="9">
        <f>MIN(H880, G880)*INDEX('2018_commission_structure'!$A$1:$I$4,
MATCH($D880, '2018_commission_structure'!$A$1:$A$4,0),
MATCH(N$1, '2018_commission_structure'!$A$1:$I$1,0))</f>
        <v>112500</v>
      </c>
      <c r="O880" s="11">
        <f>IF(G880&gt;H880, MIN(G880-H880, I880-H880)*
INDEX('2018_commission_structure'!$A$1:$I$4,
MATCH($D880, '2018_commission_structure'!$A$1:$A$4, 0),
MATCH(O$1, '2018_commission_structure'!$A$1:$I$1, 0)), 0)</f>
        <v>7450.09</v>
      </c>
      <c r="P880" s="11">
        <f>IF(G880&gt;H880, MIN(G880-H880, J880-H880)*
INDEX('2018_commission_structure'!$A$1:$I$4,
MATCH($D880, '2018_commission_structure'!$A$1:$A$4, 0),
MATCH(O$1, '2018_commission_structure'!$A$1:$I$1, 0)), 0)</f>
        <v>7450.09</v>
      </c>
      <c r="Q880" s="11">
        <f>IF(G880&gt;H880, MIN(G880-H880, I880-H880)*
INDEX('2018_commission_structure'!$A$1:$I$4,
MATCH($D880, '2018_commission_structure'!$A$1:$A$4, 0),
MATCH(P$1, '2018_commission_structure'!$A$1:$I$1, 0)), 0)</f>
        <v>9018.5300000000007</v>
      </c>
      <c r="R880" s="11">
        <f>IF(G880&gt;K880, (G880-K880) *
INDEX('2018_commission_structure'!$A$1:$I$4,
MATCH($D880, '2018_commission_structure'!$A$1:$A$4,0),
MATCH(R$1, '2018_commission_structure'!$A$1:$I$1,0)), 0)</f>
        <v>0</v>
      </c>
      <c r="S880" s="11">
        <f t="shared" si="83"/>
        <v>23918.71</v>
      </c>
      <c r="T880" s="11" cm="1">
        <f t="array" ref="T880">SUM(E880+O880:Q880)</f>
        <v>324962.70999999996</v>
      </c>
    </row>
    <row r="881" spans="1:20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 xml:space="preserve"> COUNTIF(deals_closed!D:D,A881)</f>
        <v>12</v>
      </c>
      <c r="G881" s="5">
        <f>SUMIF(deals_closed!D:D, calculations!A881, deals_closed!C:C)</f>
        <v>473689</v>
      </c>
      <c r="H881" s="5">
        <f>VLOOKUP(D881,'2018_commission_structure'!$A$2:$I$4,9,FALSE)</f>
        <v>600000</v>
      </c>
      <c r="I881" s="9">
        <f t="shared" si="78"/>
        <v>750000</v>
      </c>
      <c r="J881" s="8">
        <f t="shared" si="79"/>
        <v>900000</v>
      </c>
      <c r="K881" s="9">
        <f t="shared" si="80"/>
        <v>1200000</v>
      </c>
      <c r="L881" s="10">
        <f t="shared" si="81"/>
        <v>0.78948166666666664</v>
      </c>
      <c r="M881" t="str">
        <f t="shared" si="82"/>
        <v>0-100%</v>
      </c>
      <c r="N881" s="9">
        <f>MIN(H881, G881)*INDEX('2018_commission_structure'!$A$1:$I$4,
MATCH($D881, '2018_commission_structure'!$A$1:$A$4,0),
MATCH(N$1, '2018_commission_structure'!$A$1:$I$1,0))</f>
        <v>61579.57</v>
      </c>
      <c r="O881" s="11">
        <f>IF(G881&gt;H881, MIN(G881-H881, I881-H881)*
INDEX('2018_commission_structure'!$A$1:$I$4,
MATCH($D881, '2018_commission_structure'!$A$1:$A$4, 0),
MATCH(O$1, '2018_commission_structure'!$A$1:$I$1, 0)), 0)</f>
        <v>0</v>
      </c>
      <c r="P881" s="11">
        <f>IF(G881&gt;H881, MIN(G881-H881, J881-H881)*
INDEX('2018_commission_structure'!$A$1:$I$4,
MATCH($D881, '2018_commission_structure'!$A$1:$A$4, 0),
MATCH(O$1, '2018_commission_structure'!$A$1:$I$1, 0)), 0)</f>
        <v>0</v>
      </c>
      <c r="Q881" s="11">
        <f>IF(G881&gt;H881, MIN(G881-H881, I881-H881)*
INDEX('2018_commission_structure'!$A$1:$I$4,
MATCH($D881, '2018_commission_structure'!$A$1:$A$4, 0),
MATCH(P$1, '2018_commission_structure'!$A$1:$I$1, 0)), 0)</f>
        <v>0</v>
      </c>
      <c r="R881" s="11">
        <f>IF(G881&gt;K881, (G881-K881) *
INDEX('2018_commission_structure'!$A$1:$I$4,
MATCH($D881, '2018_commission_structure'!$A$1:$A$4,0),
MATCH(R$1, '2018_commission_structure'!$A$1:$I$1,0)), 0)</f>
        <v>0</v>
      </c>
      <c r="S881" s="11">
        <f t="shared" si="83"/>
        <v>0</v>
      </c>
      <c r="T881" s="11" cm="1">
        <f t="array" ref="T881">SUM(E881+O881:Q881)</f>
        <v>171828</v>
      </c>
    </row>
    <row r="882" spans="1:20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 xml:space="preserve"> COUNTIF(deals_closed!D:D,A882)</f>
        <v>16</v>
      </c>
      <c r="G882" s="5">
        <f>SUMIF(deals_closed!D:D, calculations!A882, deals_closed!C:C)</f>
        <v>575747</v>
      </c>
      <c r="H882" s="5">
        <f>VLOOKUP(D882,'2018_commission_structure'!$A$2:$I$4,9,FALSE)</f>
        <v>600000</v>
      </c>
      <c r="I882" s="9">
        <f t="shared" si="78"/>
        <v>750000</v>
      </c>
      <c r="J882" s="8">
        <f t="shared" si="79"/>
        <v>900000</v>
      </c>
      <c r="K882" s="9">
        <f t="shared" si="80"/>
        <v>1200000</v>
      </c>
      <c r="L882" s="10">
        <f t="shared" si="81"/>
        <v>0.95957833333333331</v>
      </c>
      <c r="M882" t="str">
        <f t="shared" si="82"/>
        <v>0-100%</v>
      </c>
      <c r="N882" s="9">
        <f>MIN(H882, G882)*INDEX('2018_commission_structure'!$A$1:$I$4,
MATCH($D882, '2018_commission_structure'!$A$1:$A$4,0),
MATCH(N$1, '2018_commission_structure'!$A$1:$I$1,0))</f>
        <v>74847.11</v>
      </c>
      <c r="O882" s="11">
        <f>IF(G882&gt;H882, MIN(G882-H882, I882-H882)*
INDEX('2018_commission_structure'!$A$1:$I$4,
MATCH($D882, '2018_commission_structure'!$A$1:$A$4, 0),
MATCH(O$1, '2018_commission_structure'!$A$1:$I$1, 0)), 0)</f>
        <v>0</v>
      </c>
      <c r="P882" s="11">
        <f>IF(G882&gt;H882, MIN(G882-H882, J882-H882)*
INDEX('2018_commission_structure'!$A$1:$I$4,
MATCH($D882, '2018_commission_structure'!$A$1:$A$4, 0),
MATCH(O$1, '2018_commission_structure'!$A$1:$I$1, 0)), 0)</f>
        <v>0</v>
      </c>
      <c r="Q882" s="11">
        <f>IF(G882&gt;H882, MIN(G882-H882, I882-H882)*
INDEX('2018_commission_structure'!$A$1:$I$4,
MATCH($D882, '2018_commission_structure'!$A$1:$A$4, 0),
MATCH(P$1, '2018_commission_structure'!$A$1:$I$1, 0)), 0)</f>
        <v>0</v>
      </c>
      <c r="R882" s="11">
        <f>IF(G882&gt;K882, (G882-K882) *
INDEX('2018_commission_structure'!$A$1:$I$4,
MATCH($D882, '2018_commission_structure'!$A$1:$A$4,0),
MATCH(R$1, '2018_commission_structure'!$A$1:$I$1,0)), 0)</f>
        <v>0</v>
      </c>
      <c r="S882" s="11">
        <f t="shared" si="83"/>
        <v>0</v>
      </c>
      <c r="T882" s="11" cm="1">
        <f t="array" ref="T882">SUM(E882+O882:Q882)</f>
        <v>176970</v>
      </c>
    </row>
    <row r="883" spans="1:20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 xml:space="preserve"> COUNTIF(deals_closed!D:D,A883)</f>
        <v>23</v>
      </c>
      <c r="G883" s="5">
        <f>SUMIF(deals_closed!D:D, calculations!A883, deals_closed!C:C)</f>
        <v>754953</v>
      </c>
      <c r="H883" s="5">
        <f>VLOOKUP(D883,'2018_commission_structure'!$A$2:$I$4,9,FALSE)</f>
        <v>600000</v>
      </c>
      <c r="I883" s="9">
        <f t="shared" si="78"/>
        <v>750000</v>
      </c>
      <c r="J883" s="8">
        <f t="shared" si="79"/>
        <v>900000</v>
      </c>
      <c r="K883" s="9">
        <f t="shared" si="80"/>
        <v>1200000</v>
      </c>
      <c r="L883" s="10">
        <f t="shared" si="81"/>
        <v>1.2582549999999999</v>
      </c>
      <c r="M883" t="str">
        <f t="shared" si="82"/>
        <v>125-150%</v>
      </c>
      <c r="N883" s="9">
        <f>MIN(H883, G883)*INDEX('2018_commission_structure'!$A$1:$I$4,
MATCH($D883, '2018_commission_structure'!$A$1:$A$4,0),
MATCH(N$1, '2018_commission_structure'!$A$1:$I$1,0))</f>
        <v>78000</v>
      </c>
      <c r="O883" s="11">
        <f>IF(G883&gt;H883, MIN(G883-H883, I883-H883)*
INDEX('2018_commission_structure'!$A$1:$I$4,
MATCH($D883, '2018_commission_structure'!$A$1:$A$4, 0),
MATCH(O$1, '2018_commission_structure'!$A$1:$I$1, 0)), 0)</f>
        <v>25500.000000000004</v>
      </c>
      <c r="P883" s="11">
        <f>IF(G883&gt;H883, MIN(G883-H883, J883-H883)*
INDEX('2018_commission_structure'!$A$1:$I$4,
MATCH($D883, '2018_commission_structure'!$A$1:$A$4, 0),
MATCH(O$1, '2018_commission_structure'!$A$1:$I$1, 0)), 0)</f>
        <v>26342.010000000002</v>
      </c>
      <c r="Q883" s="11">
        <f>IF(G883&gt;H883, MIN(G883-H883, I883-H883)*
INDEX('2018_commission_structure'!$A$1:$I$4,
MATCH($D883, '2018_commission_structure'!$A$1:$A$4, 0),
MATCH(P$1, '2018_commission_structure'!$A$1:$I$1, 0)), 0)</f>
        <v>31500</v>
      </c>
      <c r="R883" s="11">
        <f>IF(G883&gt;K883, (G883-K883) *
INDEX('2018_commission_structure'!$A$1:$I$4,
MATCH($D883, '2018_commission_structure'!$A$1:$A$4,0),
MATCH(R$1, '2018_commission_structure'!$A$1:$I$1,0)), 0)</f>
        <v>0</v>
      </c>
      <c r="S883" s="11">
        <f t="shared" si="83"/>
        <v>83342.010000000009</v>
      </c>
      <c r="T883" s="11" cm="1">
        <f t="array" ref="T883">SUM(E883+O883:Q883)</f>
        <v>257669.01</v>
      </c>
    </row>
    <row r="884" spans="1:20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 xml:space="preserve"> COUNTIF(deals_closed!D:D,A884)</f>
        <v>18</v>
      </c>
      <c r="G884" s="5">
        <f>SUMIF(deals_closed!D:D, calculations!A884, deals_closed!C:C)</f>
        <v>701835</v>
      </c>
      <c r="H884" s="5">
        <f>VLOOKUP(D884,'2018_commission_structure'!$A$2:$I$4,9,FALSE)</f>
        <v>600000</v>
      </c>
      <c r="I884" s="9">
        <f t="shared" si="78"/>
        <v>750000</v>
      </c>
      <c r="J884" s="8">
        <f t="shared" si="79"/>
        <v>900000</v>
      </c>
      <c r="K884" s="9">
        <f t="shared" si="80"/>
        <v>1200000</v>
      </c>
      <c r="L884" s="10">
        <f t="shared" si="81"/>
        <v>1.1697249999999999</v>
      </c>
      <c r="M884" t="str">
        <f t="shared" si="82"/>
        <v>100-125%</v>
      </c>
      <c r="N884" s="9">
        <f>MIN(H884, G884)*INDEX('2018_commission_structure'!$A$1:$I$4,
MATCH($D884, '2018_commission_structure'!$A$1:$A$4,0),
MATCH(N$1, '2018_commission_structure'!$A$1:$I$1,0))</f>
        <v>78000</v>
      </c>
      <c r="O884" s="11">
        <f>IF(G884&gt;H884, MIN(G884-H884, I884-H884)*
INDEX('2018_commission_structure'!$A$1:$I$4,
MATCH($D884, '2018_commission_structure'!$A$1:$A$4, 0),
MATCH(O$1, '2018_commission_structure'!$A$1:$I$1, 0)), 0)</f>
        <v>17311.95</v>
      </c>
      <c r="P884" s="11">
        <f>IF(G884&gt;H884, MIN(G884-H884, J884-H884)*
INDEX('2018_commission_structure'!$A$1:$I$4,
MATCH($D884, '2018_commission_structure'!$A$1:$A$4, 0),
MATCH(O$1, '2018_commission_structure'!$A$1:$I$1, 0)), 0)</f>
        <v>17311.95</v>
      </c>
      <c r="Q884" s="11">
        <f>IF(G884&gt;H884, MIN(G884-H884, I884-H884)*
INDEX('2018_commission_structure'!$A$1:$I$4,
MATCH($D884, '2018_commission_structure'!$A$1:$A$4, 0),
MATCH(P$1, '2018_commission_structure'!$A$1:$I$1, 0)), 0)</f>
        <v>21385.35</v>
      </c>
      <c r="R884" s="11">
        <f>IF(G884&gt;K884, (G884-K884) *
INDEX('2018_commission_structure'!$A$1:$I$4,
MATCH($D884, '2018_commission_structure'!$A$1:$A$4,0),
MATCH(R$1, '2018_commission_structure'!$A$1:$I$1,0)), 0)</f>
        <v>0</v>
      </c>
      <c r="S884" s="11">
        <f t="shared" si="83"/>
        <v>56009.25</v>
      </c>
      <c r="T884" s="11" cm="1">
        <f t="array" ref="T884">SUM(E884+O884:Q884)</f>
        <v>217706.25</v>
      </c>
    </row>
    <row r="885" spans="1:20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 xml:space="preserve"> COUNTIF(deals_closed!D:D,A885)</f>
        <v>25</v>
      </c>
      <c r="G885" s="5">
        <f>SUMIF(deals_closed!D:D, calculations!A885, deals_closed!C:C)</f>
        <v>895664</v>
      </c>
      <c r="H885" s="5">
        <f>VLOOKUP(D885,'2018_commission_structure'!$A$2:$I$4,9,FALSE)</f>
        <v>750000</v>
      </c>
      <c r="I885" s="9">
        <f t="shared" si="78"/>
        <v>937500</v>
      </c>
      <c r="J885" s="8">
        <f t="shared" si="79"/>
        <v>1125000</v>
      </c>
      <c r="K885" s="9">
        <f t="shared" si="80"/>
        <v>1500000</v>
      </c>
      <c r="L885" s="10">
        <f t="shared" si="81"/>
        <v>1.1942186666666668</v>
      </c>
      <c r="M885" t="str">
        <f t="shared" si="82"/>
        <v>100-125%</v>
      </c>
      <c r="N885" s="9">
        <f>MIN(H885, G885)*INDEX('2018_commission_structure'!$A$1:$I$4,
MATCH($D885, '2018_commission_structure'!$A$1:$A$4,0),
MATCH(N$1, '2018_commission_structure'!$A$1:$I$1,0))</f>
        <v>112500</v>
      </c>
      <c r="O885" s="11">
        <f>IF(G885&gt;H885, MIN(G885-H885, I885-H885)*
INDEX('2018_commission_structure'!$A$1:$I$4,
MATCH($D885, '2018_commission_structure'!$A$1:$A$4, 0),
MATCH(O$1, '2018_commission_structure'!$A$1:$I$1, 0)), 0)</f>
        <v>27676.16</v>
      </c>
      <c r="P885" s="11">
        <f>IF(G885&gt;H885, MIN(G885-H885, J885-H885)*
INDEX('2018_commission_structure'!$A$1:$I$4,
MATCH($D885, '2018_commission_structure'!$A$1:$A$4, 0),
MATCH(O$1, '2018_commission_structure'!$A$1:$I$1, 0)), 0)</f>
        <v>27676.16</v>
      </c>
      <c r="Q885" s="11">
        <f>IF(G885&gt;H885, MIN(G885-H885, I885-H885)*
INDEX('2018_commission_structure'!$A$1:$I$4,
MATCH($D885, '2018_commission_structure'!$A$1:$A$4, 0),
MATCH(P$1, '2018_commission_structure'!$A$1:$I$1, 0)), 0)</f>
        <v>33502.720000000001</v>
      </c>
      <c r="R885" s="11">
        <f>IF(G885&gt;K885, (G885-K885) *
INDEX('2018_commission_structure'!$A$1:$I$4,
MATCH($D885, '2018_commission_structure'!$A$1:$A$4,0),
MATCH(R$1, '2018_commission_structure'!$A$1:$I$1,0)), 0)</f>
        <v>0</v>
      </c>
      <c r="S885" s="11">
        <f t="shared" si="83"/>
        <v>88855.040000000008</v>
      </c>
      <c r="T885" s="11" cm="1">
        <f t="array" ref="T885">SUM(E885+O885:Q885)</f>
        <v>434149.04000000004</v>
      </c>
    </row>
    <row r="886" spans="1:20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 xml:space="preserve"> COUNTIF(deals_closed!D:D,A886)</f>
        <v>14</v>
      </c>
      <c r="G886" s="5">
        <f>SUMIF(deals_closed!D:D, calculations!A886, deals_closed!C:C)</f>
        <v>493164</v>
      </c>
      <c r="H886" s="5">
        <f>VLOOKUP(D886,'2018_commission_structure'!$A$2:$I$4,9,FALSE)</f>
        <v>750000</v>
      </c>
      <c r="I886" s="9">
        <f t="shared" si="78"/>
        <v>937500</v>
      </c>
      <c r="J886" s="8">
        <f t="shared" si="79"/>
        <v>1125000</v>
      </c>
      <c r="K886" s="9">
        <f t="shared" si="80"/>
        <v>1500000</v>
      </c>
      <c r="L886" s="10">
        <f t="shared" si="81"/>
        <v>0.65755200000000003</v>
      </c>
      <c r="M886" t="str">
        <f t="shared" si="82"/>
        <v>0-100%</v>
      </c>
      <c r="N886" s="9">
        <f>MIN(H886, G886)*INDEX('2018_commission_structure'!$A$1:$I$4,
MATCH($D886, '2018_commission_structure'!$A$1:$A$4,0),
MATCH(N$1, '2018_commission_structure'!$A$1:$I$1,0))</f>
        <v>73974.599999999991</v>
      </c>
      <c r="O886" s="11">
        <f>IF(G886&gt;H886, MIN(G886-H886, I886-H886)*
INDEX('2018_commission_structure'!$A$1:$I$4,
MATCH($D886, '2018_commission_structure'!$A$1:$A$4, 0),
MATCH(O$1, '2018_commission_structure'!$A$1:$I$1, 0)), 0)</f>
        <v>0</v>
      </c>
      <c r="P886" s="11">
        <f>IF(G886&gt;H886, MIN(G886-H886, J886-H886)*
INDEX('2018_commission_structure'!$A$1:$I$4,
MATCH($D886, '2018_commission_structure'!$A$1:$A$4, 0),
MATCH(O$1, '2018_commission_structure'!$A$1:$I$1, 0)), 0)</f>
        <v>0</v>
      </c>
      <c r="Q886" s="11">
        <f>IF(G886&gt;H886, MIN(G886-H886, I886-H886)*
INDEX('2018_commission_structure'!$A$1:$I$4,
MATCH($D886, '2018_commission_structure'!$A$1:$A$4, 0),
MATCH(P$1, '2018_commission_structure'!$A$1:$I$1, 0)), 0)</f>
        <v>0</v>
      </c>
      <c r="R886" s="11">
        <f>IF(G886&gt;K886, (G886-K886) *
INDEX('2018_commission_structure'!$A$1:$I$4,
MATCH($D886, '2018_commission_structure'!$A$1:$A$4,0),
MATCH(R$1, '2018_commission_structure'!$A$1:$I$1,0)), 0)</f>
        <v>0</v>
      </c>
      <c r="S886" s="11">
        <f t="shared" si="83"/>
        <v>0</v>
      </c>
      <c r="T886" s="11" cm="1">
        <f t="array" ref="T886">SUM(E886+O886:Q886)</f>
        <v>254763</v>
      </c>
    </row>
    <row r="887" spans="1:20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 xml:space="preserve"> COUNTIF(deals_closed!D:D,A887)</f>
        <v>18</v>
      </c>
      <c r="G887" s="5">
        <f>SUMIF(deals_closed!D:D, calculations!A887, deals_closed!C:C)</f>
        <v>717908</v>
      </c>
      <c r="H887" s="5">
        <f>VLOOKUP(D887,'2018_commission_structure'!$A$2:$I$4,9,FALSE)</f>
        <v>500000</v>
      </c>
      <c r="I887" s="9">
        <f t="shared" si="78"/>
        <v>625000</v>
      </c>
      <c r="J887" s="8">
        <f t="shared" si="79"/>
        <v>750000</v>
      </c>
      <c r="K887" s="9">
        <f t="shared" si="80"/>
        <v>1000000</v>
      </c>
      <c r="L887" s="10">
        <f t="shared" si="81"/>
        <v>1.435816</v>
      </c>
      <c r="M887" t="str">
        <f t="shared" si="82"/>
        <v>125-150%</v>
      </c>
      <c r="N887" s="9">
        <f>MIN(H887, G887)*INDEX('2018_commission_structure'!$A$1:$I$4,
MATCH($D887, '2018_commission_structure'!$A$1:$A$4,0),
MATCH(N$1, '2018_commission_structure'!$A$1:$I$1,0))</f>
        <v>50000</v>
      </c>
      <c r="O887" s="11">
        <f>IF(G887&gt;H887, MIN(G887-H887, I887-H887)*
INDEX('2018_commission_structure'!$A$1:$I$4,
MATCH($D887, '2018_commission_structure'!$A$1:$A$4, 0),
MATCH(O$1, '2018_commission_structure'!$A$1:$I$1, 0)), 0)</f>
        <v>18750</v>
      </c>
      <c r="P887" s="11">
        <f>IF(G887&gt;H887, MIN(G887-H887, J887-H887)*
INDEX('2018_commission_structure'!$A$1:$I$4,
MATCH($D887, '2018_commission_structure'!$A$1:$A$4, 0),
MATCH(O$1, '2018_commission_structure'!$A$1:$I$1, 0)), 0)</f>
        <v>32686.199999999997</v>
      </c>
      <c r="Q887" s="11">
        <f>IF(G887&gt;H887, MIN(G887-H887, I887-H887)*
INDEX('2018_commission_structure'!$A$1:$I$4,
MATCH($D887, '2018_commission_structure'!$A$1:$A$4, 0),
MATCH(P$1, '2018_commission_structure'!$A$1:$I$1, 0)), 0)</f>
        <v>22500</v>
      </c>
      <c r="R887" s="11">
        <f>IF(G887&gt;K887, (G887-K887) *
INDEX('2018_commission_structure'!$A$1:$I$4,
MATCH($D887, '2018_commission_structure'!$A$1:$A$4,0),
MATCH(R$1, '2018_commission_structure'!$A$1:$I$1,0)), 0)</f>
        <v>0</v>
      </c>
      <c r="S887" s="11">
        <f t="shared" si="83"/>
        <v>73936.2</v>
      </c>
      <c r="T887" s="11" cm="1">
        <f t="array" ref="T887">SUM(E887+O887:Q887)</f>
        <v>200704.2</v>
      </c>
    </row>
    <row r="888" spans="1:20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 xml:space="preserve"> COUNTIF(deals_closed!D:D,A888)</f>
        <v>25</v>
      </c>
      <c r="G888" s="5">
        <f>SUMIF(deals_closed!D:D, calculations!A888, deals_closed!C:C)</f>
        <v>863714</v>
      </c>
      <c r="H888" s="5">
        <f>VLOOKUP(D888,'2018_commission_structure'!$A$2:$I$4,9,FALSE)</f>
        <v>500000</v>
      </c>
      <c r="I888" s="9">
        <f t="shared" si="78"/>
        <v>625000</v>
      </c>
      <c r="J888" s="8">
        <f t="shared" si="79"/>
        <v>750000</v>
      </c>
      <c r="K888" s="9">
        <f t="shared" si="80"/>
        <v>1000000</v>
      </c>
      <c r="L888" s="10">
        <f t="shared" si="81"/>
        <v>1.727428</v>
      </c>
      <c r="M888" t="str">
        <f t="shared" si="82"/>
        <v>150-200%</v>
      </c>
      <c r="N888" s="9">
        <f>MIN(H888, G888)*INDEX('2018_commission_structure'!$A$1:$I$4,
MATCH($D888, '2018_commission_structure'!$A$1:$A$4,0),
MATCH(N$1, '2018_commission_structure'!$A$1:$I$1,0))</f>
        <v>50000</v>
      </c>
      <c r="O888" s="11">
        <f>IF(G888&gt;H888, MIN(G888-H888, I888-H888)*
INDEX('2018_commission_structure'!$A$1:$I$4,
MATCH($D888, '2018_commission_structure'!$A$1:$A$4, 0),
MATCH(O$1, '2018_commission_structure'!$A$1:$I$1, 0)), 0)</f>
        <v>18750</v>
      </c>
      <c r="P888" s="11">
        <f>IF(G888&gt;H888, MIN(G888-H888, J888-H888)*
INDEX('2018_commission_structure'!$A$1:$I$4,
MATCH($D888, '2018_commission_structure'!$A$1:$A$4, 0),
MATCH(O$1, '2018_commission_structure'!$A$1:$I$1, 0)), 0)</f>
        <v>37500</v>
      </c>
      <c r="Q888" s="11">
        <f>IF(G888&gt;H888, MIN(G888-H888, I888-H888)*
INDEX('2018_commission_structure'!$A$1:$I$4,
MATCH($D888, '2018_commission_structure'!$A$1:$A$4, 0),
MATCH(P$1, '2018_commission_structure'!$A$1:$I$1, 0)), 0)</f>
        <v>22500</v>
      </c>
      <c r="R888" s="11">
        <f>IF(G888&gt;K888, (G888-K888) *
INDEX('2018_commission_structure'!$A$1:$I$4,
MATCH($D888, '2018_commission_structure'!$A$1:$A$4,0),
MATCH(R$1, '2018_commission_structure'!$A$1:$I$1,0)), 0)</f>
        <v>0</v>
      </c>
      <c r="S888" s="11">
        <f t="shared" si="83"/>
        <v>78750</v>
      </c>
      <c r="T888" s="11" cm="1">
        <f t="array" ref="T888">SUM(E888+O888:Q888)</f>
        <v>195234</v>
      </c>
    </row>
    <row r="889" spans="1:20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 xml:space="preserve"> COUNTIF(deals_closed!D:D,A889)</f>
        <v>21</v>
      </c>
      <c r="G889" s="5">
        <f>SUMIF(deals_closed!D:D, calculations!A889, deals_closed!C:C)</f>
        <v>698575</v>
      </c>
      <c r="H889" s="5">
        <f>VLOOKUP(D889,'2018_commission_structure'!$A$2:$I$4,9,FALSE)</f>
        <v>750000</v>
      </c>
      <c r="I889" s="9">
        <f t="shared" si="78"/>
        <v>937500</v>
      </c>
      <c r="J889" s="8">
        <f t="shared" si="79"/>
        <v>1125000</v>
      </c>
      <c r="K889" s="9">
        <f t="shared" si="80"/>
        <v>1500000</v>
      </c>
      <c r="L889" s="10">
        <f t="shared" si="81"/>
        <v>0.93143333333333334</v>
      </c>
      <c r="M889" t="str">
        <f t="shared" si="82"/>
        <v>0-100%</v>
      </c>
      <c r="N889" s="9">
        <f>MIN(H889, G889)*INDEX('2018_commission_structure'!$A$1:$I$4,
MATCH($D889, '2018_commission_structure'!$A$1:$A$4,0),
MATCH(N$1, '2018_commission_structure'!$A$1:$I$1,0))</f>
        <v>104786.25</v>
      </c>
      <c r="O889" s="11">
        <f>IF(G889&gt;H889, MIN(G889-H889, I889-H889)*
INDEX('2018_commission_structure'!$A$1:$I$4,
MATCH($D889, '2018_commission_structure'!$A$1:$A$4, 0),
MATCH(O$1, '2018_commission_structure'!$A$1:$I$1, 0)), 0)</f>
        <v>0</v>
      </c>
      <c r="P889" s="11">
        <f>IF(G889&gt;H889, MIN(G889-H889, J889-H889)*
INDEX('2018_commission_structure'!$A$1:$I$4,
MATCH($D889, '2018_commission_structure'!$A$1:$A$4, 0),
MATCH(O$1, '2018_commission_structure'!$A$1:$I$1, 0)), 0)</f>
        <v>0</v>
      </c>
      <c r="Q889" s="11">
        <f>IF(G889&gt;H889, MIN(G889-H889, I889-H889)*
INDEX('2018_commission_structure'!$A$1:$I$4,
MATCH($D889, '2018_commission_structure'!$A$1:$A$4, 0),
MATCH(P$1, '2018_commission_structure'!$A$1:$I$1, 0)), 0)</f>
        <v>0</v>
      </c>
      <c r="R889" s="11">
        <f>IF(G889&gt;K889, (G889-K889) *
INDEX('2018_commission_structure'!$A$1:$I$4,
MATCH($D889, '2018_commission_structure'!$A$1:$A$4,0),
MATCH(R$1, '2018_commission_structure'!$A$1:$I$1,0)), 0)</f>
        <v>0</v>
      </c>
      <c r="S889" s="11">
        <f t="shared" si="83"/>
        <v>0</v>
      </c>
      <c r="T889" s="11" cm="1">
        <f t="array" ref="T889">SUM(E889+O889:Q889)</f>
        <v>271125</v>
      </c>
    </row>
    <row r="890" spans="1:20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 xml:space="preserve"> COUNTIF(deals_closed!D:D,A890)</f>
        <v>28</v>
      </c>
      <c r="G890" s="5">
        <f>SUMIF(deals_closed!D:D, calculations!A890, deals_closed!C:C)</f>
        <v>875408</v>
      </c>
      <c r="H890" s="5">
        <f>VLOOKUP(D890,'2018_commission_structure'!$A$2:$I$4,9,FALSE)</f>
        <v>750000</v>
      </c>
      <c r="I890" s="9">
        <f t="shared" si="78"/>
        <v>937500</v>
      </c>
      <c r="J890" s="8">
        <f t="shared" si="79"/>
        <v>1125000</v>
      </c>
      <c r="K890" s="9">
        <f t="shared" si="80"/>
        <v>1500000</v>
      </c>
      <c r="L890" s="10">
        <f t="shared" si="81"/>
        <v>1.1672106666666666</v>
      </c>
      <c r="M890" t="str">
        <f t="shared" si="82"/>
        <v>100-125%</v>
      </c>
      <c r="N890" s="9">
        <f>MIN(H890, G890)*INDEX('2018_commission_structure'!$A$1:$I$4,
MATCH($D890, '2018_commission_structure'!$A$1:$A$4,0),
MATCH(N$1, '2018_commission_structure'!$A$1:$I$1,0))</f>
        <v>112500</v>
      </c>
      <c r="O890" s="11">
        <f>IF(G890&gt;H890, MIN(G890-H890, I890-H890)*
INDEX('2018_commission_structure'!$A$1:$I$4,
MATCH($D890, '2018_commission_structure'!$A$1:$A$4, 0),
MATCH(O$1, '2018_commission_structure'!$A$1:$I$1, 0)), 0)</f>
        <v>23827.52</v>
      </c>
      <c r="P890" s="11">
        <f>IF(G890&gt;H890, MIN(G890-H890, J890-H890)*
INDEX('2018_commission_structure'!$A$1:$I$4,
MATCH($D890, '2018_commission_structure'!$A$1:$A$4, 0),
MATCH(O$1, '2018_commission_structure'!$A$1:$I$1, 0)), 0)</f>
        <v>23827.52</v>
      </c>
      <c r="Q890" s="11">
        <f>IF(G890&gt;H890, MIN(G890-H890, I890-H890)*
INDEX('2018_commission_structure'!$A$1:$I$4,
MATCH($D890, '2018_commission_structure'!$A$1:$A$4, 0),
MATCH(P$1, '2018_commission_structure'!$A$1:$I$1, 0)), 0)</f>
        <v>28843.84</v>
      </c>
      <c r="R890" s="11">
        <f>IF(G890&gt;K890, (G890-K890) *
INDEX('2018_commission_structure'!$A$1:$I$4,
MATCH($D890, '2018_commission_structure'!$A$1:$A$4,0),
MATCH(R$1, '2018_commission_structure'!$A$1:$I$1,0)), 0)</f>
        <v>0</v>
      </c>
      <c r="S890" s="11">
        <f t="shared" si="83"/>
        <v>76498.880000000005</v>
      </c>
      <c r="T890" s="11" cm="1">
        <f t="array" ref="T890">SUM(E890+O890:Q890)</f>
        <v>406042.88</v>
      </c>
    </row>
    <row r="891" spans="1:20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 xml:space="preserve"> COUNTIF(deals_closed!D:D,A891)</f>
        <v>19</v>
      </c>
      <c r="G891" s="5">
        <f>SUMIF(deals_closed!D:D, calculations!A891, deals_closed!C:C)</f>
        <v>681974</v>
      </c>
      <c r="H891" s="5">
        <f>VLOOKUP(D891,'2018_commission_structure'!$A$2:$I$4,9,FALSE)</f>
        <v>750000</v>
      </c>
      <c r="I891" s="9">
        <f t="shared" si="78"/>
        <v>937500</v>
      </c>
      <c r="J891" s="8">
        <f t="shared" si="79"/>
        <v>1125000</v>
      </c>
      <c r="K891" s="9">
        <f t="shared" si="80"/>
        <v>1500000</v>
      </c>
      <c r="L891" s="10">
        <f t="shared" si="81"/>
        <v>0.9092986666666667</v>
      </c>
      <c r="M891" t="str">
        <f t="shared" si="82"/>
        <v>0-100%</v>
      </c>
      <c r="N891" s="9">
        <f>MIN(H891, G891)*INDEX('2018_commission_structure'!$A$1:$I$4,
MATCH($D891, '2018_commission_structure'!$A$1:$A$4,0),
MATCH(N$1, '2018_commission_structure'!$A$1:$I$1,0))</f>
        <v>102296.09999999999</v>
      </c>
      <c r="O891" s="11">
        <f>IF(G891&gt;H891, MIN(G891-H891, I891-H891)*
INDEX('2018_commission_structure'!$A$1:$I$4,
MATCH($D891, '2018_commission_structure'!$A$1:$A$4, 0),
MATCH(O$1, '2018_commission_structure'!$A$1:$I$1, 0)), 0)</f>
        <v>0</v>
      </c>
      <c r="P891" s="11">
        <f>IF(G891&gt;H891, MIN(G891-H891, J891-H891)*
INDEX('2018_commission_structure'!$A$1:$I$4,
MATCH($D891, '2018_commission_structure'!$A$1:$A$4, 0),
MATCH(O$1, '2018_commission_structure'!$A$1:$I$1, 0)), 0)</f>
        <v>0</v>
      </c>
      <c r="Q891" s="11">
        <f>IF(G891&gt;H891, MIN(G891-H891, I891-H891)*
INDEX('2018_commission_structure'!$A$1:$I$4,
MATCH($D891, '2018_commission_structure'!$A$1:$A$4, 0),
MATCH(P$1, '2018_commission_structure'!$A$1:$I$1, 0)), 0)</f>
        <v>0</v>
      </c>
      <c r="R891" s="11">
        <f>IF(G891&gt;K891, (G891-K891) *
INDEX('2018_commission_structure'!$A$1:$I$4,
MATCH($D891, '2018_commission_structure'!$A$1:$A$4,0),
MATCH(R$1, '2018_commission_structure'!$A$1:$I$1,0)), 0)</f>
        <v>0</v>
      </c>
      <c r="S891" s="11">
        <f t="shared" si="83"/>
        <v>0</v>
      </c>
      <c r="T891" s="11" cm="1">
        <f t="array" ref="T891">SUM(E891+O891:Q891)</f>
        <v>256149</v>
      </c>
    </row>
    <row r="892" spans="1:20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 xml:space="preserve"> COUNTIF(deals_closed!D:D,A892)</f>
        <v>18</v>
      </c>
      <c r="G892" s="5">
        <f>SUMIF(deals_closed!D:D, calculations!A892, deals_closed!C:C)</f>
        <v>646520</v>
      </c>
      <c r="H892" s="5">
        <f>VLOOKUP(D892,'2018_commission_structure'!$A$2:$I$4,9,FALSE)</f>
        <v>500000</v>
      </c>
      <c r="I892" s="9">
        <f t="shared" si="78"/>
        <v>625000</v>
      </c>
      <c r="J892" s="8">
        <f t="shared" si="79"/>
        <v>750000</v>
      </c>
      <c r="K892" s="9">
        <f t="shared" si="80"/>
        <v>1000000</v>
      </c>
      <c r="L892" s="10">
        <f t="shared" si="81"/>
        <v>1.29304</v>
      </c>
      <c r="M892" t="str">
        <f t="shared" si="82"/>
        <v>125-150%</v>
      </c>
      <c r="N892" s="9">
        <f>MIN(H892, G892)*INDEX('2018_commission_structure'!$A$1:$I$4,
MATCH($D892, '2018_commission_structure'!$A$1:$A$4,0),
MATCH(N$1, '2018_commission_structure'!$A$1:$I$1,0))</f>
        <v>50000</v>
      </c>
      <c r="O892" s="11">
        <f>IF(G892&gt;H892, MIN(G892-H892, I892-H892)*
INDEX('2018_commission_structure'!$A$1:$I$4,
MATCH($D892, '2018_commission_structure'!$A$1:$A$4, 0),
MATCH(O$1, '2018_commission_structure'!$A$1:$I$1, 0)), 0)</f>
        <v>18750</v>
      </c>
      <c r="P892" s="11">
        <f>IF(G892&gt;H892, MIN(G892-H892, J892-H892)*
INDEX('2018_commission_structure'!$A$1:$I$4,
MATCH($D892, '2018_commission_structure'!$A$1:$A$4, 0),
MATCH(O$1, '2018_commission_structure'!$A$1:$I$1, 0)), 0)</f>
        <v>21978</v>
      </c>
      <c r="Q892" s="11">
        <f>IF(G892&gt;H892, MIN(G892-H892, I892-H892)*
INDEX('2018_commission_structure'!$A$1:$I$4,
MATCH($D892, '2018_commission_structure'!$A$1:$A$4, 0),
MATCH(P$1, '2018_commission_structure'!$A$1:$I$1, 0)), 0)</f>
        <v>22500</v>
      </c>
      <c r="R892" s="11">
        <f>IF(G892&gt;K892, (G892-K892) *
INDEX('2018_commission_structure'!$A$1:$I$4,
MATCH($D892, '2018_commission_structure'!$A$1:$A$4,0),
MATCH(R$1, '2018_commission_structure'!$A$1:$I$1,0)), 0)</f>
        <v>0</v>
      </c>
      <c r="S892" s="11">
        <f t="shared" si="83"/>
        <v>63228</v>
      </c>
      <c r="T892" s="11" cm="1">
        <f t="array" ref="T892">SUM(E892+O892:Q892)</f>
        <v>189513</v>
      </c>
    </row>
    <row r="893" spans="1:20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 xml:space="preserve"> COUNTIF(deals_closed!D:D,A893)</f>
        <v>23</v>
      </c>
      <c r="G893" s="5">
        <f>SUMIF(deals_closed!D:D, calculations!A893, deals_closed!C:C)</f>
        <v>916079</v>
      </c>
      <c r="H893" s="5">
        <f>VLOOKUP(D893,'2018_commission_structure'!$A$2:$I$4,9,FALSE)</f>
        <v>750000</v>
      </c>
      <c r="I893" s="9">
        <f t="shared" si="78"/>
        <v>937500</v>
      </c>
      <c r="J893" s="8">
        <f t="shared" si="79"/>
        <v>1125000</v>
      </c>
      <c r="K893" s="9">
        <f t="shared" si="80"/>
        <v>1500000</v>
      </c>
      <c r="L893" s="10">
        <f t="shared" si="81"/>
        <v>1.2214386666666666</v>
      </c>
      <c r="M893" t="str">
        <f t="shared" si="82"/>
        <v>100-125%</v>
      </c>
      <c r="N893" s="9">
        <f>MIN(H893, G893)*INDEX('2018_commission_structure'!$A$1:$I$4,
MATCH($D893, '2018_commission_structure'!$A$1:$A$4,0),
MATCH(N$1, '2018_commission_structure'!$A$1:$I$1,0))</f>
        <v>112500</v>
      </c>
      <c r="O893" s="11">
        <f>IF(G893&gt;H893, MIN(G893-H893, I893-H893)*
INDEX('2018_commission_structure'!$A$1:$I$4,
MATCH($D893, '2018_commission_structure'!$A$1:$A$4, 0),
MATCH(O$1, '2018_commission_structure'!$A$1:$I$1, 0)), 0)</f>
        <v>31555.010000000002</v>
      </c>
      <c r="P893" s="11">
        <f>IF(G893&gt;H893, MIN(G893-H893, J893-H893)*
INDEX('2018_commission_structure'!$A$1:$I$4,
MATCH($D893, '2018_commission_structure'!$A$1:$A$4, 0),
MATCH(O$1, '2018_commission_structure'!$A$1:$I$1, 0)), 0)</f>
        <v>31555.010000000002</v>
      </c>
      <c r="Q893" s="11">
        <f>IF(G893&gt;H893, MIN(G893-H893, I893-H893)*
INDEX('2018_commission_structure'!$A$1:$I$4,
MATCH($D893, '2018_commission_structure'!$A$1:$A$4, 0),
MATCH(P$1, '2018_commission_structure'!$A$1:$I$1, 0)), 0)</f>
        <v>38198.17</v>
      </c>
      <c r="R893" s="11">
        <f>IF(G893&gt;K893, (G893-K893) *
INDEX('2018_commission_structure'!$A$1:$I$4,
MATCH($D893, '2018_commission_structure'!$A$1:$A$4,0),
MATCH(R$1, '2018_commission_structure'!$A$1:$I$1,0)), 0)</f>
        <v>0</v>
      </c>
      <c r="S893" s="11">
        <f t="shared" si="83"/>
        <v>101308.19</v>
      </c>
      <c r="T893" s="11" cm="1">
        <f t="array" ref="T893">SUM(E893+O893:Q893)</f>
        <v>456595.19</v>
      </c>
    </row>
    <row r="894" spans="1:20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 xml:space="preserve"> COUNTIF(deals_closed!D:D,A894)</f>
        <v>13</v>
      </c>
      <c r="G894" s="5">
        <f>SUMIF(deals_closed!D:D, calculations!A894, deals_closed!C:C)</f>
        <v>475164</v>
      </c>
      <c r="H894" s="5">
        <f>VLOOKUP(D894,'2018_commission_structure'!$A$2:$I$4,9,FALSE)</f>
        <v>600000</v>
      </c>
      <c r="I894" s="9">
        <f t="shared" si="78"/>
        <v>750000</v>
      </c>
      <c r="J894" s="8">
        <f t="shared" si="79"/>
        <v>900000</v>
      </c>
      <c r="K894" s="9">
        <f t="shared" si="80"/>
        <v>1200000</v>
      </c>
      <c r="L894" s="10">
        <f t="shared" si="81"/>
        <v>0.79193999999999998</v>
      </c>
      <c r="M894" t="str">
        <f t="shared" si="82"/>
        <v>0-100%</v>
      </c>
      <c r="N894" s="9">
        <f>MIN(H894, G894)*INDEX('2018_commission_structure'!$A$1:$I$4,
MATCH($D894, '2018_commission_structure'!$A$1:$A$4,0),
MATCH(N$1, '2018_commission_structure'!$A$1:$I$1,0))</f>
        <v>61771.32</v>
      </c>
      <c r="O894" s="11">
        <f>IF(G894&gt;H894, MIN(G894-H894, I894-H894)*
INDEX('2018_commission_structure'!$A$1:$I$4,
MATCH($D894, '2018_commission_structure'!$A$1:$A$4, 0),
MATCH(O$1, '2018_commission_structure'!$A$1:$I$1, 0)), 0)</f>
        <v>0</v>
      </c>
      <c r="P894" s="11">
        <f>IF(G894&gt;H894, MIN(G894-H894, J894-H894)*
INDEX('2018_commission_structure'!$A$1:$I$4,
MATCH($D894, '2018_commission_structure'!$A$1:$A$4, 0),
MATCH(O$1, '2018_commission_structure'!$A$1:$I$1, 0)), 0)</f>
        <v>0</v>
      </c>
      <c r="Q894" s="11">
        <f>IF(G894&gt;H894, MIN(G894-H894, I894-H894)*
INDEX('2018_commission_structure'!$A$1:$I$4,
MATCH($D894, '2018_commission_structure'!$A$1:$A$4, 0),
MATCH(P$1, '2018_commission_structure'!$A$1:$I$1, 0)), 0)</f>
        <v>0</v>
      </c>
      <c r="R894" s="11">
        <f>IF(G894&gt;K894, (G894-K894) *
INDEX('2018_commission_structure'!$A$1:$I$4,
MATCH($D894, '2018_commission_structure'!$A$1:$A$4,0),
MATCH(R$1, '2018_commission_structure'!$A$1:$I$1,0)), 0)</f>
        <v>0</v>
      </c>
      <c r="S894" s="11">
        <f t="shared" si="83"/>
        <v>0</v>
      </c>
      <c r="T894" s="11" cm="1">
        <f t="array" ref="T894">SUM(E894+O894:Q894)</f>
        <v>231801</v>
      </c>
    </row>
    <row r="895" spans="1:20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 xml:space="preserve"> COUNTIF(deals_closed!D:D,A895)</f>
        <v>25</v>
      </c>
      <c r="G895" s="5">
        <f>SUMIF(deals_closed!D:D, calculations!A895, deals_closed!C:C)</f>
        <v>876577</v>
      </c>
      <c r="H895" s="5">
        <f>VLOOKUP(D895,'2018_commission_structure'!$A$2:$I$4,9,FALSE)</f>
        <v>500000</v>
      </c>
      <c r="I895" s="9">
        <f t="shared" si="78"/>
        <v>625000</v>
      </c>
      <c r="J895" s="8">
        <f t="shared" si="79"/>
        <v>750000</v>
      </c>
      <c r="K895" s="9">
        <f t="shared" si="80"/>
        <v>1000000</v>
      </c>
      <c r="L895" s="10">
        <f t="shared" si="81"/>
        <v>1.7531540000000001</v>
      </c>
      <c r="M895" t="str">
        <f t="shared" si="82"/>
        <v>150-200%</v>
      </c>
      <c r="N895" s="9">
        <f>MIN(H895, G895)*INDEX('2018_commission_structure'!$A$1:$I$4,
MATCH($D895, '2018_commission_structure'!$A$1:$A$4,0),
MATCH(N$1, '2018_commission_structure'!$A$1:$I$1,0))</f>
        <v>50000</v>
      </c>
      <c r="O895" s="11">
        <f>IF(G895&gt;H895, MIN(G895-H895, I895-H895)*
INDEX('2018_commission_structure'!$A$1:$I$4,
MATCH($D895, '2018_commission_structure'!$A$1:$A$4, 0),
MATCH(O$1, '2018_commission_structure'!$A$1:$I$1, 0)), 0)</f>
        <v>18750</v>
      </c>
      <c r="P895" s="11">
        <f>IF(G895&gt;H895, MIN(G895-H895, J895-H895)*
INDEX('2018_commission_structure'!$A$1:$I$4,
MATCH($D895, '2018_commission_structure'!$A$1:$A$4, 0),
MATCH(O$1, '2018_commission_structure'!$A$1:$I$1, 0)), 0)</f>
        <v>37500</v>
      </c>
      <c r="Q895" s="11">
        <f>IF(G895&gt;H895, MIN(G895-H895, I895-H895)*
INDEX('2018_commission_structure'!$A$1:$I$4,
MATCH($D895, '2018_commission_structure'!$A$1:$A$4, 0),
MATCH(P$1, '2018_commission_structure'!$A$1:$I$1, 0)), 0)</f>
        <v>22500</v>
      </c>
      <c r="R895" s="11">
        <f>IF(G895&gt;K895, (G895-K895) *
INDEX('2018_commission_structure'!$A$1:$I$4,
MATCH($D895, '2018_commission_structure'!$A$1:$A$4,0),
MATCH(R$1, '2018_commission_structure'!$A$1:$I$1,0)), 0)</f>
        <v>0</v>
      </c>
      <c r="S895" s="11">
        <f t="shared" si="83"/>
        <v>78750</v>
      </c>
      <c r="T895" s="11" cm="1">
        <f t="array" ref="T895">SUM(E895+O895:Q895)</f>
        <v>239118</v>
      </c>
    </row>
    <row r="896" spans="1:20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 xml:space="preserve"> COUNTIF(deals_closed!D:D,A896)</f>
        <v>21</v>
      </c>
      <c r="G896" s="5">
        <f>SUMIF(deals_closed!D:D, calculations!A896, deals_closed!C:C)</f>
        <v>713761</v>
      </c>
      <c r="H896" s="5">
        <f>VLOOKUP(D896,'2018_commission_structure'!$A$2:$I$4,9,FALSE)</f>
        <v>600000</v>
      </c>
      <c r="I896" s="9">
        <f t="shared" si="78"/>
        <v>750000</v>
      </c>
      <c r="J896" s="8">
        <f t="shared" si="79"/>
        <v>900000</v>
      </c>
      <c r="K896" s="9">
        <f t="shared" si="80"/>
        <v>1200000</v>
      </c>
      <c r="L896" s="10">
        <f t="shared" si="81"/>
        <v>1.1896016666666667</v>
      </c>
      <c r="M896" t="str">
        <f t="shared" si="82"/>
        <v>100-125%</v>
      </c>
      <c r="N896" s="9">
        <f>MIN(H896, G896)*INDEX('2018_commission_structure'!$A$1:$I$4,
MATCH($D896, '2018_commission_structure'!$A$1:$A$4,0),
MATCH(N$1, '2018_commission_structure'!$A$1:$I$1,0))</f>
        <v>78000</v>
      </c>
      <c r="O896" s="11">
        <f>IF(G896&gt;H896, MIN(G896-H896, I896-H896)*
INDEX('2018_commission_structure'!$A$1:$I$4,
MATCH($D896, '2018_commission_structure'!$A$1:$A$4, 0),
MATCH(O$1, '2018_commission_structure'!$A$1:$I$1, 0)), 0)</f>
        <v>19339.370000000003</v>
      </c>
      <c r="P896" s="11">
        <f>IF(G896&gt;H896, MIN(G896-H896, J896-H896)*
INDEX('2018_commission_structure'!$A$1:$I$4,
MATCH($D896, '2018_commission_structure'!$A$1:$A$4, 0),
MATCH(O$1, '2018_commission_structure'!$A$1:$I$1, 0)), 0)</f>
        <v>19339.370000000003</v>
      </c>
      <c r="Q896" s="11">
        <f>IF(G896&gt;H896, MIN(G896-H896, I896-H896)*
INDEX('2018_commission_structure'!$A$1:$I$4,
MATCH($D896, '2018_commission_structure'!$A$1:$A$4, 0),
MATCH(P$1, '2018_commission_structure'!$A$1:$I$1, 0)), 0)</f>
        <v>23889.809999999998</v>
      </c>
      <c r="R896" s="11">
        <f>IF(G896&gt;K896, (G896-K896) *
INDEX('2018_commission_structure'!$A$1:$I$4,
MATCH($D896, '2018_commission_structure'!$A$1:$A$4,0),
MATCH(R$1, '2018_commission_structure'!$A$1:$I$1,0)), 0)</f>
        <v>0</v>
      </c>
      <c r="S896" s="11">
        <f t="shared" si="83"/>
        <v>62568.55</v>
      </c>
      <c r="T896" s="11" cm="1">
        <f t="array" ref="T896">SUM(E896+O896:Q896)</f>
        <v>276282.55</v>
      </c>
    </row>
    <row r="897" spans="1:20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 xml:space="preserve"> COUNTIF(deals_closed!D:D,A897)</f>
        <v>15</v>
      </c>
      <c r="G897" s="5">
        <f>SUMIF(deals_closed!D:D, calculations!A897, deals_closed!C:C)</f>
        <v>439483</v>
      </c>
      <c r="H897" s="5">
        <f>VLOOKUP(D897,'2018_commission_structure'!$A$2:$I$4,9,FALSE)</f>
        <v>500000</v>
      </c>
      <c r="I897" s="9">
        <f t="shared" si="78"/>
        <v>625000</v>
      </c>
      <c r="J897" s="8">
        <f t="shared" si="79"/>
        <v>750000</v>
      </c>
      <c r="K897" s="9">
        <f t="shared" si="80"/>
        <v>1000000</v>
      </c>
      <c r="L897" s="10">
        <f t="shared" si="81"/>
        <v>0.87896600000000003</v>
      </c>
      <c r="M897" t="str">
        <f t="shared" si="82"/>
        <v>0-100%</v>
      </c>
      <c r="N897" s="9">
        <f>MIN(H897, G897)*INDEX('2018_commission_structure'!$A$1:$I$4,
MATCH($D897, '2018_commission_structure'!$A$1:$A$4,0),
MATCH(N$1, '2018_commission_structure'!$A$1:$I$1,0))</f>
        <v>43948.3</v>
      </c>
      <c r="O897" s="11">
        <f>IF(G897&gt;H897, MIN(G897-H897, I897-H897)*
INDEX('2018_commission_structure'!$A$1:$I$4,
MATCH($D897, '2018_commission_structure'!$A$1:$A$4, 0),
MATCH(O$1, '2018_commission_structure'!$A$1:$I$1, 0)), 0)</f>
        <v>0</v>
      </c>
      <c r="P897" s="11">
        <f>IF(G897&gt;H897, MIN(G897-H897, J897-H897)*
INDEX('2018_commission_structure'!$A$1:$I$4,
MATCH($D897, '2018_commission_structure'!$A$1:$A$4, 0),
MATCH(O$1, '2018_commission_structure'!$A$1:$I$1, 0)), 0)</f>
        <v>0</v>
      </c>
      <c r="Q897" s="11">
        <f>IF(G897&gt;H897, MIN(G897-H897, I897-H897)*
INDEX('2018_commission_structure'!$A$1:$I$4,
MATCH($D897, '2018_commission_structure'!$A$1:$A$4, 0),
MATCH(P$1, '2018_commission_structure'!$A$1:$I$1, 0)), 0)</f>
        <v>0</v>
      </c>
      <c r="R897" s="11">
        <f>IF(G897&gt;K897, (G897-K897) *
INDEX('2018_commission_structure'!$A$1:$I$4,
MATCH($D897, '2018_commission_structure'!$A$1:$A$4,0),
MATCH(R$1, '2018_commission_structure'!$A$1:$I$1,0)), 0)</f>
        <v>0</v>
      </c>
      <c r="S897" s="11">
        <f t="shared" si="83"/>
        <v>0</v>
      </c>
      <c r="T897" s="11" cm="1">
        <f t="array" ref="T897">SUM(E897+O897:Q897)</f>
        <v>131610</v>
      </c>
    </row>
    <row r="898" spans="1:20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 xml:space="preserve"> COUNTIF(deals_closed!D:D,A898)</f>
        <v>26</v>
      </c>
      <c r="G898" s="5">
        <f>SUMIF(deals_closed!D:D, calculations!A898, deals_closed!C:C)</f>
        <v>916479</v>
      </c>
      <c r="H898" s="5">
        <f>VLOOKUP(D898,'2018_commission_structure'!$A$2:$I$4,9,FALSE)</f>
        <v>750000</v>
      </c>
      <c r="I898" s="9">
        <f t="shared" si="78"/>
        <v>937500</v>
      </c>
      <c r="J898" s="8">
        <f t="shared" si="79"/>
        <v>1125000</v>
      </c>
      <c r="K898" s="9">
        <f t="shared" si="80"/>
        <v>1500000</v>
      </c>
      <c r="L898" s="10">
        <f t="shared" si="81"/>
        <v>1.2219720000000001</v>
      </c>
      <c r="M898" t="str">
        <f t="shared" si="82"/>
        <v>100-125%</v>
      </c>
      <c r="N898" s="9">
        <f>MIN(H898, G898)*INDEX('2018_commission_structure'!$A$1:$I$4,
MATCH($D898, '2018_commission_structure'!$A$1:$A$4,0),
MATCH(N$1, '2018_commission_structure'!$A$1:$I$1,0))</f>
        <v>112500</v>
      </c>
      <c r="O898" s="11">
        <f>IF(G898&gt;H898, MIN(G898-H898, I898-H898)*
INDEX('2018_commission_structure'!$A$1:$I$4,
MATCH($D898, '2018_commission_structure'!$A$1:$A$4, 0),
MATCH(O$1, '2018_commission_structure'!$A$1:$I$1, 0)), 0)</f>
        <v>31631.010000000002</v>
      </c>
      <c r="P898" s="11">
        <f>IF(G898&gt;H898, MIN(G898-H898, J898-H898)*
INDEX('2018_commission_structure'!$A$1:$I$4,
MATCH($D898, '2018_commission_structure'!$A$1:$A$4, 0),
MATCH(O$1, '2018_commission_structure'!$A$1:$I$1, 0)), 0)</f>
        <v>31631.010000000002</v>
      </c>
      <c r="Q898" s="11">
        <f>IF(G898&gt;H898, MIN(G898-H898, I898-H898)*
INDEX('2018_commission_structure'!$A$1:$I$4,
MATCH($D898, '2018_commission_structure'!$A$1:$A$4, 0),
MATCH(P$1, '2018_commission_structure'!$A$1:$I$1, 0)), 0)</f>
        <v>38290.17</v>
      </c>
      <c r="R898" s="11">
        <f>IF(G898&gt;K898, (G898-K898) *
INDEX('2018_commission_structure'!$A$1:$I$4,
MATCH($D898, '2018_commission_structure'!$A$1:$A$4,0),
MATCH(R$1, '2018_commission_structure'!$A$1:$I$1,0)), 0)</f>
        <v>0</v>
      </c>
      <c r="S898" s="11">
        <f t="shared" si="83"/>
        <v>101552.19</v>
      </c>
      <c r="T898" s="11" cm="1">
        <f t="array" ref="T898">SUM(E898+O898:Q898)</f>
        <v>379814.19</v>
      </c>
    </row>
    <row r="899" spans="1:20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 xml:space="preserve"> COUNTIF(deals_closed!D:D,A899)</f>
        <v>23</v>
      </c>
      <c r="G899" s="5">
        <f>SUMIF(deals_closed!D:D, calculations!A899, deals_closed!C:C)</f>
        <v>739933</v>
      </c>
      <c r="H899" s="5">
        <f>VLOOKUP(D899,'2018_commission_structure'!$A$2:$I$4,9,FALSE)</f>
        <v>750000</v>
      </c>
      <c r="I899" s="9">
        <f t="shared" ref="I899:I962" si="84">H899*1.25</f>
        <v>937500</v>
      </c>
      <c r="J899" s="8">
        <f t="shared" ref="J899:J962" si="85">H899*1.5</f>
        <v>1125000</v>
      </c>
      <c r="K899" s="9">
        <f t="shared" ref="K899:K962" si="86">H899*2</f>
        <v>1500000</v>
      </c>
      <c r="L899" s="10">
        <f t="shared" ref="L899:L962" si="87">G899/H899</f>
        <v>0.98657733333333331</v>
      </c>
      <c r="M899" t="str">
        <f t="shared" ref="M899:M962" si="88">IF(L899&lt;=1, "0-100%",
IF(L899&lt;=1.25, "100-125%",
IF(L899&lt;=1.5, "125-150%",
IF(L899&lt;2, "150-200%", "&gt;200%"))))</f>
        <v>0-100%</v>
      </c>
      <c r="N899" s="9">
        <f>MIN(H899, G899)*INDEX('2018_commission_structure'!$A$1:$I$4,
MATCH($D899, '2018_commission_structure'!$A$1:$A$4,0),
MATCH(N$1, '2018_commission_structure'!$A$1:$I$1,0))</f>
        <v>110989.95</v>
      </c>
      <c r="O899" s="11">
        <f>IF(G899&gt;H899, MIN(G899-H899, I899-H899)*
INDEX('2018_commission_structure'!$A$1:$I$4,
MATCH($D899, '2018_commission_structure'!$A$1:$A$4, 0),
MATCH(O$1, '2018_commission_structure'!$A$1:$I$1, 0)), 0)</f>
        <v>0</v>
      </c>
      <c r="P899" s="11">
        <f>IF(G899&gt;H899, MIN(G899-H899, J899-H899)*
INDEX('2018_commission_structure'!$A$1:$I$4,
MATCH($D899, '2018_commission_structure'!$A$1:$A$4, 0),
MATCH(O$1, '2018_commission_structure'!$A$1:$I$1, 0)), 0)</f>
        <v>0</v>
      </c>
      <c r="Q899" s="11">
        <f>IF(G899&gt;H899, MIN(G899-H899, I899-H899)*
INDEX('2018_commission_structure'!$A$1:$I$4,
MATCH($D899, '2018_commission_structure'!$A$1:$A$4, 0),
MATCH(P$1, '2018_commission_structure'!$A$1:$I$1, 0)), 0)</f>
        <v>0</v>
      </c>
      <c r="R899" s="11">
        <f>IF(G899&gt;K899, (G899-K899) *
INDEX('2018_commission_structure'!$A$1:$I$4,
MATCH($D899, '2018_commission_structure'!$A$1:$A$4,0),
MATCH(R$1, '2018_commission_structure'!$A$1:$I$1,0)), 0)</f>
        <v>0</v>
      </c>
      <c r="S899" s="11">
        <f t="shared" ref="S899:S962" si="89">SUM(O899:Q899)</f>
        <v>0</v>
      </c>
      <c r="T899" s="11" cm="1">
        <f t="array" ref="T899">SUM(E899+O899:Q899)</f>
        <v>354621</v>
      </c>
    </row>
    <row r="900" spans="1:20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 xml:space="preserve"> COUNTIF(deals_closed!D:D,A900)</f>
        <v>11</v>
      </c>
      <c r="G900" s="5">
        <f>SUMIF(deals_closed!D:D, calculations!A900, deals_closed!C:C)</f>
        <v>371993</v>
      </c>
      <c r="H900" s="5">
        <f>VLOOKUP(D900,'2018_commission_structure'!$A$2:$I$4,9,FALSE)</f>
        <v>500000</v>
      </c>
      <c r="I900" s="9">
        <f t="shared" si="84"/>
        <v>625000</v>
      </c>
      <c r="J900" s="8">
        <f t="shared" si="85"/>
        <v>750000</v>
      </c>
      <c r="K900" s="9">
        <f t="shared" si="86"/>
        <v>1000000</v>
      </c>
      <c r="L900" s="10">
        <f t="shared" si="87"/>
        <v>0.74398600000000004</v>
      </c>
      <c r="M900" t="str">
        <f t="shared" si="88"/>
        <v>0-100%</v>
      </c>
      <c r="N900" s="9">
        <f>MIN(H900, G900)*INDEX('2018_commission_structure'!$A$1:$I$4,
MATCH($D900, '2018_commission_structure'!$A$1:$A$4,0),
MATCH(N$1, '2018_commission_structure'!$A$1:$I$1,0))</f>
        <v>37199.300000000003</v>
      </c>
      <c r="O900" s="11">
        <f>IF(G900&gt;H900, MIN(G900-H900, I900-H900)*
INDEX('2018_commission_structure'!$A$1:$I$4,
MATCH($D900, '2018_commission_structure'!$A$1:$A$4, 0),
MATCH(O$1, '2018_commission_structure'!$A$1:$I$1, 0)), 0)</f>
        <v>0</v>
      </c>
      <c r="P900" s="11">
        <f>IF(G900&gt;H900, MIN(G900-H900, J900-H900)*
INDEX('2018_commission_structure'!$A$1:$I$4,
MATCH($D900, '2018_commission_structure'!$A$1:$A$4, 0),
MATCH(O$1, '2018_commission_structure'!$A$1:$I$1, 0)), 0)</f>
        <v>0</v>
      </c>
      <c r="Q900" s="11">
        <f>IF(G900&gt;H900, MIN(G900-H900, I900-H900)*
INDEX('2018_commission_structure'!$A$1:$I$4,
MATCH($D900, '2018_commission_structure'!$A$1:$A$4, 0),
MATCH(P$1, '2018_commission_structure'!$A$1:$I$1, 0)), 0)</f>
        <v>0</v>
      </c>
      <c r="R900" s="11">
        <f>IF(G900&gt;K900, (G900-K900) *
INDEX('2018_commission_structure'!$A$1:$I$4,
MATCH($D900, '2018_commission_structure'!$A$1:$A$4,0),
MATCH(R$1, '2018_commission_structure'!$A$1:$I$1,0)), 0)</f>
        <v>0</v>
      </c>
      <c r="S900" s="11">
        <f t="shared" si="89"/>
        <v>0</v>
      </c>
      <c r="T900" s="11" cm="1">
        <f t="array" ref="T900">SUM(E900+O900:Q900)</f>
        <v>121893</v>
      </c>
    </row>
    <row r="901" spans="1:20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 xml:space="preserve"> COUNTIF(deals_closed!D:D,A901)</f>
        <v>17</v>
      </c>
      <c r="G901" s="5">
        <f>SUMIF(deals_closed!D:D, calculations!A901, deals_closed!C:C)</f>
        <v>551413</v>
      </c>
      <c r="H901" s="5">
        <f>VLOOKUP(D901,'2018_commission_structure'!$A$2:$I$4,9,FALSE)</f>
        <v>600000</v>
      </c>
      <c r="I901" s="9">
        <f t="shared" si="84"/>
        <v>750000</v>
      </c>
      <c r="J901" s="8">
        <f t="shared" si="85"/>
        <v>900000</v>
      </c>
      <c r="K901" s="9">
        <f t="shared" si="86"/>
        <v>1200000</v>
      </c>
      <c r="L901" s="10">
        <f t="shared" si="87"/>
        <v>0.91902166666666663</v>
      </c>
      <c r="M901" t="str">
        <f t="shared" si="88"/>
        <v>0-100%</v>
      </c>
      <c r="N901" s="9">
        <f>MIN(H901, G901)*INDEX('2018_commission_structure'!$A$1:$I$4,
MATCH($D901, '2018_commission_structure'!$A$1:$A$4,0),
MATCH(N$1, '2018_commission_structure'!$A$1:$I$1,0))</f>
        <v>71683.69</v>
      </c>
      <c r="O901" s="11">
        <f>IF(G901&gt;H901, MIN(G901-H901, I901-H901)*
INDEX('2018_commission_structure'!$A$1:$I$4,
MATCH($D901, '2018_commission_structure'!$A$1:$A$4, 0),
MATCH(O$1, '2018_commission_structure'!$A$1:$I$1, 0)), 0)</f>
        <v>0</v>
      </c>
      <c r="P901" s="11">
        <f>IF(G901&gt;H901, MIN(G901-H901, J901-H901)*
INDEX('2018_commission_structure'!$A$1:$I$4,
MATCH($D901, '2018_commission_structure'!$A$1:$A$4, 0),
MATCH(O$1, '2018_commission_structure'!$A$1:$I$1, 0)), 0)</f>
        <v>0</v>
      </c>
      <c r="Q901" s="11">
        <f>IF(G901&gt;H901, MIN(G901-H901, I901-H901)*
INDEX('2018_commission_structure'!$A$1:$I$4,
MATCH($D901, '2018_commission_structure'!$A$1:$A$4, 0),
MATCH(P$1, '2018_commission_structure'!$A$1:$I$1, 0)), 0)</f>
        <v>0</v>
      </c>
      <c r="R901" s="11">
        <f>IF(G901&gt;K901, (G901-K901) *
INDEX('2018_commission_structure'!$A$1:$I$4,
MATCH($D901, '2018_commission_structure'!$A$1:$A$4,0),
MATCH(R$1, '2018_commission_structure'!$A$1:$I$1,0)), 0)</f>
        <v>0</v>
      </c>
      <c r="S901" s="11">
        <f t="shared" si="89"/>
        <v>0</v>
      </c>
      <c r="T901" s="11" cm="1">
        <f t="array" ref="T901">SUM(E901+O901:Q901)</f>
        <v>215061</v>
      </c>
    </row>
    <row r="902" spans="1:20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 xml:space="preserve"> COUNTIF(deals_closed!D:D,A902)</f>
        <v>21</v>
      </c>
      <c r="G902" s="5">
        <f>SUMIF(deals_closed!D:D, calculations!A902, deals_closed!C:C)</f>
        <v>835084</v>
      </c>
      <c r="H902" s="5">
        <f>VLOOKUP(D902,'2018_commission_structure'!$A$2:$I$4,9,FALSE)</f>
        <v>600000</v>
      </c>
      <c r="I902" s="9">
        <f t="shared" si="84"/>
        <v>750000</v>
      </c>
      <c r="J902" s="8">
        <f t="shared" si="85"/>
        <v>900000</v>
      </c>
      <c r="K902" s="9">
        <f t="shared" si="86"/>
        <v>1200000</v>
      </c>
      <c r="L902" s="10">
        <f t="shared" si="87"/>
        <v>1.3918066666666666</v>
      </c>
      <c r="M902" t="str">
        <f t="shared" si="88"/>
        <v>125-150%</v>
      </c>
      <c r="N902" s="9">
        <f>MIN(H902, G902)*INDEX('2018_commission_structure'!$A$1:$I$4,
MATCH($D902, '2018_commission_structure'!$A$1:$A$4,0),
MATCH(N$1, '2018_commission_structure'!$A$1:$I$1,0))</f>
        <v>78000</v>
      </c>
      <c r="O902" s="11">
        <f>IF(G902&gt;H902, MIN(G902-H902, I902-H902)*
INDEX('2018_commission_structure'!$A$1:$I$4,
MATCH($D902, '2018_commission_structure'!$A$1:$A$4, 0),
MATCH(O$1, '2018_commission_structure'!$A$1:$I$1, 0)), 0)</f>
        <v>25500.000000000004</v>
      </c>
      <c r="P902" s="11">
        <f>IF(G902&gt;H902, MIN(G902-H902, J902-H902)*
INDEX('2018_commission_structure'!$A$1:$I$4,
MATCH($D902, '2018_commission_structure'!$A$1:$A$4, 0),
MATCH(O$1, '2018_commission_structure'!$A$1:$I$1, 0)), 0)</f>
        <v>39964.280000000006</v>
      </c>
      <c r="Q902" s="11">
        <f>IF(G902&gt;H902, MIN(G902-H902, I902-H902)*
INDEX('2018_commission_structure'!$A$1:$I$4,
MATCH($D902, '2018_commission_structure'!$A$1:$A$4, 0),
MATCH(P$1, '2018_commission_structure'!$A$1:$I$1, 0)), 0)</f>
        <v>31500</v>
      </c>
      <c r="R902" s="11">
        <f>IF(G902&gt;K902, (G902-K902) *
INDEX('2018_commission_structure'!$A$1:$I$4,
MATCH($D902, '2018_commission_structure'!$A$1:$A$4,0),
MATCH(R$1, '2018_commission_structure'!$A$1:$I$1,0)), 0)</f>
        <v>0</v>
      </c>
      <c r="S902" s="11">
        <f t="shared" si="89"/>
        <v>96964.280000000013</v>
      </c>
      <c r="T902" s="11" cm="1">
        <f t="array" ref="T902">SUM(E902+O902:Q902)</f>
        <v>328597.28000000003</v>
      </c>
    </row>
    <row r="903" spans="1:20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 xml:space="preserve"> COUNTIF(deals_closed!D:D,A903)</f>
        <v>25</v>
      </c>
      <c r="G903" s="5">
        <f>SUMIF(deals_closed!D:D, calculations!A903, deals_closed!C:C)</f>
        <v>852715</v>
      </c>
      <c r="H903" s="5">
        <f>VLOOKUP(D903,'2018_commission_structure'!$A$2:$I$4,9,FALSE)</f>
        <v>500000</v>
      </c>
      <c r="I903" s="9">
        <f t="shared" si="84"/>
        <v>625000</v>
      </c>
      <c r="J903" s="8">
        <f t="shared" si="85"/>
        <v>750000</v>
      </c>
      <c r="K903" s="9">
        <f t="shared" si="86"/>
        <v>1000000</v>
      </c>
      <c r="L903" s="10">
        <f t="shared" si="87"/>
        <v>1.70543</v>
      </c>
      <c r="M903" t="str">
        <f t="shared" si="88"/>
        <v>150-200%</v>
      </c>
      <c r="N903" s="9">
        <f>MIN(H903, G903)*INDEX('2018_commission_structure'!$A$1:$I$4,
MATCH($D903, '2018_commission_structure'!$A$1:$A$4,0),
MATCH(N$1, '2018_commission_structure'!$A$1:$I$1,0))</f>
        <v>50000</v>
      </c>
      <c r="O903" s="11">
        <f>IF(G903&gt;H903, MIN(G903-H903, I903-H903)*
INDEX('2018_commission_structure'!$A$1:$I$4,
MATCH($D903, '2018_commission_structure'!$A$1:$A$4, 0),
MATCH(O$1, '2018_commission_structure'!$A$1:$I$1, 0)), 0)</f>
        <v>18750</v>
      </c>
      <c r="P903" s="11">
        <f>IF(G903&gt;H903, MIN(G903-H903, J903-H903)*
INDEX('2018_commission_structure'!$A$1:$I$4,
MATCH($D903, '2018_commission_structure'!$A$1:$A$4, 0),
MATCH(O$1, '2018_commission_structure'!$A$1:$I$1, 0)), 0)</f>
        <v>37500</v>
      </c>
      <c r="Q903" s="11">
        <f>IF(G903&gt;H903, MIN(G903-H903, I903-H903)*
INDEX('2018_commission_structure'!$A$1:$I$4,
MATCH($D903, '2018_commission_structure'!$A$1:$A$4, 0),
MATCH(P$1, '2018_commission_structure'!$A$1:$I$1, 0)), 0)</f>
        <v>22500</v>
      </c>
      <c r="R903" s="11">
        <f>IF(G903&gt;K903, (G903-K903) *
INDEX('2018_commission_structure'!$A$1:$I$4,
MATCH($D903, '2018_commission_structure'!$A$1:$A$4,0),
MATCH(R$1, '2018_commission_structure'!$A$1:$I$1,0)), 0)</f>
        <v>0</v>
      </c>
      <c r="S903" s="11">
        <f t="shared" si="89"/>
        <v>78750</v>
      </c>
      <c r="T903" s="11" cm="1">
        <f t="array" ref="T903">SUM(E903+O903:Q903)</f>
        <v>273009</v>
      </c>
    </row>
    <row r="904" spans="1:20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 xml:space="preserve"> COUNTIF(deals_closed!D:D,A904)</f>
        <v>14</v>
      </c>
      <c r="G904" s="5">
        <f>SUMIF(deals_closed!D:D, calculations!A904, deals_closed!C:C)</f>
        <v>459709</v>
      </c>
      <c r="H904" s="5">
        <f>VLOOKUP(D904,'2018_commission_structure'!$A$2:$I$4,9,FALSE)</f>
        <v>750000</v>
      </c>
      <c r="I904" s="9">
        <f t="shared" si="84"/>
        <v>937500</v>
      </c>
      <c r="J904" s="8">
        <f t="shared" si="85"/>
        <v>1125000</v>
      </c>
      <c r="K904" s="9">
        <f t="shared" si="86"/>
        <v>1500000</v>
      </c>
      <c r="L904" s="10">
        <f t="shared" si="87"/>
        <v>0.61294533333333334</v>
      </c>
      <c r="M904" t="str">
        <f t="shared" si="88"/>
        <v>0-100%</v>
      </c>
      <c r="N904" s="9">
        <f>MIN(H904, G904)*INDEX('2018_commission_structure'!$A$1:$I$4,
MATCH($D904, '2018_commission_structure'!$A$1:$A$4,0),
MATCH(N$1, '2018_commission_structure'!$A$1:$I$1,0))</f>
        <v>68956.349999999991</v>
      </c>
      <c r="O904" s="11">
        <f>IF(G904&gt;H904, MIN(G904-H904, I904-H904)*
INDEX('2018_commission_structure'!$A$1:$I$4,
MATCH($D904, '2018_commission_structure'!$A$1:$A$4, 0),
MATCH(O$1, '2018_commission_structure'!$A$1:$I$1, 0)), 0)</f>
        <v>0</v>
      </c>
      <c r="P904" s="11">
        <f>IF(G904&gt;H904, MIN(G904-H904, J904-H904)*
INDEX('2018_commission_structure'!$A$1:$I$4,
MATCH($D904, '2018_commission_structure'!$A$1:$A$4, 0),
MATCH(O$1, '2018_commission_structure'!$A$1:$I$1, 0)), 0)</f>
        <v>0</v>
      </c>
      <c r="Q904" s="11">
        <f>IF(G904&gt;H904, MIN(G904-H904, I904-H904)*
INDEX('2018_commission_structure'!$A$1:$I$4,
MATCH($D904, '2018_commission_structure'!$A$1:$A$4, 0),
MATCH(P$1, '2018_commission_structure'!$A$1:$I$1, 0)), 0)</f>
        <v>0</v>
      </c>
      <c r="R904" s="11">
        <f>IF(G904&gt;K904, (G904-K904) *
INDEX('2018_commission_structure'!$A$1:$I$4,
MATCH($D904, '2018_commission_structure'!$A$1:$A$4,0),
MATCH(R$1, '2018_commission_structure'!$A$1:$I$1,0)), 0)</f>
        <v>0</v>
      </c>
      <c r="S904" s="11">
        <f t="shared" si="89"/>
        <v>0</v>
      </c>
      <c r="T904" s="11" cm="1">
        <f t="array" ref="T904">SUM(E904+O904:Q904)</f>
        <v>327900</v>
      </c>
    </row>
    <row r="905" spans="1:20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 xml:space="preserve"> COUNTIF(deals_closed!D:D,A905)</f>
        <v>20</v>
      </c>
      <c r="G905" s="5">
        <f>SUMIF(deals_closed!D:D, calculations!A905, deals_closed!C:C)</f>
        <v>607881</v>
      </c>
      <c r="H905" s="5">
        <f>VLOOKUP(D905,'2018_commission_structure'!$A$2:$I$4,9,FALSE)</f>
        <v>600000</v>
      </c>
      <c r="I905" s="9">
        <f t="shared" si="84"/>
        <v>750000</v>
      </c>
      <c r="J905" s="8">
        <f t="shared" si="85"/>
        <v>900000</v>
      </c>
      <c r="K905" s="9">
        <f t="shared" si="86"/>
        <v>1200000</v>
      </c>
      <c r="L905" s="10">
        <f t="shared" si="87"/>
        <v>1.0131349999999999</v>
      </c>
      <c r="M905" t="str">
        <f t="shared" si="88"/>
        <v>100-125%</v>
      </c>
      <c r="N905" s="9">
        <f>MIN(H905, G905)*INDEX('2018_commission_structure'!$A$1:$I$4,
MATCH($D905, '2018_commission_structure'!$A$1:$A$4,0),
MATCH(N$1, '2018_commission_structure'!$A$1:$I$1,0))</f>
        <v>78000</v>
      </c>
      <c r="O905" s="11">
        <f>IF(G905&gt;H905, MIN(G905-H905, I905-H905)*
INDEX('2018_commission_structure'!$A$1:$I$4,
MATCH($D905, '2018_commission_structure'!$A$1:$A$4, 0),
MATCH(O$1, '2018_commission_structure'!$A$1:$I$1, 0)), 0)</f>
        <v>1339.7700000000002</v>
      </c>
      <c r="P905" s="11">
        <f>IF(G905&gt;H905, MIN(G905-H905, J905-H905)*
INDEX('2018_commission_structure'!$A$1:$I$4,
MATCH($D905, '2018_commission_structure'!$A$1:$A$4, 0),
MATCH(O$1, '2018_commission_structure'!$A$1:$I$1, 0)), 0)</f>
        <v>1339.7700000000002</v>
      </c>
      <c r="Q905" s="11">
        <f>IF(G905&gt;H905, MIN(G905-H905, I905-H905)*
INDEX('2018_commission_structure'!$A$1:$I$4,
MATCH($D905, '2018_commission_structure'!$A$1:$A$4, 0),
MATCH(P$1, '2018_commission_structure'!$A$1:$I$1, 0)), 0)</f>
        <v>1655.01</v>
      </c>
      <c r="R905" s="11">
        <f>IF(G905&gt;K905, (G905-K905) *
INDEX('2018_commission_structure'!$A$1:$I$4,
MATCH($D905, '2018_commission_structure'!$A$1:$A$4,0),
MATCH(R$1, '2018_commission_structure'!$A$1:$I$1,0)), 0)</f>
        <v>0</v>
      </c>
      <c r="S905" s="11">
        <f t="shared" si="89"/>
        <v>4334.55</v>
      </c>
      <c r="T905" s="11" cm="1">
        <f t="array" ref="T905">SUM(E905+O905:Q905)</f>
        <v>178748.55</v>
      </c>
    </row>
    <row r="906" spans="1:20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 xml:space="preserve"> COUNTIF(deals_closed!D:D,A906)</f>
        <v>19</v>
      </c>
      <c r="G906" s="5">
        <f>SUMIF(deals_closed!D:D, calculations!A906, deals_closed!C:C)</f>
        <v>680870</v>
      </c>
      <c r="H906" s="5">
        <f>VLOOKUP(D906,'2018_commission_structure'!$A$2:$I$4,9,FALSE)</f>
        <v>750000</v>
      </c>
      <c r="I906" s="9">
        <f t="shared" si="84"/>
        <v>937500</v>
      </c>
      <c r="J906" s="8">
        <f t="shared" si="85"/>
        <v>1125000</v>
      </c>
      <c r="K906" s="9">
        <f t="shared" si="86"/>
        <v>1500000</v>
      </c>
      <c r="L906" s="10">
        <f t="shared" si="87"/>
        <v>0.90782666666666667</v>
      </c>
      <c r="M906" t="str">
        <f t="shared" si="88"/>
        <v>0-100%</v>
      </c>
      <c r="N906" s="9">
        <f>MIN(H906, G906)*INDEX('2018_commission_structure'!$A$1:$I$4,
MATCH($D906, '2018_commission_structure'!$A$1:$A$4,0),
MATCH(N$1, '2018_commission_structure'!$A$1:$I$1,0))</f>
        <v>102130.5</v>
      </c>
      <c r="O906" s="11">
        <f>IF(G906&gt;H906, MIN(G906-H906, I906-H906)*
INDEX('2018_commission_structure'!$A$1:$I$4,
MATCH($D906, '2018_commission_structure'!$A$1:$A$4, 0),
MATCH(O$1, '2018_commission_structure'!$A$1:$I$1, 0)), 0)</f>
        <v>0</v>
      </c>
      <c r="P906" s="11">
        <f>IF(G906&gt;H906, MIN(G906-H906, J906-H906)*
INDEX('2018_commission_structure'!$A$1:$I$4,
MATCH($D906, '2018_commission_structure'!$A$1:$A$4, 0),
MATCH(O$1, '2018_commission_structure'!$A$1:$I$1, 0)), 0)</f>
        <v>0</v>
      </c>
      <c r="Q906" s="11">
        <f>IF(G906&gt;H906, MIN(G906-H906, I906-H906)*
INDEX('2018_commission_structure'!$A$1:$I$4,
MATCH($D906, '2018_commission_structure'!$A$1:$A$4, 0),
MATCH(P$1, '2018_commission_structure'!$A$1:$I$1, 0)), 0)</f>
        <v>0</v>
      </c>
      <c r="R906" s="11">
        <f>IF(G906&gt;K906, (G906-K906) *
INDEX('2018_commission_structure'!$A$1:$I$4,
MATCH($D906, '2018_commission_structure'!$A$1:$A$4,0),
MATCH(R$1, '2018_commission_structure'!$A$1:$I$1,0)), 0)</f>
        <v>0</v>
      </c>
      <c r="S906" s="11">
        <f t="shared" si="89"/>
        <v>0</v>
      </c>
      <c r="T906" s="11" cm="1">
        <f t="array" ref="T906">SUM(E906+O906:Q906)</f>
        <v>343029</v>
      </c>
    </row>
    <row r="907" spans="1:20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 xml:space="preserve"> COUNTIF(deals_closed!D:D,A907)</f>
        <v>22</v>
      </c>
      <c r="G907" s="5">
        <f>SUMIF(deals_closed!D:D, calculations!A907, deals_closed!C:C)</f>
        <v>750849</v>
      </c>
      <c r="H907" s="5">
        <f>VLOOKUP(D907,'2018_commission_structure'!$A$2:$I$4,9,FALSE)</f>
        <v>600000</v>
      </c>
      <c r="I907" s="9">
        <f t="shared" si="84"/>
        <v>750000</v>
      </c>
      <c r="J907" s="8">
        <f t="shared" si="85"/>
        <v>900000</v>
      </c>
      <c r="K907" s="9">
        <f t="shared" si="86"/>
        <v>1200000</v>
      </c>
      <c r="L907" s="10">
        <f t="shared" si="87"/>
        <v>1.2514149999999999</v>
      </c>
      <c r="M907" t="str">
        <f t="shared" si="88"/>
        <v>125-150%</v>
      </c>
      <c r="N907" s="9">
        <f>MIN(H907, G907)*INDEX('2018_commission_structure'!$A$1:$I$4,
MATCH($D907, '2018_commission_structure'!$A$1:$A$4,0),
MATCH(N$1, '2018_commission_structure'!$A$1:$I$1,0))</f>
        <v>78000</v>
      </c>
      <c r="O907" s="11">
        <f>IF(G907&gt;H907, MIN(G907-H907, I907-H907)*
INDEX('2018_commission_structure'!$A$1:$I$4,
MATCH($D907, '2018_commission_structure'!$A$1:$A$4, 0),
MATCH(O$1, '2018_commission_structure'!$A$1:$I$1, 0)), 0)</f>
        <v>25500.000000000004</v>
      </c>
      <c r="P907" s="11">
        <f>IF(G907&gt;H907, MIN(G907-H907, J907-H907)*
INDEX('2018_commission_structure'!$A$1:$I$4,
MATCH($D907, '2018_commission_structure'!$A$1:$A$4, 0),
MATCH(O$1, '2018_commission_structure'!$A$1:$I$1, 0)), 0)</f>
        <v>25644.33</v>
      </c>
      <c r="Q907" s="11">
        <f>IF(G907&gt;H907, MIN(G907-H907, I907-H907)*
INDEX('2018_commission_structure'!$A$1:$I$4,
MATCH($D907, '2018_commission_structure'!$A$1:$A$4, 0),
MATCH(P$1, '2018_commission_structure'!$A$1:$I$1, 0)), 0)</f>
        <v>31500</v>
      </c>
      <c r="R907" s="11">
        <f>IF(G907&gt;K907, (G907-K907) *
INDEX('2018_commission_structure'!$A$1:$I$4,
MATCH($D907, '2018_commission_structure'!$A$1:$A$4,0),
MATCH(R$1, '2018_commission_structure'!$A$1:$I$1,0)), 0)</f>
        <v>0</v>
      </c>
      <c r="S907" s="11">
        <f t="shared" si="89"/>
        <v>82644.33</v>
      </c>
      <c r="T907" s="11" cm="1">
        <f t="array" ref="T907">SUM(E907+O907:Q907)</f>
        <v>302313.33</v>
      </c>
    </row>
    <row r="908" spans="1:20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 xml:space="preserve"> COUNTIF(deals_closed!D:D,A908)</f>
        <v>16</v>
      </c>
      <c r="G908" s="5">
        <f>SUMIF(deals_closed!D:D, calculations!A908, deals_closed!C:C)</f>
        <v>644947</v>
      </c>
      <c r="H908" s="5">
        <f>VLOOKUP(D908,'2018_commission_structure'!$A$2:$I$4,9,FALSE)</f>
        <v>600000</v>
      </c>
      <c r="I908" s="9">
        <f t="shared" si="84"/>
        <v>750000</v>
      </c>
      <c r="J908" s="8">
        <f t="shared" si="85"/>
        <v>900000</v>
      </c>
      <c r="K908" s="9">
        <f t="shared" si="86"/>
        <v>1200000</v>
      </c>
      <c r="L908" s="10">
        <f t="shared" si="87"/>
        <v>1.0749116666666667</v>
      </c>
      <c r="M908" t="str">
        <f t="shared" si="88"/>
        <v>100-125%</v>
      </c>
      <c r="N908" s="9">
        <f>MIN(H908, G908)*INDEX('2018_commission_structure'!$A$1:$I$4,
MATCH($D908, '2018_commission_structure'!$A$1:$A$4,0),
MATCH(N$1, '2018_commission_structure'!$A$1:$I$1,0))</f>
        <v>78000</v>
      </c>
      <c r="O908" s="11">
        <f>IF(G908&gt;H908, MIN(G908-H908, I908-H908)*
INDEX('2018_commission_structure'!$A$1:$I$4,
MATCH($D908, '2018_commission_structure'!$A$1:$A$4, 0),
MATCH(O$1, '2018_commission_structure'!$A$1:$I$1, 0)), 0)</f>
        <v>7640.9900000000007</v>
      </c>
      <c r="P908" s="11">
        <f>IF(G908&gt;H908, MIN(G908-H908, J908-H908)*
INDEX('2018_commission_structure'!$A$1:$I$4,
MATCH($D908, '2018_commission_structure'!$A$1:$A$4, 0),
MATCH(O$1, '2018_commission_structure'!$A$1:$I$1, 0)), 0)</f>
        <v>7640.9900000000007</v>
      </c>
      <c r="Q908" s="11">
        <f>IF(G908&gt;H908, MIN(G908-H908, I908-H908)*
INDEX('2018_commission_structure'!$A$1:$I$4,
MATCH($D908, '2018_commission_structure'!$A$1:$A$4, 0),
MATCH(P$1, '2018_commission_structure'!$A$1:$I$1, 0)), 0)</f>
        <v>9438.869999999999</v>
      </c>
      <c r="R908" s="11">
        <f>IF(G908&gt;K908, (G908-K908) *
INDEX('2018_commission_structure'!$A$1:$I$4,
MATCH($D908, '2018_commission_structure'!$A$1:$A$4,0),
MATCH(R$1, '2018_commission_structure'!$A$1:$I$1,0)), 0)</f>
        <v>0</v>
      </c>
      <c r="S908" s="11">
        <f t="shared" si="89"/>
        <v>24720.85</v>
      </c>
      <c r="T908" s="11" cm="1">
        <f t="array" ref="T908">SUM(E908+O908:Q908)</f>
        <v>199749.85</v>
      </c>
    </row>
    <row r="909" spans="1:20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 xml:space="preserve"> COUNTIF(deals_closed!D:D,A909)</f>
        <v>11</v>
      </c>
      <c r="G909" s="5">
        <f>SUMIF(deals_closed!D:D, calculations!A909, deals_closed!C:C)</f>
        <v>342782</v>
      </c>
      <c r="H909" s="5">
        <f>VLOOKUP(D909,'2018_commission_structure'!$A$2:$I$4,9,FALSE)</f>
        <v>600000</v>
      </c>
      <c r="I909" s="9">
        <f t="shared" si="84"/>
        <v>750000</v>
      </c>
      <c r="J909" s="8">
        <f t="shared" si="85"/>
        <v>900000</v>
      </c>
      <c r="K909" s="9">
        <f t="shared" si="86"/>
        <v>1200000</v>
      </c>
      <c r="L909" s="10">
        <f t="shared" si="87"/>
        <v>0.57130333333333339</v>
      </c>
      <c r="M909" t="str">
        <f t="shared" si="88"/>
        <v>0-100%</v>
      </c>
      <c r="N909" s="9">
        <f>MIN(H909, G909)*INDEX('2018_commission_structure'!$A$1:$I$4,
MATCH($D909, '2018_commission_structure'!$A$1:$A$4,0),
MATCH(N$1, '2018_commission_structure'!$A$1:$I$1,0))</f>
        <v>44561.66</v>
      </c>
      <c r="O909" s="11">
        <f>IF(G909&gt;H909, MIN(G909-H909, I909-H909)*
INDEX('2018_commission_structure'!$A$1:$I$4,
MATCH($D909, '2018_commission_structure'!$A$1:$A$4, 0),
MATCH(O$1, '2018_commission_structure'!$A$1:$I$1, 0)), 0)</f>
        <v>0</v>
      </c>
      <c r="P909" s="11">
        <f>IF(G909&gt;H909, MIN(G909-H909, J909-H909)*
INDEX('2018_commission_structure'!$A$1:$I$4,
MATCH($D909, '2018_commission_structure'!$A$1:$A$4, 0),
MATCH(O$1, '2018_commission_structure'!$A$1:$I$1, 0)), 0)</f>
        <v>0</v>
      </c>
      <c r="Q909" s="11">
        <f>IF(G909&gt;H909, MIN(G909-H909, I909-H909)*
INDEX('2018_commission_structure'!$A$1:$I$4,
MATCH($D909, '2018_commission_structure'!$A$1:$A$4, 0),
MATCH(P$1, '2018_commission_structure'!$A$1:$I$1, 0)), 0)</f>
        <v>0</v>
      </c>
      <c r="R909" s="11">
        <f>IF(G909&gt;K909, (G909-K909) *
INDEX('2018_commission_structure'!$A$1:$I$4,
MATCH($D909, '2018_commission_structure'!$A$1:$A$4,0),
MATCH(R$1, '2018_commission_structure'!$A$1:$I$1,0)), 0)</f>
        <v>0</v>
      </c>
      <c r="S909" s="11">
        <f t="shared" si="89"/>
        <v>0</v>
      </c>
      <c r="T909" s="11" cm="1">
        <f t="array" ref="T909">SUM(E909+O909:Q909)</f>
        <v>151044</v>
      </c>
    </row>
    <row r="910" spans="1:20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 xml:space="preserve"> COUNTIF(deals_closed!D:D,A910)</f>
        <v>14</v>
      </c>
      <c r="G910" s="5">
        <f>SUMIF(deals_closed!D:D, calculations!A910, deals_closed!C:C)</f>
        <v>551500</v>
      </c>
      <c r="H910" s="5">
        <f>VLOOKUP(D910,'2018_commission_structure'!$A$2:$I$4,9,FALSE)</f>
        <v>600000</v>
      </c>
      <c r="I910" s="9">
        <f t="shared" si="84"/>
        <v>750000</v>
      </c>
      <c r="J910" s="8">
        <f t="shared" si="85"/>
        <v>900000</v>
      </c>
      <c r="K910" s="9">
        <f t="shared" si="86"/>
        <v>1200000</v>
      </c>
      <c r="L910" s="10">
        <f t="shared" si="87"/>
        <v>0.91916666666666669</v>
      </c>
      <c r="M910" t="str">
        <f t="shared" si="88"/>
        <v>0-100%</v>
      </c>
      <c r="N910" s="9">
        <f>MIN(H910, G910)*INDEX('2018_commission_structure'!$A$1:$I$4,
MATCH($D910, '2018_commission_structure'!$A$1:$A$4,0),
MATCH(N$1, '2018_commission_structure'!$A$1:$I$1,0))</f>
        <v>71695</v>
      </c>
      <c r="O910" s="11">
        <f>IF(G910&gt;H910, MIN(G910-H910, I910-H910)*
INDEX('2018_commission_structure'!$A$1:$I$4,
MATCH($D910, '2018_commission_structure'!$A$1:$A$4, 0),
MATCH(O$1, '2018_commission_structure'!$A$1:$I$1, 0)), 0)</f>
        <v>0</v>
      </c>
      <c r="P910" s="11">
        <f>IF(G910&gt;H910, MIN(G910-H910, J910-H910)*
INDEX('2018_commission_structure'!$A$1:$I$4,
MATCH($D910, '2018_commission_structure'!$A$1:$A$4, 0),
MATCH(O$1, '2018_commission_structure'!$A$1:$I$1, 0)), 0)</f>
        <v>0</v>
      </c>
      <c r="Q910" s="11">
        <f>IF(G910&gt;H910, MIN(G910-H910, I910-H910)*
INDEX('2018_commission_structure'!$A$1:$I$4,
MATCH($D910, '2018_commission_structure'!$A$1:$A$4, 0),
MATCH(P$1, '2018_commission_structure'!$A$1:$I$1, 0)), 0)</f>
        <v>0</v>
      </c>
      <c r="R910" s="11">
        <f>IF(G910&gt;K910, (G910-K910) *
INDEX('2018_commission_structure'!$A$1:$I$4,
MATCH($D910, '2018_commission_structure'!$A$1:$A$4,0),
MATCH(R$1, '2018_commission_structure'!$A$1:$I$1,0)), 0)</f>
        <v>0</v>
      </c>
      <c r="S910" s="11">
        <f t="shared" si="89"/>
        <v>0</v>
      </c>
      <c r="T910" s="11" cm="1">
        <f t="array" ref="T910">SUM(E910+O910:Q910)</f>
        <v>196608</v>
      </c>
    </row>
    <row r="911" spans="1:20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 xml:space="preserve"> COUNTIF(deals_closed!D:D,A911)</f>
        <v>23</v>
      </c>
      <c r="G911" s="5">
        <f>SUMIF(deals_closed!D:D, calculations!A911, deals_closed!C:C)</f>
        <v>771161</v>
      </c>
      <c r="H911" s="5">
        <f>VLOOKUP(D911,'2018_commission_structure'!$A$2:$I$4,9,FALSE)</f>
        <v>600000</v>
      </c>
      <c r="I911" s="9">
        <f t="shared" si="84"/>
        <v>750000</v>
      </c>
      <c r="J911" s="8">
        <f t="shared" si="85"/>
        <v>900000</v>
      </c>
      <c r="K911" s="9">
        <f t="shared" si="86"/>
        <v>1200000</v>
      </c>
      <c r="L911" s="10">
        <f t="shared" si="87"/>
        <v>1.2852683333333332</v>
      </c>
      <c r="M911" t="str">
        <f t="shared" si="88"/>
        <v>125-150%</v>
      </c>
      <c r="N911" s="9">
        <f>MIN(H911, G911)*INDEX('2018_commission_structure'!$A$1:$I$4,
MATCH($D911, '2018_commission_structure'!$A$1:$A$4,0),
MATCH(N$1, '2018_commission_structure'!$A$1:$I$1,0))</f>
        <v>78000</v>
      </c>
      <c r="O911" s="11">
        <f>IF(G911&gt;H911, MIN(G911-H911, I911-H911)*
INDEX('2018_commission_structure'!$A$1:$I$4,
MATCH($D911, '2018_commission_structure'!$A$1:$A$4, 0),
MATCH(O$1, '2018_commission_structure'!$A$1:$I$1, 0)), 0)</f>
        <v>25500.000000000004</v>
      </c>
      <c r="P911" s="11">
        <f>IF(G911&gt;H911, MIN(G911-H911, J911-H911)*
INDEX('2018_commission_structure'!$A$1:$I$4,
MATCH($D911, '2018_commission_structure'!$A$1:$A$4, 0),
MATCH(O$1, '2018_commission_structure'!$A$1:$I$1, 0)), 0)</f>
        <v>29097.370000000003</v>
      </c>
      <c r="Q911" s="11">
        <f>IF(G911&gt;H911, MIN(G911-H911, I911-H911)*
INDEX('2018_commission_structure'!$A$1:$I$4,
MATCH($D911, '2018_commission_structure'!$A$1:$A$4, 0),
MATCH(P$1, '2018_commission_structure'!$A$1:$I$1, 0)), 0)</f>
        <v>31500</v>
      </c>
      <c r="R911" s="11">
        <f>IF(G911&gt;K911, (G911-K911) *
INDEX('2018_commission_structure'!$A$1:$I$4,
MATCH($D911, '2018_commission_structure'!$A$1:$A$4,0),
MATCH(R$1, '2018_commission_structure'!$A$1:$I$1,0)), 0)</f>
        <v>0</v>
      </c>
      <c r="S911" s="11">
        <f t="shared" si="89"/>
        <v>86097.37000000001</v>
      </c>
      <c r="T911" s="11" cm="1">
        <f t="array" ref="T911">SUM(E911+O911:Q911)</f>
        <v>251505.37</v>
      </c>
    </row>
    <row r="912" spans="1:20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 xml:space="preserve"> COUNTIF(deals_closed!D:D,A912)</f>
        <v>18</v>
      </c>
      <c r="G912" s="5">
        <f>SUMIF(deals_closed!D:D, calculations!A912, deals_closed!C:C)</f>
        <v>696628</v>
      </c>
      <c r="H912" s="5">
        <f>VLOOKUP(D912,'2018_commission_structure'!$A$2:$I$4,9,FALSE)</f>
        <v>750000</v>
      </c>
      <c r="I912" s="9">
        <f t="shared" si="84"/>
        <v>937500</v>
      </c>
      <c r="J912" s="8">
        <f t="shared" si="85"/>
        <v>1125000</v>
      </c>
      <c r="K912" s="9">
        <f t="shared" si="86"/>
        <v>1500000</v>
      </c>
      <c r="L912" s="10">
        <f t="shared" si="87"/>
        <v>0.92883733333333329</v>
      </c>
      <c r="M912" t="str">
        <f t="shared" si="88"/>
        <v>0-100%</v>
      </c>
      <c r="N912" s="9">
        <f>MIN(H912, G912)*INDEX('2018_commission_structure'!$A$1:$I$4,
MATCH($D912, '2018_commission_structure'!$A$1:$A$4,0),
MATCH(N$1, '2018_commission_structure'!$A$1:$I$1,0))</f>
        <v>104494.2</v>
      </c>
      <c r="O912" s="11">
        <f>IF(G912&gt;H912, MIN(G912-H912, I912-H912)*
INDEX('2018_commission_structure'!$A$1:$I$4,
MATCH($D912, '2018_commission_structure'!$A$1:$A$4, 0),
MATCH(O$1, '2018_commission_structure'!$A$1:$I$1, 0)), 0)</f>
        <v>0</v>
      </c>
      <c r="P912" s="11">
        <f>IF(G912&gt;H912, MIN(G912-H912, J912-H912)*
INDEX('2018_commission_structure'!$A$1:$I$4,
MATCH($D912, '2018_commission_structure'!$A$1:$A$4, 0),
MATCH(O$1, '2018_commission_structure'!$A$1:$I$1, 0)), 0)</f>
        <v>0</v>
      </c>
      <c r="Q912" s="11">
        <f>IF(G912&gt;H912, MIN(G912-H912, I912-H912)*
INDEX('2018_commission_structure'!$A$1:$I$4,
MATCH($D912, '2018_commission_structure'!$A$1:$A$4, 0),
MATCH(P$1, '2018_commission_structure'!$A$1:$I$1, 0)), 0)</f>
        <v>0</v>
      </c>
      <c r="R912" s="11">
        <f>IF(G912&gt;K912, (G912-K912) *
INDEX('2018_commission_structure'!$A$1:$I$4,
MATCH($D912, '2018_commission_structure'!$A$1:$A$4,0),
MATCH(R$1, '2018_commission_structure'!$A$1:$I$1,0)), 0)</f>
        <v>0</v>
      </c>
      <c r="S912" s="11">
        <f t="shared" si="89"/>
        <v>0</v>
      </c>
      <c r="T912" s="11" cm="1">
        <f t="array" ref="T912">SUM(E912+O912:Q912)</f>
        <v>271773</v>
      </c>
    </row>
    <row r="913" spans="1:20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 xml:space="preserve"> COUNTIF(deals_closed!D:D,A913)</f>
        <v>26</v>
      </c>
      <c r="G913" s="5">
        <f>SUMIF(deals_closed!D:D, calculations!A913, deals_closed!C:C)</f>
        <v>1039232</v>
      </c>
      <c r="H913" s="5">
        <f>VLOOKUP(D913,'2018_commission_structure'!$A$2:$I$4,9,FALSE)</f>
        <v>750000</v>
      </c>
      <c r="I913" s="9">
        <f t="shared" si="84"/>
        <v>937500</v>
      </c>
      <c r="J913" s="8">
        <f t="shared" si="85"/>
        <v>1125000</v>
      </c>
      <c r="K913" s="9">
        <f t="shared" si="86"/>
        <v>1500000</v>
      </c>
      <c r="L913" s="10">
        <f t="shared" si="87"/>
        <v>1.3856426666666666</v>
      </c>
      <c r="M913" t="str">
        <f t="shared" si="88"/>
        <v>125-150%</v>
      </c>
      <c r="N913" s="9">
        <f>MIN(H913, G913)*INDEX('2018_commission_structure'!$A$1:$I$4,
MATCH($D913, '2018_commission_structure'!$A$1:$A$4,0),
MATCH(N$1, '2018_commission_structure'!$A$1:$I$1,0))</f>
        <v>112500</v>
      </c>
      <c r="O913" s="11">
        <f>IF(G913&gt;H913, MIN(G913-H913, I913-H913)*
INDEX('2018_commission_structure'!$A$1:$I$4,
MATCH($D913, '2018_commission_structure'!$A$1:$A$4, 0),
MATCH(O$1, '2018_commission_structure'!$A$1:$I$1, 0)), 0)</f>
        <v>35625</v>
      </c>
      <c r="P913" s="11">
        <f>IF(G913&gt;H913, MIN(G913-H913, J913-H913)*
INDEX('2018_commission_structure'!$A$1:$I$4,
MATCH($D913, '2018_commission_structure'!$A$1:$A$4, 0),
MATCH(O$1, '2018_commission_structure'!$A$1:$I$1, 0)), 0)</f>
        <v>54954.080000000002</v>
      </c>
      <c r="Q913" s="11">
        <f>IF(G913&gt;H913, MIN(G913-H913, I913-H913)*
INDEX('2018_commission_structure'!$A$1:$I$4,
MATCH($D913, '2018_commission_structure'!$A$1:$A$4, 0),
MATCH(P$1, '2018_commission_structure'!$A$1:$I$1, 0)), 0)</f>
        <v>43125</v>
      </c>
      <c r="R913" s="11">
        <f>IF(G913&gt;K913, (G913-K913) *
INDEX('2018_commission_structure'!$A$1:$I$4,
MATCH($D913, '2018_commission_structure'!$A$1:$A$4,0),
MATCH(R$1, '2018_commission_structure'!$A$1:$I$1,0)), 0)</f>
        <v>0</v>
      </c>
      <c r="S913" s="11">
        <f t="shared" si="89"/>
        <v>133704.08000000002</v>
      </c>
      <c r="T913" s="11" cm="1">
        <f t="array" ref="T913">SUM(E913+O913:Q913)</f>
        <v>423096.08</v>
      </c>
    </row>
    <row r="914" spans="1:20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 xml:space="preserve"> COUNTIF(deals_closed!D:D,A914)</f>
        <v>14</v>
      </c>
      <c r="G914" s="5">
        <f>SUMIF(deals_closed!D:D, calculations!A914, deals_closed!C:C)</f>
        <v>548004</v>
      </c>
      <c r="H914" s="5">
        <f>VLOOKUP(D914,'2018_commission_structure'!$A$2:$I$4,9,FALSE)</f>
        <v>750000</v>
      </c>
      <c r="I914" s="9">
        <f t="shared" si="84"/>
        <v>937500</v>
      </c>
      <c r="J914" s="8">
        <f t="shared" si="85"/>
        <v>1125000</v>
      </c>
      <c r="K914" s="9">
        <f t="shared" si="86"/>
        <v>1500000</v>
      </c>
      <c r="L914" s="10">
        <f t="shared" si="87"/>
        <v>0.73067199999999999</v>
      </c>
      <c r="M914" t="str">
        <f t="shared" si="88"/>
        <v>0-100%</v>
      </c>
      <c r="N914" s="9">
        <f>MIN(H914, G914)*INDEX('2018_commission_structure'!$A$1:$I$4,
MATCH($D914, '2018_commission_structure'!$A$1:$A$4,0),
MATCH(N$1, '2018_commission_structure'!$A$1:$I$1,0))</f>
        <v>82200.599999999991</v>
      </c>
      <c r="O914" s="11">
        <f>IF(G914&gt;H914, MIN(G914-H914, I914-H914)*
INDEX('2018_commission_structure'!$A$1:$I$4,
MATCH($D914, '2018_commission_structure'!$A$1:$A$4, 0),
MATCH(O$1, '2018_commission_structure'!$A$1:$I$1, 0)), 0)</f>
        <v>0</v>
      </c>
      <c r="P914" s="11">
        <f>IF(G914&gt;H914, MIN(G914-H914, J914-H914)*
INDEX('2018_commission_structure'!$A$1:$I$4,
MATCH($D914, '2018_commission_structure'!$A$1:$A$4, 0),
MATCH(O$1, '2018_commission_structure'!$A$1:$I$1, 0)), 0)</f>
        <v>0</v>
      </c>
      <c r="Q914" s="11">
        <f>IF(G914&gt;H914, MIN(G914-H914, I914-H914)*
INDEX('2018_commission_structure'!$A$1:$I$4,
MATCH($D914, '2018_commission_structure'!$A$1:$A$4, 0),
MATCH(P$1, '2018_commission_structure'!$A$1:$I$1, 0)), 0)</f>
        <v>0</v>
      </c>
      <c r="R914" s="11">
        <f>IF(G914&gt;K914, (G914-K914) *
INDEX('2018_commission_structure'!$A$1:$I$4,
MATCH($D914, '2018_commission_structure'!$A$1:$A$4,0),
MATCH(R$1, '2018_commission_structure'!$A$1:$I$1,0)), 0)</f>
        <v>0</v>
      </c>
      <c r="S914" s="11">
        <f t="shared" si="89"/>
        <v>0</v>
      </c>
      <c r="T914" s="11" cm="1">
        <f t="array" ref="T914">SUM(E914+O914:Q914)</f>
        <v>260889</v>
      </c>
    </row>
    <row r="915" spans="1:20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 xml:space="preserve"> COUNTIF(deals_closed!D:D,A915)</f>
        <v>22</v>
      </c>
      <c r="G915" s="5">
        <f>SUMIF(deals_closed!D:D, calculations!A915, deals_closed!C:C)</f>
        <v>747967</v>
      </c>
      <c r="H915" s="5">
        <f>VLOOKUP(D915,'2018_commission_structure'!$A$2:$I$4,9,FALSE)</f>
        <v>600000</v>
      </c>
      <c r="I915" s="9">
        <f t="shared" si="84"/>
        <v>750000</v>
      </c>
      <c r="J915" s="8">
        <f t="shared" si="85"/>
        <v>900000</v>
      </c>
      <c r="K915" s="9">
        <f t="shared" si="86"/>
        <v>1200000</v>
      </c>
      <c r="L915" s="10">
        <f t="shared" si="87"/>
        <v>1.2466116666666667</v>
      </c>
      <c r="M915" t="str">
        <f t="shared" si="88"/>
        <v>100-125%</v>
      </c>
      <c r="N915" s="9">
        <f>MIN(H915, G915)*INDEX('2018_commission_structure'!$A$1:$I$4,
MATCH($D915, '2018_commission_structure'!$A$1:$A$4,0),
MATCH(N$1, '2018_commission_structure'!$A$1:$I$1,0))</f>
        <v>78000</v>
      </c>
      <c r="O915" s="11">
        <f>IF(G915&gt;H915, MIN(G915-H915, I915-H915)*
INDEX('2018_commission_structure'!$A$1:$I$4,
MATCH($D915, '2018_commission_structure'!$A$1:$A$4, 0),
MATCH(O$1, '2018_commission_structure'!$A$1:$I$1, 0)), 0)</f>
        <v>25154.390000000003</v>
      </c>
      <c r="P915" s="11">
        <f>IF(G915&gt;H915, MIN(G915-H915, J915-H915)*
INDEX('2018_commission_structure'!$A$1:$I$4,
MATCH($D915, '2018_commission_structure'!$A$1:$A$4, 0),
MATCH(O$1, '2018_commission_structure'!$A$1:$I$1, 0)), 0)</f>
        <v>25154.390000000003</v>
      </c>
      <c r="Q915" s="11">
        <f>IF(G915&gt;H915, MIN(G915-H915, I915-H915)*
INDEX('2018_commission_structure'!$A$1:$I$4,
MATCH($D915, '2018_commission_structure'!$A$1:$A$4, 0),
MATCH(P$1, '2018_commission_structure'!$A$1:$I$1, 0)), 0)</f>
        <v>31073.07</v>
      </c>
      <c r="R915" s="11">
        <f>IF(G915&gt;K915, (G915-K915) *
INDEX('2018_commission_structure'!$A$1:$I$4,
MATCH($D915, '2018_commission_structure'!$A$1:$A$4,0),
MATCH(R$1, '2018_commission_structure'!$A$1:$I$1,0)), 0)</f>
        <v>0</v>
      </c>
      <c r="S915" s="11">
        <f t="shared" si="89"/>
        <v>81381.850000000006</v>
      </c>
      <c r="T915" s="11" cm="1">
        <f t="array" ref="T915">SUM(E915+O915:Q915)</f>
        <v>291756.84999999998</v>
      </c>
    </row>
    <row r="916" spans="1:20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 xml:space="preserve"> COUNTIF(deals_closed!D:D,A916)</f>
        <v>26</v>
      </c>
      <c r="G916" s="5">
        <f>SUMIF(deals_closed!D:D, calculations!A916, deals_closed!C:C)</f>
        <v>925114</v>
      </c>
      <c r="H916" s="5">
        <f>VLOOKUP(D916,'2018_commission_structure'!$A$2:$I$4,9,FALSE)</f>
        <v>500000</v>
      </c>
      <c r="I916" s="9">
        <f t="shared" si="84"/>
        <v>625000</v>
      </c>
      <c r="J916" s="8">
        <f t="shared" si="85"/>
        <v>750000</v>
      </c>
      <c r="K916" s="9">
        <f t="shared" si="86"/>
        <v>1000000</v>
      </c>
      <c r="L916" s="10">
        <f t="shared" si="87"/>
        <v>1.850228</v>
      </c>
      <c r="M916" t="str">
        <f t="shared" si="88"/>
        <v>150-200%</v>
      </c>
      <c r="N916" s="9">
        <f>MIN(H916, G916)*INDEX('2018_commission_structure'!$A$1:$I$4,
MATCH($D916, '2018_commission_structure'!$A$1:$A$4,0),
MATCH(N$1, '2018_commission_structure'!$A$1:$I$1,0))</f>
        <v>50000</v>
      </c>
      <c r="O916" s="11">
        <f>IF(G916&gt;H916, MIN(G916-H916, I916-H916)*
INDEX('2018_commission_structure'!$A$1:$I$4,
MATCH($D916, '2018_commission_structure'!$A$1:$A$4, 0),
MATCH(O$1, '2018_commission_structure'!$A$1:$I$1, 0)), 0)</f>
        <v>18750</v>
      </c>
      <c r="P916" s="11">
        <f>IF(G916&gt;H916, MIN(G916-H916, J916-H916)*
INDEX('2018_commission_structure'!$A$1:$I$4,
MATCH($D916, '2018_commission_structure'!$A$1:$A$4, 0),
MATCH(O$1, '2018_commission_structure'!$A$1:$I$1, 0)), 0)</f>
        <v>37500</v>
      </c>
      <c r="Q916" s="11">
        <f>IF(G916&gt;H916, MIN(G916-H916, I916-H916)*
INDEX('2018_commission_structure'!$A$1:$I$4,
MATCH($D916, '2018_commission_structure'!$A$1:$A$4, 0),
MATCH(P$1, '2018_commission_structure'!$A$1:$I$1, 0)), 0)</f>
        <v>22500</v>
      </c>
      <c r="R916" s="11">
        <f>IF(G916&gt;K916, (G916-K916) *
INDEX('2018_commission_structure'!$A$1:$I$4,
MATCH($D916, '2018_commission_structure'!$A$1:$A$4,0),
MATCH(R$1, '2018_commission_structure'!$A$1:$I$1,0)), 0)</f>
        <v>0</v>
      </c>
      <c r="S916" s="11">
        <f t="shared" si="89"/>
        <v>78750</v>
      </c>
      <c r="T916" s="11" cm="1">
        <f t="array" ref="T916">SUM(E916+O916:Q916)</f>
        <v>272805</v>
      </c>
    </row>
    <row r="917" spans="1:20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 xml:space="preserve"> COUNTIF(deals_closed!D:D,A917)</f>
        <v>21</v>
      </c>
      <c r="G917" s="5">
        <f>SUMIF(deals_closed!D:D, calculations!A917, deals_closed!C:C)</f>
        <v>777666</v>
      </c>
      <c r="H917" s="5">
        <f>VLOOKUP(D917,'2018_commission_structure'!$A$2:$I$4,9,FALSE)</f>
        <v>750000</v>
      </c>
      <c r="I917" s="9">
        <f t="shared" si="84"/>
        <v>937500</v>
      </c>
      <c r="J917" s="8">
        <f t="shared" si="85"/>
        <v>1125000</v>
      </c>
      <c r="K917" s="9">
        <f t="shared" si="86"/>
        <v>1500000</v>
      </c>
      <c r="L917" s="10">
        <f t="shared" si="87"/>
        <v>1.036888</v>
      </c>
      <c r="M917" t="str">
        <f t="shared" si="88"/>
        <v>100-125%</v>
      </c>
      <c r="N917" s="9">
        <f>MIN(H917, G917)*INDEX('2018_commission_structure'!$A$1:$I$4,
MATCH($D917, '2018_commission_structure'!$A$1:$A$4,0),
MATCH(N$1, '2018_commission_structure'!$A$1:$I$1,0))</f>
        <v>112500</v>
      </c>
      <c r="O917" s="11">
        <f>IF(G917&gt;H917, MIN(G917-H917, I917-H917)*
INDEX('2018_commission_structure'!$A$1:$I$4,
MATCH($D917, '2018_commission_structure'!$A$1:$A$4, 0),
MATCH(O$1, '2018_commission_structure'!$A$1:$I$1, 0)), 0)</f>
        <v>5256.54</v>
      </c>
      <c r="P917" s="11">
        <f>IF(G917&gt;H917, MIN(G917-H917, J917-H917)*
INDEX('2018_commission_structure'!$A$1:$I$4,
MATCH($D917, '2018_commission_structure'!$A$1:$A$4, 0),
MATCH(O$1, '2018_commission_structure'!$A$1:$I$1, 0)), 0)</f>
        <v>5256.54</v>
      </c>
      <c r="Q917" s="11">
        <f>IF(G917&gt;H917, MIN(G917-H917, I917-H917)*
INDEX('2018_commission_structure'!$A$1:$I$4,
MATCH($D917, '2018_commission_structure'!$A$1:$A$4, 0),
MATCH(P$1, '2018_commission_structure'!$A$1:$I$1, 0)), 0)</f>
        <v>6363.18</v>
      </c>
      <c r="R917" s="11">
        <f>IF(G917&gt;K917, (G917-K917) *
INDEX('2018_commission_structure'!$A$1:$I$4,
MATCH($D917, '2018_commission_structure'!$A$1:$A$4,0),
MATCH(R$1, '2018_commission_structure'!$A$1:$I$1,0)), 0)</f>
        <v>0</v>
      </c>
      <c r="S917" s="11">
        <f t="shared" si="89"/>
        <v>16876.260000000002</v>
      </c>
      <c r="T917" s="11" cm="1">
        <f t="array" ref="T917">SUM(E917+O917:Q917)</f>
        <v>282922.26</v>
      </c>
    </row>
    <row r="918" spans="1:20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 xml:space="preserve"> COUNTIF(deals_closed!D:D,A918)</f>
        <v>17</v>
      </c>
      <c r="G918" s="5">
        <f>SUMIF(deals_closed!D:D, calculations!A918, deals_closed!C:C)</f>
        <v>662428</v>
      </c>
      <c r="H918" s="5">
        <f>VLOOKUP(D918,'2018_commission_structure'!$A$2:$I$4,9,FALSE)</f>
        <v>750000</v>
      </c>
      <c r="I918" s="9">
        <f t="shared" si="84"/>
        <v>937500</v>
      </c>
      <c r="J918" s="8">
        <f t="shared" si="85"/>
        <v>1125000</v>
      </c>
      <c r="K918" s="9">
        <f t="shared" si="86"/>
        <v>1500000</v>
      </c>
      <c r="L918" s="10">
        <f t="shared" si="87"/>
        <v>0.88323733333333332</v>
      </c>
      <c r="M918" t="str">
        <f t="shared" si="88"/>
        <v>0-100%</v>
      </c>
      <c r="N918" s="9">
        <f>MIN(H918, G918)*INDEX('2018_commission_structure'!$A$1:$I$4,
MATCH($D918, '2018_commission_structure'!$A$1:$A$4,0),
MATCH(N$1, '2018_commission_structure'!$A$1:$I$1,0))</f>
        <v>99364.2</v>
      </c>
      <c r="O918" s="11">
        <f>IF(G918&gt;H918, MIN(G918-H918, I918-H918)*
INDEX('2018_commission_structure'!$A$1:$I$4,
MATCH($D918, '2018_commission_structure'!$A$1:$A$4, 0),
MATCH(O$1, '2018_commission_structure'!$A$1:$I$1, 0)), 0)</f>
        <v>0</v>
      </c>
      <c r="P918" s="11">
        <f>IF(G918&gt;H918, MIN(G918-H918, J918-H918)*
INDEX('2018_commission_structure'!$A$1:$I$4,
MATCH($D918, '2018_commission_structure'!$A$1:$A$4, 0),
MATCH(O$1, '2018_commission_structure'!$A$1:$I$1, 0)), 0)</f>
        <v>0</v>
      </c>
      <c r="Q918" s="11">
        <f>IF(G918&gt;H918, MIN(G918-H918, I918-H918)*
INDEX('2018_commission_structure'!$A$1:$I$4,
MATCH($D918, '2018_commission_structure'!$A$1:$A$4, 0),
MATCH(P$1, '2018_commission_structure'!$A$1:$I$1, 0)), 0)</f>
        <v>0</v>
      </c>
      <c r="R918" s="11">
        <f>IF(G918&gt;K918, (G918-K918) *
INDEX('2018_commission_structure'!$A$1:$I$4,
MATCH($D918, '2018_commission_structure'!$A$1:$A$4,0),
MATCH(R$1, '2018_commission_structure'!$A$1:$I$1,0)), 0)</f>
        <v>0</v>
      </c>
      <c r="S918" s="11">
        <f t="shared" si="89"/>
        <v>0</v>
      </c>
      <c r="T918" s="11" cm="1">
        <f t="array" ref="T918">SUM(E918+O918:Q918)</f>
        <v>246459</v>
      </c>
    </row>
    <row r="919" spans="1:20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 xml:space="preserve"> COUNTIF(deals_closed!D:D,A919)</f>
        <v>22</v>
      </c>
      <c r="G919" s="5">
        <f>SUMIF(deals_closed!D:D, calculations!A919, deals_closed!C:C)</f>
        <v>774746</v>
      </c>
      <c r="H919" s="5">
        <f>VLOOKUP(D919,'2018_commission_structure'!$A$2:$I$4,9,FALSE)</f>
        <v>600000</v>
      </c>
      <c r="I919" s="9">
        <f t="shared" si="84"/>
        <v>750000</v>
      </c>
      <c r="J919" s="8">
        <f t="shared" si="85"/>
        <v>900000</v>
      </c>
      <c r="K919" s="9">
        <f t="shared" si="86"/>
        <v>1200000</v>
      </c>
      <c r="L919" s="10">
        <f t="shared" si="87"/>
        <v>1.2912433333333333</v>
      </c>
      <c r="M919" t="str">
        <f t="shared" si="88"/>
        <v>125-150%</v>
      </c>
      <c r="N919" s="9">
        <f>MIN(H919, G919)*INDEX('2018_commission_structure'!$A$1:$I$4,
MATCH($D919, '2018_commission_structure'!$A$1:$A$4,0),
MATCH(N$1, '2018_commission_structure'!$A$1:$I$1,0))</f>
        <v>78000</v>
      </c>
      <c r="O919" s="11">
        <f>IF(G919&gt;H919, MIN(G919-H919, I919-H919)*
INDEX('2018_commission_structure'!$A$1:$I$4,
MATCH($D919, '2018_commission_structure'!$A$1:$A$4, 0),
MATCH(O$1, '2018_commission_structure'!$A$1:$I$1, 0)), 0)</f>
        <v>25500.000000000004</v>
      </c>
      <c r="P919" s="11">
        <f>IF(G919&gt;H919, MIN(G919-H919, J919-H919)*
INDEX('2018_commission_structure'!$A$1:$I$4,
MATCH($D919, '2018_commission_structure'!$A$1:$A$4, 0),
MATCH(O$1, '2018_commission_structure'!$A$1:$I$1, 0)), 0)</f>
        <v>29706.820000000003</v>
      </c>
      <c r="Q919" s="11">
        <f>IF(G919&gt;H919, MIN(G919-H919, I919-H919)*
INDEX('2018_commission_structure'!$A$1:$I$4,
MATCH($D919, '2018_commission_structure'!$A$1:$A$4, 0),
MATCH(P$1, '2018_commission_structure'!$A$1:$I$1, 0)), 0)</f>
        <v>31500</v>
      </c>
      <c r="R919" s="11">
        <f>IF(G919&gt;K919, (G919-K919) *
INDEX('2018_commission_structure'!$A$1:$I$4,
MATCH($D919, '2018_commission_structure'!$A$1:$A$4,0),
MATCH(R$1, '2018_commission_structure'!$A$1:$I$1,0)), 0)</f>
        <v>0</v>
      </c>
      <c r="S919" s="11">
        <f t="shared" si="89"/>
        <v>86706.82</v>
      </c>
      <c r="T919" s="11" cm="1">
        <f t="array" ref="T919">SUM(E919+O919:Q919)</f>
        <v>256089.82</v>
      </c>
    </row>
    <row r="920" spans="1:20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 xml:space="preserve"> COUNTIF(deals_closed!D:D,A920)</f>
        <v>27</v>
      </c>
      <c r="G920" s="5">
        <f>SUMIF(deals_closed!D:D, calculations!A920, deals_closed!C:C)</f>
        <v>961540</v>
      </c>
      <c r="H920" s="5">
        <f>VLOOKUP(D920,'2018_commission_structure'!$A$2:$I$4,9,FALSE)</f>
        <v>750000</v>
      </c>
      <c r="I920" s="9">
        <f t="shared" si="84"/>
        <v>937500</v>
      </c>
      <c r="J920" s="8">
        <f t="shared" si="85"/>
        <v>1125000</v>
      </c>
      <c r="K920" s="9">
        <f t="shared" si="86"/>
        <v>1500000</v>
      </c>
      <c r="L920" s="10">
        <f t="shared" si="87"/>
        <v>1.2820533333333333</v>
      </c>
      <c r="M920" t="str">
        <f t="shared" si="88"/>
        <v>125-150%</v>
      </c>
      <c r="N920" s="9">
        <f>MIN(H920, G920)*INDEX('2018_commission_structure'!$A$1:$I$4,
MATCH($D920, '2018_commission_structure'!$A$1:$A$4,0),
MATCH(N$1, '2018_commission_structure'!$A$1:$I$1,0))</f>
        <v>112500</v>
      </c>
      <c r="O920" s="11">
        <f>IF(G920&gt;H920, MIN(G920-H920, I920-H920)*
INDEX('2018_commission_structure'!$A$1:$I$4,
MATCH($D920, '2018_commission_structure'!$A$1:$A$4, 0),
MATCH(O$1, '2018_commission_structure'!$A$1:$I$1, 0)), 0)</f>
        <v>35625</v>
      </c>
      <c r="P920" s="11">
        <f>IF(G920&gt;H920, MIN(G920-H920, J920-H920)*
INDEX('2018_commission_structure'!$A$1:$I$4,
MATCH($D920, '2018_commission_structure'!$A$1:$A$4, 0),
MATCH(O$1, '2018_commission_structure'!$A$1:$I$1, 0)), 0)</f>
        <v>40192.6</v>
      </c>
      <c r="Q920" s="11">
        <f>IF(G920&gt;H920, MIN(G920-H920, I920-H920)*
INDEX('2018_commission_structure'!$A$1:$I$4,
MATCH($D920, '2018_commission_structure'!$A$1:$A$4, 0),
MATCH(P$1, '2018_commission_structure'!$A$1:$I$1, 0)), 0)</f>
        <v>43125</v>
      </c>
      <c r="R920" s="11">
        <f>IF(G920&gt;K920, (G920-K920) *
INDEX('2018_commission_structure'!$A$1:$I$4,
MATCH($D920, '2018_commission_structure'!$A$1:$A$4,0),
MATCH(R$1, '2018_commission_structure'!$A$1:$I$1,0)), 0)</f>
        <v>0</v>
      </c>
      <c r="S920" s="11">
        <f t="shared" si="89"/>
        <v>118942.6</v>
      </c>
      <c r="T920" s="11" cm="1">
        <f t="array" ref="T920">SUM(E920+O920:Q920)</f>
        <v>433885.6</v>
      </c>
    </row>
    <row r="921" spans="1:20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 xml:space="preserve"> COUNTIF(deals_closed!D:D,A921)</f>
        <v>24</v>
      </c>
      <c r="G921" s="5">
        <f>SUMIF(deals_closed!D:D, calculations!A921, deals_closed!C:C)</f>
        <v>923269</v>
      </c>
      <c r="H921" s="5">
        <f>VLOOKUP(D921,'2018_commission_structure'!$A$2:$I$4,9,FALSE)</f>
        <v>600000</v>
      </c>
      <c r="I921" s="9">
        <f t="shared" si="84"/>
        <v>750000</v>
      </c>
      <c r="J921" s="8">
        <f t="shared" si="85"/>
        <v>900000</v>
      </c>
      <c r="K921" s="9">
        <f t="shared" si="86"/>
        <v>1200000</v>
      </c>
      <c r="L921" s="10">
        <f t="shared" si="87"/>
        <v>1.5387816666666667</v>
      </c>
      <c r="M921" t="str">
        <f t="shared" si="88"/>
        <v>150-200%</v>
      </c>
      <c r="N921" s="9">
        <f>MIN(H921, G921)*INDEX('2018_commission_structure'!$A$1:$I$4,
MATCH($D921, '2018_commission_structure'!$A$1:$A$4,0),
MATCH(N$1, '2018_commission_structure'!$A$1:$I$1,0))</f>
        <v>78000</v>
      </c>
      <c r="O921" s="11">
        <f>IF(G921&gt;H921, MIN(G921-H921, I921-H921)*
INDEX('2018_commission_structure'!$A$1:$I$4,
MATCH($D921, '2018_commission_structure'!$A$1:$A$4, 0),
MATCH(O$1, '2018_commission_structure'!$A$1:$I$1, 0)), 0)</f>
        <v>25500.000000000004</v>
      </c>
      <c r="P921" s="11">
        <f>IF(G921&gt;H921, MIN(G921-H921, J921-H921)*
INDEX('2018_commission_structure'!$A$1:$I$4,
MATCH($D921, '2018_commission_structure'!$A$1:$A$4, 0),
MATCH(O$1, '2018_commission_structure'!$A$1:$I$1, 0)), 0)</f>
        <v>51000.000000000007</v>
      </c>
      <c r="Q921" s="11">
        <f>IF(G921&gt;H921, MIN(G921-H921, I921-H921)*
INDEX('2018_commission_structure'!$A$1:$I$4,
MATCH($D921, '2018_commission_structure'!$A$1:$A$4, 0),
MATCH(P$1, '2018_commission_structure'!$A$1:$I$1, 0)), 0)</f>
        <v>31500</v>
      </c>
      <c r="R921" s="11">
        <f>IF(G921&gt;K921, (G921-K921) *
INDEX('2018_commission_structure'!$A$1:$I$4,
MATCH($D921, '2018_commission_structure'!$A$1:$A$4,0),
MATCH(R$1, '2018_commission_structure'!$A$1:$I$1,0)), 0)</f>
        <v>0</v>
      </c>
      <c r="S921" s="11">
        <f t="shared" si="89"/>
        <v>108000.00000000001</v>
      </c>
      <c r="T921" s="11" cm="1">
        <f t="array" ref="T921">SUM(E921+O921:Q921)</f>
        <v>309609</v>
      </c>
    </row>
    <row r="922" spans="1:20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 xml:space="preserve"> COUNTIF(deals_closed!D:D,A922)</f>
        <v>22</v>
      </c>
      <c r="G922" s="5">
        <f>SUMIF(deals_closed!D:D, calculations!A922, deals_closed!C:C)</f>
        <v>664319</v>
      </c>
      <c r="H922" s="5">
        <f>VLOOKUP(D922,'2018_commission_structure'!$A$2:$I$4,9,FALSE)</f>
        <v>750000</v>
      </c>
      <c r="I922" s="9">
        <f t="shared" si="84"/>
        <v>937500</v>
      </c>
      <c r="J922" s="8">
        <f t="shared" si="85"/>
        <v>1125000</v>
      </c>
      <c r="K922" s="9">
        <f t="shared" si="86"/>
        <v>1500000</v>
      </c>
      <c r="L922" s="10">
        <f t="shared" si="87"/>
        <v>0.88575866666666669</v>
      </c>
      <c r="M922" t="str">
        <f t="shared" si="88"/>
        <v>0-100%</v>
      </c>
      <c r="N922" s="9">
        <f>MIN(H922, G922)*INDEX('2018_commission_structure'!$A$1:$I$4,
MATCH($D922, '2018_commission_structure'!$A$1:$A$4,0),
MATCH(N$1, '2018_commission_structure'!$A$1:$I$1,0))</f>
        <v>99647.849999999991</v>
      </c>
      <c r="O922" s="11">
        <f>IF(G922&gt;H922, MIN(G922-H922, I922-H922)*
INDEX('2018_commission_structure'!$A$1:$I$4,
MATCH($D922, '2018_commission_structure'!$A$1:$A$4, 0),
MATCH(O$1, '2018_commission_structure'!$A$1:$I$1, 0)), 0)</f>
        <v>0</v>
      </c>
      <c r="P922" s="11">
        <f>IF(G922&gt;H922, MIN(G922-H922, J922-H922)*
INDEX('2018_commission_structure'!$A$1:$I$4,
MATCH($D922, '2018_commission_structure'!$A$1:$A$4, 0),
MATCH(O$1, '2018_commission_structure'!$A$1:$I$1, 0)), 0)</f>
        <v>0</v>
      </c>
      <c r="Q922" s="11">
        <f>IF(G922&gt;H922, MIN(G922-H922, I922-H922)*
INDEX('2018_commission_structure'!$A$1:$I$4,
MATCH($D922, '2018_commission_structure'!$A$1:$A$4, 0),
MATCH(P$1, '2018_commission_structure'!$A$1:$I$1, 0)), 0)</f>
        <v>0</v>
      </c>
      <c r="R922" s="11">
        <f>IF(G922&gt;K922, (G922-K922) *
INDEX('2018_commission_structure'!$A$1:$I$4,
MATCH($D922, '2018_commission_structure'!$A$1:$A$4,0),
MATCH(R$1, '2018_commission_structure'!$A$1:$I$1,0)), 0)</f>
        <v>0</v>
      </c>
      <c r="S922" s="11">
        <f t="shared" si="89"/>
        <v>0</v>
      </c>
      <c r="T922" s="11" cm="1">
        <f t="array" ref="T922">SUM(E922+O922:Q922)</f>
        <v>279900</v>
      </c>
    </row>
    <row r="923" spans="1:20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 xml:space="preserve"> COUNTIF(deals_closed!D:D,A923)</f>
        <v>22</v>
      </c>
      <c r="G923" s="5">
        <f>SUMIF(deals_closed!D:D, calculations!A923, deals_closed!C:C)</f>
        <v>658709</v>
      </c>
      <c r="H923" s="5">
        <f>VLOOKUP(D923,'2018_commission_structure'!$A$2:$I$4,9,FALSE)</f>
        <v>600000</v>
      </c>
      <c r="I923" s="9">
        <f t="shared" si="84"/>
        <v>750000</v>
      </c>
      <c r="J923" s="8">
        <f t="shared" si="85"/>
        <v>900000</v>
      </c>
      <c r="K923" s="9">
        <f t="shared" si="86"/>
        <v>1200000</v>
      </c>
      <c r="L923" s="10">
        <f t="shared" si="87"/>
        <v>1.0978483333333333</v>
      </c>
      <c r="M923" t="str">
        <f t="shared" si="88"/>
        <v>100-125%</v>
      </c>
      <c r="N923" s="9">
        <f>MIN(H923, G923)*INDEX('2018_commission_structure'!$A$1:$I$4,
MATCH($D923, '2018_commission_structure'!$A$1:$A$4,0),
MATCH(N$1, '2018_commission_structure'!$A$1:$I$1,0))</f>
        <v>78000</v>
      </c>
      <c r="O923" s="11">
        <f>IF(G923&gt;H923, MIN(G923-H923, I923-H923)*
INDEX('2018_commission_structure'!$A$1:$I$4,
MATCH($D923, '2018_commission_structure'!$A$1:$A$4, 0),
MATCH(O$1, '2018_commission_structure'!$A$1:$I$1, 0)), 0)</f>
        <v>9980.5300000000007</v>
      </c>
      <c r="P923" s="11">
        <f>IF(G923&gt;H923, MIN(G923-H923, J923-H923)*
INDEX('2018_commission_structure'!$A$1:$I$4,
MATCH($D923, '2018_commission_structure'!$A$1:$A$4, 0),
MATCH(O$1, '2018_commission_structure'!$A$1:$I$1, 0)), 0)</f>
        <v>9980.5300000000007</v>
      </c>
      <c r="Q923" s="11">
        <f>IF(G923&gt;H923, MIN(G923-H923, I923-H923)*
INDEX('2018_commission_structure'!$A$1:$I$4,
MATCH($D923, '2018_commission_structure'!$A$1:$A$4, 0),
MATCH(P$1, '2018_commission_structure'!$A$1:$I$1, 0)), 0)</f>
        <v>12328.89</v>
      </c>
      <c r="R923" s="11">
        <f>IF(G923&gt;K923, (G923-K923) *
INDEX('2018_commission_structure'!$A$1:$I$4,
MATCH($D923, '2018_commission_structure'!$A$1:$A$4,0),
MATCH(R$1, '2018_commission_structure'!$A$1:$I$1,0)), 0)</f>
        <v>0</v>
      </c>
      <c r="S923" s="11">
        <f t="shared" si="89"/>
        <v>32289.95</v>
      </c>
      <c r="T923" s="11" cm="1">
        <f t="array" ref="T923">SUM(E923+O923:Q923)</f>
        <v>263910.95</v>
      </c>
    </row>
    <row r="924" spans="1:20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 xml:space="preserve"> COUNTIF(deals_closed!D:D,A924)</f>
        <v>25</v>
      </c>
      <c r="G924" s="5">
        <f>SUMIF(deals_closed!D:D, calculations!A924, deals_closed!C:C)</f>
        <v>860242</v>
      </c>
      <c r="H924" s="5">
        <f>VLOOKUP(D924,'2018_commission_structure'!$A$2:$I$4,9,FALSE)</f>
        <v>500000</v>
      </c>
      <c r="I924" s="9">
        <f t="shared" si="84"/>
        <v>625000</v>
      </c>
      <c r="J924" s="8">
        <f t="shared" si="85"/>
        <v>750000</v>
      </c>
      <c r="K924" s="9">
        <f t="shared" si="86"/>
        <v>1000000</v>
      </c>
      <c r="L924" s="10">
        <f t="shared" si="87"/>
        <v>1.7204839999999999</v>
      </c>
      <c r="M924" t="str">
        <f t="shared" si="88"/>
        <v>150-200%</v>
      </c>
      <c r="N924" s="9">
        <f>MIN(H924, G924)*INDEX('2018_commission_structure'!$A$1:$I$4,
MATCH($D924, '2018_commission_structure'!$A$1:$A$4,0),
MATCH(N$1, '2018_commission_structure'!$A$1:$I$1,0))</f>
        <v>50000</v>
      </c>
      <c r="O924" s="11">
        <f>IF(G924&gt;H924, MIN(G924-H924, I924-H924)*
INDEX('2018_commission_structure'!$A$1:$I$4,
MATCH($D924, '2018_commission_structure'!$A$1:$A$4, 0),
MATCH(O$1, '2018_commission_structure'!$A$1:$I$1, 0)), 0)</f>
        <v>18750</v>
      </c>
      <c r="P924" s="11">
        <f>IF(G924&gt;H924, MIN(G924-H924, J924-H924)*
INDEX('2018_commission_structure'!$A$1:$I$4,
MATCH($D924, '2018_commission_structure'!$A$1:$A$4, 0),
MATCH(O$1, '2018_commission_structure'!$A$1:$I$1, 0)), 0)</f>
        <v>37500</v>
      </c>
      <c r="Q924" s="11">
        <f>IF(G924&gt;H924, MIN(G924-H924, I924-H924)*
INDEX('2018_commission_structure'!$A$1:$I$4,
MATCH($D924, '2018_commission_structure'!$A$1:$A$4, 0),
MATCH(P$1, '2018_commission_structure'!$A$1:$I$1, 0)), 0)</f>
        <v>22500</v>
      </c>
      <c r="R924" s="11">
        <f>IF(G924&gt;K924, (G924-K924) *
INDEX('2018_commission_structure'!$A$1:$I$4,
MATCH($D924, '2018_commission_structure'!$A$1:$A$4,0),
MATCH(R$1, '2018_commission_structure'!$A$1:$I$1,0)), 0)</f>
        <v>0</v>
      </c>
      <c r="S924" s="11">
        <f t="shared" si="89"/>
        <v>78750</v>
      </c>
      <c r="T924" s="11" cm="1">
        <f t="array" ref="T924">SUM(E924+O924:Q924)</f>
        <v>237405</v>
      </c>
    </row>
    <row r="925" spans="1:20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 xml:space="preserve"> COUNTIF(deals_closed!D:D,A925)</f>
        <v>16</v>
      </c>
      <c r="G925" s="5">
        <f>SUMIF(deals_closed!D:D, calculations!A925, deals_closed!C:C)</f>
        <v>593010</v>
      </c>
      <c r="H925" s="5">
        <f>VLOOKUP(D925,'2018_commission_structure'!$A$2:$I$4,9,FALSE)</f>
        <v>600000</v>
      </c>
      <c r="I925" s="9">
        <f t="shared" si="84"/>
        <v>750000</v>
      </c>
      <c r="J925" s="8">
        <f t="shared" si="85"/>
        <v>900000</v>
      </c>
      <c r="K925" s="9">
        <f t="shared" si="86"/>
        <v>1200000</v>
      </c>
      <c r="L925" s="10">
        <f t="shared" si="87"/>
        <v>0.98834999999999995</v>
      </c>
      <c r="M925" t="str">
        <f t="shared" si="88"/>
        <v>0-100%</v>
      </c>
      <c r="N925" s="9">
        <f>MIN(H925, G925)*INDEX('2018_commission_structure'!$A$1:$I$4,
MATCH($D925, '2018_commission_structure'!$A$1:$A$4,0),
MATCH(N$1, '2018_commission_structure'!$A$1:$I$1,0))</f>
        <v>77091.3</v>
      </c>
      <c r="O925" s="11">
        <f>IF(G925&gt;H925, MIN(G925-H925, I925-H925)*
INDEX('2018_commission_structure'!$A$1:$I$4,
MATCH($D925, '2018_commission_structure'!$A$1:$A$4, 0),
MATCH(O$1, '2018_commission_structure'!$A$1:$I$1, 0)), 0)</f>
        <v>0</v>
      </c>
      <c r="P925" s="11">
        <f>IF(G925&gt;H925, MIN(G925-H925, J925-H925)*
INDEX('2018_commission_structure'!$A$1:$I$4,
MATCH($D925, '2018_commission_structure'!$A$1:$A$4, 0),
MATCH(O$1, '2018_commission_structure'!$A$1:$I$1, 0)), 0)</f>
        <v>0</v>
      </c>
      <c r="Q925" s="11">
        <f>IF(G925&gt;H925, MIN(G925-H925, I925-H925)*
INDEX('2018_commission_structure'!$A$1:$I$4,
MATCH($D925, '2018_commission_structure'!$A$1:$A$4, 0),
MATCH(P$1, '2018_commission_structure'!$A$1:$I$1, 0)), 0)</f>
        <v>0</v>
      </c>
      <c r="R925" s="11">
        <f>IF(G925&gt;K925, (G925-K925) *
INDEX('2018_commission_structure'!$A$1:$I$4,
MATCH($D925, '2018_commission_structure'!$A$1:$A$4,0),
MATCH(R$1, '2018_commission_structure'!$A$1:$I$1,0)), 0)</f>
        <v>0</v>
      </c>
      <c r="S925" s="11">
        <f t="shared" si="89"/>
        <v>0</v>
      </c>
      <c r="T925" s="11" cm="1">
        <f t="array" ref="T925">SUM(E925+O925:Q925)</f>
        <v>188565</v>
      </c>
    </row>
    <row r="926" spans="1:20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 xml:space="preserve"> COUNTIF(deals_closed!D:D,A926)</f>
        <v>20</v>
      </c>
      <c r="G926" s="5">
        <f>SUMIF(deals_closed!D:D, calculations!A926, deals_closed!C:C)</f>
        <v>684528</v>
      </c>
      <c r="H926" s="5">
        <f>VLOOKUP(D926,'2018_commission_structure'!$A$2:$I$4,9,FALSE)</f>
        <v>500000</v>
      </c>
      <c r="I926" s="9">
        <f t="shared" si="84"/>
        <v>625000</v>
      </c>
      <c r="J926" s="8">
        <f t="shared" si="85"/>
        <v>750000</v>
      </c>
      <c r="K926" s="9">
        <f t="shared" si="86"/>
        <v>1000000</v>
      </c>
      <c r="L926" s="10">
        <f t="shared" si="87"/>
        <v>1.3690560000000001</v>
      </c>
      <c r="M926" t="str">
        <f t="shared" si="88"/>
        <v>125-150%</v>
      </c>
      <c r="N926" s="9">
        <f>MIN(H926, G926)*INDEX('2018_commission_structure'!$A$1:$I$4,
MATCH($D926, '2018_commission_structure'!$A$1:$A$4,0),
MATCH(N$1, '2018_commission_structure'!$A$1:$I$1,0))</f>
        <v>50000</v>
      </c>
      <c r="O926" s="11">
        <f>IF(G926&gt;H926, MIN(G926-H926, I926-H926)*
INDEX('2018_commission_structure'!$A$1:$I$4,
MATCH($D926, '2018_commission_structure'!$A$1:$A$4, 0),
MATCH(O$1, '2018_commission_structure'!$A$1:$I$1, 0)), 0)</f>
        <v>18750</v>
      </c>
      <c r="P926" s="11">
        <f>IF(G926&gt;H926, MIN(G926-H926, J926-H926)*
INDEX('2018_commission_structure'!$A$1:$I$4,
MATCH($D926, '2018_commission_structure'!$A$1:$A$4, 0),
MATCH(O$1, '2018_commission_structure'!$A$1:$I$1, 0)), 0)</f>
        <v>27679.200000000001</v>
      </c>
      <c r="Q926" s="11">
        <f>IF(G926&gt;H926, MIN(G926-H926, I926-H926)*
INDEX('2018_commission_structure'!$A$1:$I$4,
MATCH($D926, '2018_commission_structure'!$A$1:$A$4, 0),
MATCH(P$1, '2018_commission_structure'!$A$1:$I$1, 0)), 0)</f>
        <v>22500</v>
      </c>
      <c r="R926" s="11">
        <f>IF(G926&gt;K926, (G926-K926) *
INDEX('2018_commission_structure'!$A$1:$I$4,
MATCH($D926, '2018_commission_structure'!$A$1:$A$4,0),
MATCH(R$1, '2018_commission_structure'!$A$1:$I$1,0)), 0)</f>
        <v>0</v>
      </c>
      <c r="S926" s="11">
        <f t="shared" si="89"/>
        <v>68929.2</v>
      </c>
      <c r="T926" s="11" cm="1">
        <f t="array" ref="T926">SUM(E926+O926:Q926)</f>
        <v>166924.20000000001</v>
      </c>
    </row>
    <row r="927" spans="1:20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 xml:space="preserve"> COUNTIF(deals_closed!D:D,A927)</f>
        <v>24</v>
      </c>
      <c r="G927" s="5">
        <f>SUMIF(deals_closed!D:D, calculations!A927, deals_closed!C:C)</f>
        <v>765238</v>
      </c>
      <c r="H927" s="5">
        <f>VLOOKUP(D927,'2018_commission_structure'!$A$2:$I$4,9,FALSE)</f>
        <v>750000</v>
      </c>
      <c r="I927" s="9">
        <f t="shared" si="84"/>
        <v>937500</v>
      </c>
      <c r="J927" s="8">
        <f t="shared" si="85"/>
        <v>1125000</v>
      </c>
      <c r="K927" s="9">
        <f t="shared" si="86"/>
        <v>1500000</v>
      </c>
      <c r="L927" s="10">
        <f t="shared" si="87"/>
        <v>1.0203173333333333</v>
      </c>
      <c r="M927" t="str">
        <f t="shared" si="88"/>
        <v>100-125%</v>
      </c>
      <c r="N927" s="9">
        <f>MIN(H927, G927)*INDEX('2018_commission_structure'!$A$1:$I$4,
MATCH($D927, '2018_commission_structure'!$A$1:$A$4,0),
MATCH(N$1, '2018_commission_structure'!$A$1:$I$1,0))</f>
        <v>112500</v>
      </c>
      <c r="O927" s="11">
        <f>IF(G927&gt;H927, MIN(G927-H927, I927-H927)*
INDEX('2018_commission_structure'!$A$1:$I$4,
MATCH($D927, '2018_commission_structure'!$A$1:$A$4, 0),
MATCH(O$1, '2018_commission_structure'!$A$1:$I$1, 0)), 0)</f>
        <v>2895.2200000000003</v>
      </c>
      <c r="P927" s="11">
        <f>IF(G927&gt;H927, MIN(G927-H927, J927-H927)*
INDEX('2018_commission_structure'!$A$1:$I$4,
MATCH($D927, '2018_commission_structure'!$A$1:$A$4, 0),
MATCH(O$1, '2018_commission_structure'!$A$1:$I$1, 0)), 0)</f>
        <v>2895.2200000000003</v>
      </c>
      <c r="Q927" s="11">
        <f>IF(G927&gt;H927, MIN(G927-H927, I927-H927)*
INDEX('2018_commission_structure'!$A$1:$I$4,
MATCH($D927, '2018_commission_structure'!$A$1:$A$4, 0),
MATCH(P$1, '2018_commission_structure'!$A$1:$I$1, 0)), 0)</f>
        <v>3504.7400000000002</v>
      </c>
      <c r="R927" s="11">
        <f>IF(G927&gt;K927, (G927-K927) *
INDEX('2018_commission_structure'!$A$1:$I$4,
MATCH($D927, '2018_commission_structure'!$A$1:$A$4,0),
MATCH(R$1, '2018_commission_structure'!$A$1:$I$1,0)), 0)</f>
        <v>0</v>
      </c>
      <c r="S927" s="11">
        <f t="shared" si="89"/>
        <v>9295.18</v>
      </c>
      <c r="T927" s="11" cm="1">
        <f t="array" ref="T927">SUM(E927+O927:Q927)</f>
        <v>374977.18</v>
      </c>
    </row>
    <row r="928" spans="1:20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 xml:space="preserve"> COUNTIF(deals_closed!D:D,A928)</f>
        <v>24</v>
      </c>
      <c r="G928" s="5">
        <f>SUMIF(deals_closed!D:D, calculations!A928, deals_closed!C:C)</f>
        <v>818193</v>
      </c>
      <c r="H928" s="5">
        <f>VLOOKUP(D928,'2018_commission_structure'!$A$2:$I$4,9,FALSE)</f>
        <v>750000</v>
      </c>
      <c r="I928" s="9">
        <f t="shared" si="84"/>
        <v>937500</v>
      </c>
      <c r="J928" s="8">
        <f t="shared" si="85"/>
        <v>1125000</v>
      </c>
      <c r="K928" s="9">
        <f t="shared" si="86"/>
        <v>1500000</v>
      </c>
      <c r="L928" s="10">
        <f t="shared" si="87"/>
        <v>1.090924</v>
      </c>
      <c r="M928" t="str">
        <f t="shared" si="88"/>
        <v>100-125%</v>
      </c>
      <c r="N928" s="9">
        <f>MIN(H928, G928)*INDEX('2018_commission_structure'!$A$1:$I$4,
MATCH($D928, '2018_commission_structure'!$A$1:$A$4,0),
MATCH(N$1, '2018_commission_structure'!$A$1:$I$1,0))</f>
        <v>112500</v>
      </c>
      <c r="O928" s="11">
        <f>IF(G928&gt;H928, MIN(G928-H928, I928-H928)*
INDEX('2018_commission_structure'!$A$1:$I$4,
MATCH($D928, '2018_commission_structure'!$A$1:$A$4, 0),
MATCH(O$1, '2018_commission_structure'!$A$1:$I$1, 0)), 0)</f>
        <v>12956.67</v>
      </c>
      <c r="P928" s="11">
        <f>IF(G928&gt;H928, MIN(G928-H928, J928-H928)*
INDEX('2018_commission_structure'!$A$1:$I$4,
MATCH($D928, '2018_commission_structure'!$A$1:$A$4, 0),
MATCH(O$1, '2018_commission_structure'!$A$1:$I$1, 0)), 0)</f>
        <v>12956.67</v>
      </c>
      <c r="Q928" s="11">
        <f>IF(G928&gt;H928, MIN(G928-H928, I928-H928)*
INDEX('2018_commission_structure'!$A$1:$I$4,
MATCH($D928, '2018_commission_structure'!$A$1:$A$4, 0),
MATCH(P$1, '2018_commission_structure'!$A$1:$I$1, 0)), 0)</f>
        <v>15684.390000000001</v>
      </c>
      <c r="R928" s="11">
        <f>IF(G928&gt;K928, (G928-K928) *
INDEX('2018_commission_structure'!$A$1:$I$4,
MATCH($D928, '2018_commission_structure'!$A$1:$A$4,0),
MATCH(R$1, '2018_commission_structure'!$A$1:$I$1,0)), 0)</f>
        <v>0</v>
      </c>
      <c r="S928" s="11">
        <f t="shared" si="89"/>
        <v>41597.730000000003</v>
      </c>
      <c r="T928" s="11" cm="1">
        <f t="array" ref="T928">SUM(E928+O928:Q928)</f>
        <v>381689.73</v>
      </c>
    </row>
    <row r="929" spans="1:20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 xml:space="preserve"> COUNTIF(deals_closed!D:D,A929)</f>
        <v>22</v>
      </c>
      <c r="G929" s="5">
        <f>SUMIF(deals_closed!D:D, calculations!A929, deals_closed!C:C)</f>
        <v>792767</v>
      </c>
      <c r="H929" s="5">
        <f>VLOOKUP(D929,'2018_commission_structure'!$A$2:$I$4,9,FALSE)</f>
        <v>600000</v>
      </c>
      <c r="I929" s="9">
        <f t="shared" si="84"/>
        <v>750000</v>
      </c>
      <c r="J929" s="8">
        <f t="shared" si="85"/>
        <v>900000</v>
      </c>
      <c r="K929" s="9">
        <f t="shared" si="86"/>
        <v>1200000</v>
      </c>
      <c r="L929" s="10">
        <f t="shared" si="87"/>
        <v>1.3212783333333333</v>
      </c>
      <c r="M929" t="str">
        <f t="shared" si="88"/>
        <v>125-150%</v>
      </c>
      <c r="N929" s="9">
        <f>MIN(H929, G929)*INDEX('2018_commission_structure'!$A$1:$I$4,
MATCH($D929, '2018_commission_structure'!$A$1:$A$4,0),
MATCH(N$1, '2018_commission_structure'!$A$1:$I$1,0))</f>
        <v>78000</v>
      </c>
      <c r="O929" s="11">
        <f>IF(G929&gt;H929, MIN(G929-H929, I929-H929)*
INDEX('2018_commission_structure'!$A$1:$I$4,
MATCH($D929, '2018_commission_structure'!$A$1:$A$4, 0),
MATCH(O$1, '2018_commission_structure'!$A$1:$I$1, 0)), 0)</f>
        <v>25500.000000000004</v>
      </c>
      <c r="P929" s="11">
        <f>IF(G929&gt;H929, MIN(G929-H929, J929-H929)*
INDEX('2018_commission_structure'!$A$1:$I$4,
MATCH($D929, '2018_commission_structure'!$A$1:$A$4, 0),
MATCH(O$1, '2018_commission_structure'!$A$1:$I$1, 0)), 0)</f>
        <v>32770.39</v>
      </c>
      <c r="Q929" s="11">
        <f>IF(G929&gt;H929, MIN(G929-H929, I929-H929)*
INDEX('2018_commission_structure'!$A$1:$I$4,
MATCH($D929, '2018_commission_structure'!$A$1:$A$4, 0),
MATCH(P$1, '2018_commission_structure'!$A$1:$I$1, 0)), 0)</f>
        <v>31500</v>
      </c>
      <c r="R929" s="11">
        <f>IF(G929&gt;K929, (G929-K929) *
INDEX('2018_commission_structure'!$A$1:$I$4,
MATCH($D929, '2018_commission_structure'!$A$1:$A$4,0),
MATCH(R$1, '2018_commission_structure'!$A$1:$I$1,0)), 0)</f>
        <v>0</v>
      </c>
      <c r="S929" s="11">
        <f t="shared" si="89"/>
        <v>89770.39</v>
      </c>
      <c r="T929" s="11" cm="1">
        <f t="array" ref="T929">SUM(E929+O929:Q929)</f>
        <v>306793.39</v>
      </c>
    </row>
    <row r="930" spans="1:20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 xml:space="preserve"> COUNTIF(deals_closed!D:D,A930)</f>
        <v>28</v>
      </c>
      <c r="G930" s="5">
        <f>SUMIF(deals_closed!D:D, calculations!A930, deals_closed!C:C)</f>
        <v>930406</v>
      </c>
      <c r="H930" s="5">
        <f>VLOOKUP(D930,'2018_commission_structure'!$A$2:$I$4,9,FALSE)</f>
        <v>750000</v>
      </c>
      <c r="I930" s="9">
        <f t="shared" si="84"/>
        <v>937500</v>
      </c>
      <c r="J930" s="8">
        <f t="shared" si="85"/>
        <v>1125000</v>
      </c>
      <c r="K930" s="9">
        <f t="shared" si="86"/>
        <v>1500000</v>
      </c>
      <c r="L930" s="10">
        <f t="shared" si="87"/>
        <v>1.2405413333333333</v>
      </c>
      <c r="M930" t="str">
        <f t="shared" si="88"/>
        <v>100-125%</v>
      </c>
      <c r="N930" s="9">
        <f>MIN(H930, G930)*INDEX('2018_commission_structure'!$A$1:$I$4,
MATCH($D930, '2018_commission_structure'!$A$1:$A$4,0),
MATCH(N$1, '2018_commission_structure'!$A$1:$I$1,0))</f>
        <v>112500</v>
      </c>
      <c r="O930" s="11">
        <f>IF(G930&gt;H930, MIN(G930-H930, I930-H930)*
INDEX('2018_commission_structure'!$A$1:$I$4,
MATCH($D930, '2018_commission_structure'!$A$1:$A$4, 0),
MATCH(O$1, '2018_commission_structure'!$A$1:$I$1, 0)), 0)</f>
        <v>34277.14</v>
      </c>
      <c r="P930" s="11">
        <f>IF(G930&gt;H930, MIN(G930-H930, J930-H930)*
INDEX('2018_commission_structure'!$A$1:$I$4,
MATCH($D930, '2018_commission_structure'!$A$1:$A$4, 0),
MATCH(O$1, '2018_commission_structure'!$A$1:$I$1, 0)), 0)</f>
        <v>34277.14</v>
      </c>
      <c r="Q930" s="11">
        <f>IF(G930&gt;H930, MIN(G930-H930, I930-H930)*
INDEX('2018_commission_structure'!$A$1:$I$4,
MATCH($D930, '2018_commission_structure'!$A$1:$A$4, 0),
MATCH(P$1, '2018_commission_structure'!$A$1:$I$1, 0)), 0)</f>
        <v>41493.380000000005</v>
      </c>
      <c r="R930" s="11">
        <f>IF(G930&gt;K930, (G930-K930) *
INDEX('2018_commission_structure'!$A$1:$I$4,
MATCH($D930, '2018_commission_structure'!$A$1:$A$4,0),
MATCH(R$1, '2018_commission_structure'!$A$1:$I$1,0)), 0)</f>
        <v>0</v>
      </c>
      <c r="S930" s="11">
        <f t="shared" si="89"/>
        <v>110047.66</v>
      </c>
      <c r="T930" s="11" cm="1">
        <f t="array" ref="T930">SUM(E930+O930:Q930)</f>
        <v>419875.66000000003</v>
      </c>
    </row>
    <row r="931" spans="1:20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 xml:space="preserve"> COUNTIF(deals_closed!D:D,A931)</f>
        <v>28</v>
      </c>
      <c r="G931" s="5">
        <f>SUMIF(deals_closed!D:D, calculations!A931, deals_closed!C:C)</f>
        <v>875887</v>
      </c>
      <c r="H931" s="5">
        <f>VLOOKUP(D931,'2018_commission_structure'!$A$2:$I$4,9,FALSE)</f>
        <v>600000</v>
      </c>
      <c r="I931" s="9">
        <f t="shared" si="84"/>
        <v>750000</v>
      </c>
      <c r="J931" s="8">
        <f t="shared" si="85"/>
        <v>900000</v>
      </c>
      <c r="K931" s="9">
        <f t="shared" si="86"/>
        <v>1200000</v>
      </c>
      <c r="L931" s="10">
        <f t="shared" si="87"/>
        <v>1.4598116666666667</v>
      </c>
      <c r="M931" t="str">
        <f t="shared" si="88"/>
        <v>125-150%</v>
      </c>
      <c r="N931" s="9">
        <f>MIN(H931, G931)*INDEX('2018_commission_structure'!$A$1:$I$4,
MATCH($D931, '2018_commission_structure'!$A$1:$A$4,0),
MATCH(N$1, '2018_commission_structure'!$A$1:$I$1,0))</f>
        <v>78000</v>
      </c>
      <c r="O931" s="11">
        <f>IF(G931&gt;H931, MIN(G931-H931, I931-H931)*
INDEX('2018_commission_structure'!$A$1:$I$4,
MATCH($D931, '2018_commission_structure'!$A$1:$A$4, 0),
MATCH(O$1, '2018_commission_structure'!$A$1:$I$1, 0)), 0)</f>
        <v>25500.000000000004</v>
      </c>
      <c r="P931" s="11">
        <f>IF(G931&gt;H931, MIN(G931-H931, J931-H931)*
INDEX('2018_commission_structure'!$A$1:$I$4,
MATCH($D931, '2018_commission_structure'!$A$1:$A$4, 0),
MATCH(O$1, '2018_commission_structure'!$A$1:$I$1, 0)), 0)</f>
        <v>46900.79</v>
      </c>
      <c r="Q931" s="11">
        <f>IF(G931&gt;H931, MIN(G931-H931, I931-H931)*
INDEX('2018_commission_structure'!$A$1:$I$4,
MATCH($D931, '2018_commission_structure'!$A$1:$A$4, 0),
MATCH(P$1, '2018_commission_structure'!$A$1:$I$1, 0)), 0)</f>
        <v>31500</v>
      </c>
      <c r="R931" s="11">
        <f>IF(G931&gt;K931, (G931-K931) *
INDEX('2018_commission_structure'!$A$1:$I$4,
MATCH($D931, '2018_commission_structure'!$A$1:$A$4,0),
MATCH(R$1, '2018_commission_structure'!$A$1:$I$1,0)), 0)</f>
        <v>0</v>
      </c>
      <c r="S931" s="11">
        <f t="shared" si="89"/>
        <v>103900.79000000001</v>
      </c>
      <c r="T931" s="11" cm="1">
        <f t="array" ref="T931">SUM(E931+O931:Q931)</f>
        <v>316069.79000000004</v>
      </c>
    </row>
    <row r="932" spans="1:20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 xml:space="preserve"> COUNTIF(deals_closed!D:D,A932)</f>
        <v>18</v>
      </c>
      <c r="G932" s="5">
        <f>SUMIF(deals_closed!D:D, calculations!A932, deals_closed!C:C)</f>
        <v>581268</v>
      </c>
      <c r="H932" s="5">
        <f>VLOOKUP(D932,'2018_commission_structure'!$A$2:$I$4,9,FALSE)</f>
        <v>500000</v>
      </c>
      <c r="I932" s="9">
        <f t="shared" si="84"/>
        <v>625000</v>
      </c>
      <c r="J932" s="8">
        <f t="shared" si="85"/>
        <v>750000</v>
      </c>
      <c r="K932" s="9">
        <f t="shared" si="86"/>
        <v>1000000</v>
      </c>
      <c r="L932" s="10">
        <f t="shared" si="87"/>
        <v>1.162536</v>
      </c>
      <c r="M932" t="str">
        <f t="shared" si="88"/>
        <v>100-125%</v>
      </c>
      <c r="N932" s="9">
        <f>MIN(H932, G932)*INDEX('2018_commission_structure'!$A$1:$I$4,
MATCH($D932, '2018_commission_structure'!$A$1:$A$4,0),
MATCH(N$1, '2018_commission_structure'!$A$1:$I$1,0))</f>
        <v>50000</v>
      </c>
      <c r="O932" s="11">
        <f>IF(G932&gt;H932, MIN(G932-H932, I932-H932)*
INDEX('2018_commission_structure'!$A$1:$I$4,
MATCH($D932, '2018_commission_structure'!$A$1:$A$4, 0),
MATCH(O$1, '2018_commission_structure'!$A$1:$I$1, 0)), 0)</f>
        <v>12190.199999999999</v>
      </c>
      <c r="P932" s="11">
        <f>IF(G932&gt;H932, MIN(G932-H932, J932-H932)*
INDEX('2018_commission_structure'!$A$1:$I$4,
MATCH($D932, '2018_commission_structure'!$A$1:$A$4, 0),
MATCH(O$1, '2018_commission_structure'!$A$1:$I$1, 0)), 0)</f>
        <v>12190.199999999999</v>
      </c>
      <c r="Q932" s="11">
        <f>IF(G932&gt;H932, MIN(G932-H932, I932-H932)*
INDEX('2018_commission_structure'!$A$1:$I$4,
MATCH($D932, '2018_commission_structure'!$A$1:$A$4, 0),
MATCH(P$1, '2018_commission_structure'!$A$1:$I$1, 0)), 0)</f>
        <v>14628.24</v>
      </c>
      <c r="R932" s="11">
        <f>IF(G932&gt;K932, (G932-K932) *
INDEX('2018_commission_structure'!$A$1:$I$4,
MATCH($D932, '2018_commission_structure'!$A$1:$A$4,0),
MATCH(R$1, '2018_commission_structure'!$A$1:$I$1,0)), 0)</f>
        <v>0</v>
      </c>
      <c r="S932" s="11">
        <f t="shared" si="89"/>
        <v>39008.639999999999</v>
      </c>
      <c r="T932" s="11" cm="1">
        <f t="array" ref="T932">SUM(E932+O932:Q932)</f>
        <v>212162.64</v>
      </c>
    </row>
    <row r="933" spans="1:20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 xml:space="preserve"> COUNTIF(deals_closed!D:D,A933)</f>
        <v>20</v>
      </c>
      <c r="G933" s="5">
        <f>SUMIF(deals_closed!D:D, calculations!A933, deals_closed!C:C)</f>
        <v>722680</v>
      </c>
      <c r="H933" s="5">
        <f>VLOOKUP(D933,'2018_commission_structure'!$A$2:$I$4,9,FALSE)</f>
        <v>600000</v>
      </c>
      <c r="I933" s="9">
        <f t="shared" si="84"/>
        <v>750000</v>
      </c>
      <c r="J933" s="8">
        <f t="shared" si="85"/>
        <v>900000</v>
      </c>
      <c r="K933" s="9">
        <f t="shared" si="86"/>
        <v>1200000</v>
      </c>
      <c r="L933" s="10">
        <f t="shared" si="87"/>
        <v>1.2044666666666666</v>
      </c>
      <c r="M933" t="str">
        <f t="shared" si="88"/>
        <v>100-125%</v>
      </c>
      <c r="N933" s="9">
        <f>MIN(H933, G933)*INDEX('2018_commission_structure'!$A$1:$I$4,
MATCH($D933, '2018_commission_structure'!$A$1:$A$4,0),
MATCH(N$1, '2018_commission_structure'!$A$1:$I$1,0))</f>
        <v>78000</v>
      </c>
      <c r="O933" s="11">
        <f>IF(G933&gt;H933, MIN(G933-H933, I933-H933)*
INDEX('2018_commission_structure'!$A$1:$I$4,
MATCH($D933, '2018_commission_structure'!$A$1:$A$4, 0),
MATCH(O$1, '2018_commission_structure'!$A$1:$I$1, 0)), 0)</f>
        <v>20855.600000000002</v>
      </c>
      <c r="P933" s="11">
        <f>IF(G933&gt;H933, MIN(G933-H933, J933-H933)*
INDEX('2018_commission_structure'!$A$1:$I$4,
MATCH($D933, '2018_commission_structure'!$A$1:$A$4, 0),
MATCH(O$1, '2018_commission_structure'!$A$1:$I$1, 0)), 0)</f>
        <v>20855.600000000002</v>
      </c>
      <c r="Q933" s="11">
        <f>IF(G933&gt;H933, MIN(G933-H933, I933-H933)*
INDEX('2018_commission_structure'!$A$1:$I$4,
MATCH($D933, '2018_commission_structure'!$A$1:$A$4, 0),
MATCH(P$1, '2018_commission_structure'!$A$1:$I$1, 0)), 0)</f>
        <v>25762.799999999999</v>
      </c>
      <c r="R933" s="11">
        <f>IF(G933&gt;K933, (G933-K933) *
INDEX('2018_commission_structure'!$A$1:$I$4,
MATCH($D933, '2018_commission_structure'!$A$1:$A$4,0),
MATCH(R$1, '2018_commission_structure'!$A$1:$I$1,0)), 0)</f>
        <v>0</v>
      </c>
      <c r="S933" s="11">
        <f t="shared" si="89"/>
        <v>67474</v>
      </c>
      <c r="T933" s="11" cm="1">
        <f t="array" ref="T933">SUM(E933+O933:Q933)</f>
        <v>230947</v>
      </c>
    </row>
    <row r="934" spans="1:20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 xml:space="preserve"> COUNTIF(deals_closed!D:D,A934)</f>
        <v>17</v>
      </c>
      <c r="G934" s="5">
        <f>SUMIF(deals_closed!D:D, calculations!A934, deals_closed!C:C)</f>
        <v>610839</v>
      </c>
      <c r="H934" s="5">
        <f>VLOOKUP(D934,'2018_commission_structure'!$A$2:$I$4,9,FALSE)</f>
        <v>750000</v>
      </c>
      <c r="I934" s="9">
        <f t="shared" si="84"/>
        <v>937500</v>
      </c>
      <c r="J934" s="8">
        <f t="shared" si="85"/>
        <v>1125000</v>
      </c>
      <c r="K934" s="9">
        <f t="shared" si="86"/>
        <v>1500000</v>
      </c>
      <c r="L934" s="10">
        <f t="shared" si="87"/>
        <v>0.81445199999999995</v>
      </c>
      <c r="M934" t="str">
        <f t="shared" si="88"/>
        <v>0-100%</v>
      </c>
      <c r="N934" s="9">
        <f>MIN(H934, G934)*INDEX('2018_commission_structure'!$A$1:$I$4,
MATCH($D934, '2018_commission_structure'!$A$1:$A$4,0),
MATCH(N$1, '2018_commission_structure'!$A$1:$I$1,0))</f>
        <v>91625.849999999991</v>
      </c>
      <c r="O934" s="11">
        <f>IF(G934&gt;H934, MIN(G934-H934, I934-H934)*
INDEX('2018_commission_structure'!$A$1:$I$4,
MATCH($D934, '2018_commission_structure'!$A$1:$A$4, 0),
MATCH(O$1, '2018_commission_structure'!$A$1:$I$1, 0)), 0)</f>
        <v>0</v>
      </c>
      <c r="P934" s="11">
        <f>IF(G934&gt;H934, MIN(G934-H934, J934-H934)*
INDEX('2018_commission_structure'!$A$1:$I$4,
MATCH($D934, '2018_commission_structure'!$A$1:$A$4, 0),
MATCH(O$1, '2018_commission_structure'!$A$1:$I$1, 0)), 0)</f>
        <v>0</v>
      </c>
      <c r="Q934" s="11">
        <f>IF(G934&gt;H934, MIN(G934-H934, I934-H934)*
INDEX('2018_commission_structure'!$A$1:$I$4,
MATCH($D934, '2018_commission_structure'!$A$1:$A$4, 0),
MATCH(P$1, '2018_commission_structure'!$A$1:$I$1, 0)), 0)</f>
        <v>0</v>
      </c>
      <c r="R934" s="11">
        <f>IF(G934&gt;K934, (G934-K934) *
INDEX('2018_commission_structure'!$A$1:$I$4,
MATCH($D934, '2018_commission_structure'!$A$1:$A$4,0),
MATCH(R$1, '2018_commission_structure'!$A$1:$I$1,0)), 0)</f>
        <v>0</v>
      </c>
      <c r="S934" s="11">
        <f t="shared" si="89"/>
        <v>0</v>
      </c>
      <c r="T934" s="11" cm="1">
        <f t="array" ref="T934">SUM(E934+O934:Q934)</f>
        <v>277425</v>
      </c>
    </row>
    <row r="935" spans="1:20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 xml:space="preserve"> COUNTIF(deals_closed!D:D,A935)</f>
        <v>20</v>
      </c>
      <c r="G935" s="5">
        <f>SUMIF(deals_closed!D:D, calculations!A935, deals_closed!C:C)</f>
        <v>674452</v>
      </c>
      <c r="H935" s="5">
        <f>VLOOKUP(D935,'2018_commission_structure'!$A$2:$I$4,9,FALSE)</f>
        <v>500000</v>
      </c>
      <c r="I935" s="9">
        <f t="shared" si="84"/>
        <v>625000</v>
      </c>
      <c r="J935" s="8">
        <f t="shared" si="85"/>
        <v>750000</v>
      </c>
      <c r="K935" s="9">
        <f t="shared" si="86"/>
        <v>1000000</v>
      </c>
      <c r="L935" s="10">
        <f t="shared" si="87"/>
        <v>1.3489040000000001</v>
      </c>
      <c r="M935" t="str">
        <f t="shared" si="88"/>
        <v>125-150%</v>
      </c>
      <c r="N935" s="9">
        <f>MIN(H935, G935)*INDEX('2018_commission_structure'!$A$1:$I$4,
MATCH($D935, '2018_commission_structure'!$A$1:$A$4,0),
MATCH(N$1, '2018_commission_structure'!$A$1:$I$1,0))</f>
        <v>50000</v>
      </c>
      <c r="O935" s="11">
        <f>IF(G935&gt;H935, MIN(G935-H935, I935-H935)*
INDEX('2018_commission_structure'!$A$1:$I$4,
MATCH($D935, '2018_commission_structure'!$A$1:$A$4, 0),
MATCH(O$1, '2018_commission_structure'!$A$1:$I$1, 0)), 0)</f>
        <v>18750</v>
      </c>
      <c r="P935" s="11">
        <f>IF(G935&gt;H935, MIN(G935-H935, J935-H935)*
INDEX('2018_commission_structure'!$A$1:$I$4,
MATCH($D935, '2018_commission_structure'!$A$1:$A$4, 0),
MATCH(O$1, '2018_commission_structure'!$A$1:$I$1, 0)), 0)</f>
        <v>26167.8</v>
      </c>
      <c r="Q935" s="11">
        <f>IF(G935&gt;H935, MIN(G935-H935, I935-H935)*
INDEX('2018_commission_structure'!$A$1:$I$4,
MATCH($D935, '2018_commission_structure'!$A$1:$A$4, 0),
MATCH(P$1, '2018_commission_structure'!$A$1:$I$1, 0)), 0)</f>
        <v>22500</v>
      </c>
      <c r="R935" s="11">
        <f>IF(G935&gt;K935, (G935-K935) *
INDEX('2018_commission_structure'!$A$1:$I$4,
MATCH($D935, '2018_commission_structure'!$A$1:$A$4,0),
MATCH(R$1, '2018_commission_structure'!$A$1:$I$1,0)), 0)</f>
        <v>0</v>
      </c>
      <c r="S935" s="11">
        <f t="shared" si="89"/>
        <v>67417.8</v>
      </c>
      <c r="T935" s="11" cm="1">
        <f t="array" ref="T935">SUM(E935+O935:Q935)</f>
        <v>206293.8</v>
      </c>
    </row>
    <row r="936" spans="1:20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 xml:space="preserve"> COUNTIF(deals_closed!D:D,A936)</f>
        <v>23</v>
      </c>
      <c r="G936" s="5">
        <f>SUMIF(deals_closed!D:D, calculations!A936, deals_closed!C:C)</f>
        <v>896729</v>
      </c>
      <c r="H936" s="5">
        <f>VLOOKUP(D936,'2018_commission_structure'!$A$2:$I$4,9,FALSE)</f>
        <v>750000</v>
      </c>
      <c r="I936" s="9">
        <f t="shared" si="84"/>
        <v>937500</v>
      </c>
      <c r="J936" s="8">
        <f t="shared" si="85"/>
        <v>1125000</v>
      </c>
      <c r="K936" s="9">
        <f t="shared" si="86"/>
        <v>1500000</v>
      </c>
      <c r="L936" s="10">
        <f t="shared" si="87"/>
        <v>1.1956386666666667</v>
      </c>
      <c r="M936" t="str">
        <f t="shared" si="88"/>
        <v>100-125%</v>
      </c>
      <c r="N936" s="9">
        <f>MIN(H936, G936)*INDEX('2018_commission_structure'!$A$1:$I$4,
MATCH($D936, '2018_commission_structure'!$A$1:$A$4,0),
MATCH(N$1, '2018_commission_structure'!$A$1:$I$1,0))</f>
        <v>112500</v>
      </c>
      <c r="O936" s="11">
        <f>IF(G936&gt;H936, MIN(G936-H936, I936-H936)*
INDEX('2018_commission_structure'!$A$1:$I$4,
MATCH($D936, '2018_commission_structure'!$A$1:$A$4, 0),
MATCH(O$1, '2018_commission_structure'!$A$1:$I$1, 0)), 0)</f>
        <v>27878.510000000002</v>
      </c>
      <c r="P936" s="11">
        <f>IF(G936&gt;H936, MIN(G936-H936, J936-H936)*
INDEX('2018_commission_structure'!$A$1:$I$4,
MATCH($D936, '2018_commission_structure'!$A$1:$A$4, 0),
MATCH(O$1, '2018_commission_structure'!$A$1:$I$1, 0)), 0)</f>
        <v>27878.510000000002</v>
      </c>
      <c r="Q936" s="11">
        <f>IF(G936&gt;H936, MIN(G936-H936, I936-H936)*
INDEX('2018_commission_structure'!$A$1:$I$4,
MATCH($D936, '2018_commission_structure'!$A$1:$A$4, 0),
MATCH(P$1, '2018_commission_structure'!$A$1:$I$1, 0)), 0)</f>
        <v>33747.67</v>
      </c>
      <c r="R936" s="11">
        <f>IF(G936&gt;K936, (G936-K936) *
INDEX('2018_commission_structure'!$A$1:$I$4,
MATCH($D936, '2018_commission_structure'!$A$1:$A$4,0),
MATCH(R$1, '2018_commission_structure'!$A$1:$I$1,0)), 0)</f>
        <v>0</v>
      </c>
      <c r="S936" s="11">
        <f t="shared" si="89"/>
        <v>89504.69</v>
      </c>
      <c r="T936" s="11" cm="1">
        <f t="array" ref="T936">SUM(E936+O936:Q936)</f>
        <v>387671.69</v>
      </c>
    </row>
    <row r="937" spans="1:20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 xml:space="preserve"> COUNTIF(deals_closed!D:D,A937)</f>
        <v>32</v>
      </c>
      <c r="G937" s="5">
        <f>SUMIF(deals_closed!D:D, calculations!A937, deals_closed!C:C)</f>
        <v>1214099</v>
      </c>
      <c r="H937" s="5">
        <f>VLOOKUP(D937,'2018_commission_structure'!$A$2:$I$4,9,FALSE)</f>
        <v>600000</v>
      </c>
      <c r="I937" s="9">
        <f t="shared" si="84"/>
        <v>750000</v>
      </c>
      <c r="J937" s="8">
        <f t="shared" si="85"/>
        <v>900000</v>
      </c>
      <c r="K937" s="9">
        <f t="shared" si="86"/>
        <v>1200000</v>
      </c>
      <c r="L937" s="10">
        <f t="shared" si="87"/>
        <v>2.0234983333333334</v>
      </c>
      <c r="M937" t="str">
        <f t="shared" si="88"/>
        <v>&gt;200%</v>
      </c>
      <c r="N937" s="9">
        <f>MIN(H937, G937)*INDEX('2018_commission_structure'!$A$1:$I$4,
MATCH($D937, '2018_commission_structure'!$A$1:$A$4,0),
MATCH(N$1, '2018_commission_structure'!$A$1:$I$1,0))</f>
        <v>78000</v>
      </c>
      <c r="O937" s="11">
        <f>IF(G937&gt;H937, MIN(G937-H937, I937-H937)*
INDEX('2018_commission_structure'!$A$1:$I$4,
MATCH($D937, '2018_commission_structure'!$A$1:$A$4, 0),
MATCH(O$1, '2018_commission_structure'!$A$1:$I$1, 0)), 0)</f>
        <v>25500.000000000004</v>
      </c>
      <c r="P937" s="11">
        <f>IF(G937&gt;H937, MIN(G937-H937, J937-H937)*
INDEX('2018_commission_structure'!$A$1:$I$4,
MATCH($D937, '2018_commission_structure'!$A$1:$A$4, 0),
MATCH(O$1, '2018_commission_structure'!$A$1:$I$1, 0)), 0)</f>
        <v>51000.000000000007</v>
      </c>
      <c r="Q937" s="11">
        <f>IF(G937&gt;H937, MIN(G937-H937, I937-H937)*
INDEX('2018_commission_structure'!$A$1:$I$4,
MATCH($D937, '2018_commission_structure'!$A$1:$A$4, 0),
MATCH(P$1, '2018_commission_structure'!$A$1:$I$1, 0)), 0)</f>
        <v>31500</v>
      </c>
      <c r="R937" s="11">
        <f>IF(G937&gt;K937, (G937-K937) *
INDEX('2018_commission_structure'!$A$1:$I$4,
MATCH($D937, '2018_commission_structure'!$A$1:$A$4,0),
MATCH(R$1, '2018_commission_structure'!$A$1:$I$1,0)), 0)</f>
        <v>1832.8700000000001</v>
      </c>
      <c r="S937" s="11">
        <f t="shared" si="89"/>
        <v>108000.00000000001</v>
      </c>
      <c r="T937" s="11" cm="1">
        <f t="array" ref="T937">SUM(E937+O937:Q937)</f>
        <v>265443</v>
      </c>
    </row>
    <row r="938" spans="1:20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 xml:space="preserve"> COUNTIF(deals_closed!D:D,A938)</f>
        <v>23</v>
      </c>
      <c r="G938" s="5">
        <f>SUMIF(deals_closed!D:D, calculations!A938, deals_closed!C:C)</f>
        <v>807853</v>
      </c>
      <c r="H938" s="5">
        <f>VLOOKUP(D938,'2018_commission_structure'!$A$2:$I$4,9,FALSE)</f>
        <v>500000</v>
      </c>
      <c r="I938" s="9">
        <f t="shared" si="84"/>
        <v>625000</v>
      </c>
      <c r="J938" s="8">
        <f t="shared" si="85"/>
        <v>750000</v>
      </c>
      <c r="K938" s="9">
        <f t="shared" si="86"/>
        <v>1000000</v>
      </c>
      <c r="L938" s="10">
        <f t="shared" si="87"/>
        <v>1.6157060000000001</v>
      </c>
      <c r="M938" t="str">
        <f t="shared" si="88"/>
        <v>150-200%</v>
      </c>
      <c r="N938" s="9">
        <f>MIN(H938, G938)*INDEX('2018_commission_structure'!$A$1:$I$4,
MATCH($D938, '2018_commission_structure'!$A$1:$A$4,0),
MATCH(N$1, '2018_commission_structure'!$A$1:$I$1,0))</f>
        <v>50000</v>
      </c>
      <c r="O938" s="11">
        <f>IF(G938&gt;H938, MIN(G938-H938, I938-H938)*
INDEX('2018_commission_structure'!$A$1:$I$4,
MATCH($D938, '2018_commission_structure'!$A$1:$A$4, 0),
MATCH(O$1, '2018_commission_structure'!$A$1:$I$1, 0)), 0)</f>
        <v>18750</v>
      </c>
      <c r="P938" s="11">
        <f>IF(G938&gt;H938, MIN(G938-H938, J938-H938)*
INDEX('2018_commission_structure'!$A$1:$I$4,
MATCH($D938, '2018_commission_structure'!$A$1:$A$4, 0),
MATCH(O$1, '2018_commission_structure'!$A$1:$I$1, 0)), 0)</f>
        <v>37500</v>
      </c>
      <c r="Q938" s="11">
        <f>IF(G938&gt;H938, MIN(G938-H938, I938-H938)*
INDEX('2018_commission_structure'!$A$1:$I$4,
MATCH($D938, '2018_commission_structure'!$A$1:$A$4, 0),
MATCH(P$1, '2018_commission_structure'!$A$1:$I$1, 0)), 0)</f>
        <v>22500</v>
      </c>
      <c r="R938" s="11">
        <f>IF(G938&gt;K938, (G938-K938) *
INDEX('2018_commission_structure'!$A$1:$I$4,
MATCH($D938, '2018_commission_structure'!$A$1:$A$4,0),
MATCH(R$1, '2018_commission_structure'!$A$1:$I$1,0)), 0)</f>
        <v>0</v>
      </c>
      <c r="S938" s="11">
        <f t="shared" si="89"/>
        <v>78750</v>
      </c>
      <c r="T938" s="11" cm="1">
        <f t="array" ref="T938">SUM(E938+O938:Q938)</f>
        <v>235098</v>
      </c>
    </row>
    <row r="939" spans="1:20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 xml:space="preserve"> COUNTIF(deals_closed!D:D,A939)</f>
        <v>18</v>
      </c>
      <c r="G939" s="5">
        <f>SUMIF(deals_closed!D:D, calculations!A939, deals_closed!C:C)</f>
        <v>660133</v>
      </c>
      <c r="H939" s="5">
        <f>VLOOKUP(D939,'2018_commission_structure'!$A$2:$I$4,9,FALSE)</f>
        <v>600000</v>
      </c>
      <c r="I939" s="9">
        <f t="shared" si="84"/>
        <v>750000</v>
      </c>
      <c r="J939" s="8">
        <f t="shared" si="85"/>
        <v>900000</v>
      </c>
      <c r="K939" s="9">
        <f t="shared" si="86"/>
        <v>1200000</v>
      </c>
      <c r="L939" s="10">
        <f t="shared" si="87"/>
        <v>1.1002216666666667</v>
      </c>
      <c r="M939" t="str">
        <f t="shared" si="88"/>
        <v>100-125%</v>
      </c>
      <c r="N939" s="9">
        <f>MIN(H939, G939)*INDEX('2018_commission_structure'!$A$1:$I$4,
MATCH($D939, '2018_commission_structure'!$A$1:$A$4,0),
MATCH(N$1, '2018_commission_structure'!$A$1:$I$1,0))</f>
        <v>78000</v>
      </c>
      <c r="O939" s="11">
        <f>IF(G939&gt;H939, MIN(G939-H939, I939-H939)*
INDEX('2018_commission_structure'!$A$1:$I$4,
MATCH($D939, '2018_commission_structure'!$A$1:$A$4, 0),
MATCH(O$1, '2018_commission_structure'!$A$1:$I$1, 0)), 0)</f>
        <v>10222.61</v>
      </c>
      <c r="P939" s="11">
        <f>IF(G939&gt;H939, MIN(G939-H939, J939-H939)*
INDEX('2018_commission_structure'!$A$1:$I$4,
MATCH($D939, '2018_commission_structure'!$A$1:$A$4, 0),
MATCH(O$1, '2018_commission_structure'!$A$1:$I$1, 0)), 0)</f>
        <v>10222.61</v>
      </c>
      <c r="Q939" s="11">
        <f>IF(G939&gt;H939, MIN(G939-H939, I939-H939)*
INDEX('2018_commission_structure'!$A$1:$I$4,
MATCH($D939, '2018_commission_structure'!$A$1:$A$4, 0),
MATCH(P$1, '2018_commission_structure'!$A$1:$I$1, 0)), 0)</f>
        <v>12627.93</v>
      </c>
      <c r="R939" s="11">
        <f>IF(G939&gt;K939, (G939-K939) *
INDEX('2018_commission_structure'!$A$1:$I$4,
MATCH($D939, '2018_commission_structure'!$A$1:$A$4,0),
MATCH(R$1, '2018_commission_structure'!$A$1:$I$1,0)), 0)</f>
        <v>0</v>
      </c>
      <c r="S939" s="11">
        <f t="shared" si="89"/>
        <v>33073.15</v>
      </c>
      <c r="T939" s="11" cm="1">
        <f t="array" ref="T939">SUM(E939+O939:Q939)</f>
        <v>228733.15</v>
      </c>
    </row>
    <row r="940" spans="1:20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 xml:space="preserve"> COUNTIF(deals_closed!D:D,A940)</f>
        <v>24</v>
      </c>
      <c r="G940" s="5">
        <f>SUMIF(deals_closed!D:D, calculations!A940, deals_closed!C:C)</f>
        <v>894395</v>
      </c>
      <c r="H940" s="5">
        <f>VLOOKUP(D940,'2018_commission_structure'!$A$2:$I$4,9,FALSE)</f>
        <v>500000</v>
      </c>
      <c r="I940" s="9">
        <f t="shared" si="84"/>
        <v>625000</v>
      </c>
      <c r="J940" s="8">
        <f t="shared" si="85"/>
        <v>750000</v>
      </c>
      <c r="K940" s="9">
        <f t="shared" si="86"/>
        <v>1000000</v>
      </c>
      <c r="L940" s="10">
        <f t="shared" si="87"/>
        <v>1.7887900000000001</v>
      </c>
      <c r="M940" t="str">
        <f t="shared" si="88"/>
        <v>150-200%</v>
      </c>
      <c r="N940" s="9">
        <f>MIN(H940, G940)*INDEX('2018_commission_structure'!$A$1:$I$4,
MATCH($D940, '2018_commission_structure'!$A$1:$A$4,0),
MATCH(N$1, '2018_commission_structure'!$A$1:$I$1,0))</f>
        <v>50000</v>
      </c>
      <c r="O940" s="11">
        <f>IF(G940&gt;H940, MIN(G940-H940, I940-H940)*
INDEX('2018_commission_structure'!$A$1:$I$4,
MATCH($D940, '2018_commission_structure'!$A$1:$A$4, 0),
MATCH(O$1, '2018_commission_structure'!$A$1:$I$1, 0)), 0)</f>
        <v>18750</v>
      </c>
      <c r="P940" s="11">
        <f>IF(G940&gt;H940, MIN(G940-H940, J940-H940)*
INDEX('2018_commission_structure'!$A$1:$I$4,
MATCH($D940, '2018_commission_structure'!$A$1:$A$4, 0),
MATCH(O$1, '2018_commission_structure'!$A$1:$I$1, 0)), 0)</f>
        <v>37500</v>
      </c>
      <c r="Q940" s="11">
        <f>IF(G940&gt;H940, MIN(G940-H940, I940-H940)*
INDEX('2018_commission_structure'!$A$1:$I$4,
MATCH($D940, '2018_commission_structure'!$A$1:$A$4, 0),
MATCH(P$1, '2018_commission_structure'!$A$1:$I$1, 0)), 0)</f>
        <v>22500</v>
      </c>
      <c r="R940" s="11">
        <f>IF(G940&gt;K940, (G940-K940) *
INDEX('2018_commission_structure'!$A$1:$I$4,
MATCH($D940, '2018_commission_structure'!$A$1:$A$4,0),
MATCH(R$1, '2018_commission_structure'!$A$1:$I$1,0)), 0)</f>
        <v>0</v>
      </c>
      <c r="S940" s="11">
        <f t="shared" si="89"/>
        <v>78750</v>
      </c>
      <c r="T940" s="11" cm="1">
        <f t="array" ref="T940">SUM(E940+O940:Q940)</f>
        <v>257514</v>
      </c>
    </row>
    <row r="941" spans="1:20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 xml:space="preserve"> COUNTIF(deals_closed!D:D,A941)</f>
        <v>19</v>
      </c>
      <c r="G941" s="5">
        <f>SUMIF(deals_closed!D:D, calculations!A941, deals_closed!C:C)</f>
        <v>624725</v>
      </c>
      <c r="H941" s="5">
        <f>VLOOKUP(D941,'2018_commission_structure'!$A$2:$I$4,9,FALSE)</f>
        <v>600000</v>
      </c>
      <c r="I941" s="9">
        <f t="shared" si="84"/>
        <v>750000</v>
      </c>
      <c r="J941" s="8">
        <f t="shared" si="85"/>
        <v>900000</v>
      </c>
      <c r="K941" s="9">
        <f t="shared" si="86"/>
        <v>1200000</v>
      </c>
      <c r="L941" s="10">
        <f t="shared" si="87"/>
        <v>1.0412083333333333</v>
      </c>
      <c r="M941" t="str">
        <f t="shared" si="88"/>
        <v>100-125%</v>
      </c>
      <c r="N941" s="9">
        <f>MIN(H941, G941)*INDEX('2018_commission_structure'!$A$1:$I$4,
MATCH($D941, '2018_commission_structure'!$A$1:$A$4,0),
MATCH(N$1, '2018_commission_structure'!$A$1:$I$1,0))</f>
        <v>78000</v>
      </c>
      <c r="O941" s="11">
        <f>IF(G941&gt;H941, MIN(G941-H941, I941-H941)*
INDEX('2018_commission_structure'!$A$1:$I$4,
MATCH($D941, '2018_commission_structure'!$A$1:$A$4, 0),
MATCH(O$1, '2018_commission_structure'!$A$1:$I$1, 0)), 0)</f>
        <v>4203.25</v>
      </c>
      <c r="P941" s="11">
        <f>IF(G941&gt;H941, MIN(G941-H941, J941-H941)*
INDEX('2018_commission_structure'!$A$1:$I$4,
MATCH($D941, '2018_commission_structure'!$A$1:$A$4, 0),
MATCH(O$1, '2018_commission_structure'!$A$1:$I$1, 0)), 0)</f>
        <v>4203.25</v>
      </c>
      <c r="Q941" s="11">
        <f>IF(G941&gt;H941, MIN(G941-H941, I941-H941)*
INDEX('2018_commission_structure'!$A$1:$I$4,
MATCH($D941, '2018_commission_structure'!$A$1:$A$4, 0),
MATCH(P$1, '2018_commission_structure'!$A$1:$I$1, 0)), 0)</f>
        <v>5192.25</v>
      </c>
      <c r="R941" s="11">
        <f>IF(G941&gt;K941, (G941-K941) *
INDEX('2018_commission_structure'!$A$1:$I$4,
MATCH($D941, '2018_commission_structure'!$A$1:$A$4,0),
MATCH(R$1, '2018_commission_structure'!$A$1:$I$1,0)), 0)</f>
        <v>0</v>
      </c>
      <c r="S941" s="11">
        <f t="shared" si="89"/>
        <v>13598.75</v>
      </c>
      <c r="T941" s="11" cm="1">
        <f t="array" ref="T941">SUM(E941+O941:Q941)</f>
        <v>229682.75</v>
      </c>
    </row>
    <row r="942" spans="1:20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 xml:space="preserve"> COUNTIF(deals_closed!D:D,A942)</f>
        <v>16</v>
      </c>
      <c r="G942" s="5">
        <f>SUMIF(deals_closed!D:D, calculations!A942, deals_closed!C:C)</f>
        <v>538916</v>
      </c>
      <c r="H942" s="5">
        <f>VLOOKUP(D942,'2018_commission_structure'!$A$2:$I$4,9,FALSE)</f>
        <v>750000</v>
      </c>
      <c r="I942" s="9">
        <f t="shared" si="84"/>
        <v>937500</v>
      </c>
      <c r="J942" s="8">
        <f t="shared" si="85"/>
        <v>1125000</v>
      </c>
      <c r="K942" s="9">
        <f t="shared" si="86"/>
        <v>1500000</v>
      </c>
      <c r="L942" s="10">
        <f t="shared" si="87"/>
        <v>0.71855466666666667</v>
      </c>
      <c r="M942" t="str">
        <f t="shared" si="88"/>
        <v>0-100%</v>
      </c>
      <c r="N942" s="9">
        <f>MIN(H942, G942)*INDEX('2018_commission_structure'!$A$1:$I$4,
MATCH($D942, '2018_commission_structure'!$A$1:$A$4,0),
MATCH(N$1, '2018_commission_structure'!$A$1:$I$1,0))</f>
        <v>80837.399999999994</v>
      </c>
      <c r="O942" s="11">
        <f>IF(G942&gt;H942, MIN(G942-H942, I942-H942)*
INDEX('2018_commission_structure'!$A$1:$I$4,
MATCH($D942, '2018_commission_structure'!$A$1:$A$4, 0),
MATCH(O$1, '2018_commission_structure'!$A$1:$I$1, 0)), 0)</f>
        <v>0</v>
      </c>
      <c r="P942" s="11">
        <f>IF(G942&gt;H942, MIN(G942-H942, J942-H942)*
INDEX('2018_commission_structure'!$A$1:$I$4,
MATCH($D942, '2018_commission_structure'!$A$1:$A$4, 0),
MATCH(O$1, '2018_commission_structure'!$A$1:$I$1, 0)), 0)</f>
        <v>0</v>
      </c>
      <c r="Q942" s="11">
        <f>IF(G942&gt;H942, MIN(G942-H942, I942-H942)*
INDEX('2018_commission_structure'!$A$1:$I$4,
MATCH($D942, '2018_commission_structure'!$A$1:$A$4, 0),
MATCH(P$1, '2018_commission_structure'!$A$1:$I$1, 0)), 0)</f>
        <v>0</v>
      </c>
      <c r="R942" s="11">
        <f>IF(G942&gt;K942, (G942-K942) *
INDEX('2018_commission_structure'!$A$1:$I$4,
MATCH($D942, '2018_commission_structure'!$A$1:$A$4,0),
MATCH(R$1, '2018_commission_structure'!$A$1:$I$1,0)), 0)</f>
        <v>0</v>
      </c>
      <c r="S942" s="11">
        <f t="shared" si="89"/>
        <v>0</v>
      </c>
      <c r="T942" s="11" cm="1">
        <f t="array" ref="T942">SUM(E942+O942:Q942)</f>
        <v>262473</v>
      </c>
    </row>
    <row r="943" spans="1:20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 xml:space="preserve"> COUNTIF(deals_closed!D:D,A943)</f>
        <v>25</v>
      </c>
      <c r="G943" s="5">
        <f>SUMIF(deals_closed!D:D, calculations!A943, deals_closed!C:C)</f>
        <v>890240</v>
      </c>
      <c r="H943" s="5">
        <f>VLOOKUP(D943,'2018_commission_structure'!$A$2:$I$4,9,FALSE)</f>
        <v>750000</v>
      </c>
      <c r="I943" s="9">
        <f t="shared" si="84"/>
        <v>937500</v>
      </c>
      <c r="J943" s="8">
        <f t="shared" si="85"/>
        <v>1125000</v>
      </c>
      <c r="K943" s="9">
        <f t="shared" si="86"/>
        <v>1500000</v>
      </c>
      <c r="L943" s="10">
        <f t="shared" si="87"/>
        <v>1.1869866666666666</v>
      </c>
      <c r="M943" t="str">
        <f t="shared" si="88"/>
        <v>100-125%</v>
      </c>
      <c r="N943" s="9">
        <f>MIN(H943, G943)*INDEX('2018_commission_structure'!$A$1:$I$4,
MATCH($D943, '2018_commission_structure'!$A$1:$A$4,0),
MATCH(N$1, '2018_commission_structure'!$A$1:$I$1,0))</f>
        <v>112500</v>
      </c>
      <c r="O943" s="11">
        <f>IF(G943&gt;H943, MIN(G943-H943, I943-H943)*
INDEX('2018_commission_structure'!$A$1:$I$4,
MATCH($D943, '2018_commission_structure'!$A$1:$A$4, 0),
MATCH(O$1, '2018_commission_structure'!$A$1:$I$1, 0)), 0)</f>
        <v>26645.599999999999</v>
      </c>
      <c r="P943" s="11">
        <f>IF(G943&gt;H943, MIN(G943-H943, J943-H943)*
INDEX('2018_commission_structure'!$A$1:$I$4,
MATCH($D943, '2018_commission_structure'!$A$1:$A$4, 0),
MATCH(O$1, '2018_commission_structure'!$A$1:$I$1, 0)), 0)</f>
        <v>26645.599999999999</v>
      </c>
      <c r="Q943" s="11">
        <f>IF(G943&gt;H943, MIN(G943-H943, I943-H943)*
INDEX('2018_commission_structure'!$A$1:$I$4,
MATCH($D943, '2018_commission_structure'!$A$1:$A$4, 0),
MATCH(P$1, '2018_commission_structure'!$A$1:$I$1, 0)), 0)</f>
        <v>32255.200000000001</v>
      </c>
      <c r="R943" s="11">
        <f>IF(G943&gt;K943, (G943-K943) *
INDEX('2018_commission_structure'!$A$1:$I$4,
MATCH($D943, '2018_commission_structure'!$A$1:$A$4,0),
MATCH(R$1, '2018_commission_structure'!$A$1:$I$1,0)), 0)</f>
        <v>0</v>
      </c>
      <c r="S943" s="11">
        <f t="shared" si="89"/>
        <v>85546.4</v>
      </c>
      <c r="T943" s="11" cm="1">
        <f t="array" ref="T943">SUM(E943+O943:Q943)</f>
        <v>382798.4</v>
      </c>
    </row>
    <row r="944" spans="1:20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 xml:space="preserve"> COUNTIF(deals_closed!D:D,A944)</f>
        <v>20</v>
      </c>
      <c r="G944" s="5">
        <f>SUMIF(deals_closed!D:D, calculations!A944, deals_closed!C:C)</f>
        <v>618954</v>
      </c>
      <c r="H944" s="5">
        <f>VLOOKUP(D944,'2018_commission_structure'!$A$2:$I$4,9,FALSE)</f>
        <v>750000</v>
      </c>
      <c r="I944" s="9">
        <f t="shared" si="84"/>
        <v>937500</v>
      </c>
      <c r="J944" s="8">
        <f t="shared" si="85"/>
        <v>1125000</v>
      </c>
      <c r="K944" s="9">
        <f t="shared" si="86"/>
        <v>1500000</v>
      </c>
      <c r="L944" s="10">
        <f t="shared" si="87"/>
        <v>0.82527200000000001</v>
      </c>
      <c r="M944" t="str">
        <f t="shared" si="88"/>
        <v>0-100%</v>
      </c>
      <c r="N944" s="9">
        <f>MIN(H944, G944)*INDEX('2018_commission_structure'!$A$1:$I$4,
MATCH($D944, '2018_commission_structure'!$A$1:$A$4,0),
MATCH(N$1, '2018_commission_structure'!$A$1:$I$1,0))</f>
        <v>92843.099999999991</v>
      </c>
      <c r="O944" s="11">
        <f>IF(G944&gt;H944, MIN(G944-H944, I944-H944)*
INDEX('2018_commission_structure'!$A$1:$I$4,
MATCH($D944, '2018_commission_structure'!$A$1:$A$4, 0),
MATCH(O$1, '2018_commission_structure'!$A$1:$I$1, 0)), 0)</f>
        <v>0</v>
      </c>
      <c r="P944" s="11">
        <f>IF(G944&gt;H944, MIN(G944-H944, J944-H944)*
INDEX('2018_commission_structure'!$A$1:$I$4,
MATCH($D944, '2018_commission_structure'!$A$1:$A$4, 0),
MATCH(O$1, '2018_commission_structure'!$A$1:$I$1, 0)), 0)</f>
        <v>0</v>
      </c>
      <c r="Q944" s="11">
        <f>IF(G944&gt;H944, MIN(G944-H944, I944-H944)*
INDEX('2018_commission_structure'!$A$1:$I$4,
MATCH($D944, '2018_commission_structure'!$A$1:$A$4, 0),
MATCH(P$1, '2018_commission_structure'!$A$1:$I$1, 0)), 0)</f>
        <v>0</v>
      </c>
      <c r="R944" s="11">
        <f>IF(G944&gt;K944, (G944-K944) *
INDEX('2018_commission_structure'!$A$1:$I$4,
MATCH($D944, '2018_commission_structure'!$A$1:$A$4,0),
MATCH(R$1, '2018_commission_structure'!$A$1:$I$1,0)), 0)</f>
        <v>0</v>
      </c>
      <c r="S944" s="11">
        <f t="shared" si="89"/>
        <v>0</v>
      </c>
      <c r="T944" s="11" cm="1">
        <f t="array" ref="T944">SUM(E944+O944:Q944)</f>
        <v>285630</v>
      </c>
    </row>
    <row r="945" spans="1:20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 xml:space="preserve"> COUNTIF(deals_closed!D:D,A945)</f>
        <v>19</v>
      </c>
      <c r="G945" s="5">
        <f>SUMIF(deals_closed!D:D, calculations!A945, deals_closed!C:C)</f>
        <v>788591</v>
      </c>
      <c r="H945" s="5">
        <f>VLOOKUP(D945,'2018_commission_structure'!$A$2:$I$4,9,FALSE)</f>
        <v>500000</v>
      </c>
      <c r="I945" s="9">
        <f t="shared" si="84"/>
        <v>625000</v>
      </c>
      <c r="J945" s="8">
        <f t="shared" si="85"/>
        <v>750000</v>
      </c>
      <c r="K945" s="9">
        <f t="shared" si="86"/>
        <v>1000000</v>
      </c>
      <c r="L945" s="10">
        <f t="shared" si="87"/>
        <v>1.5771820000000001</v>
      </c>
      <c r="M945" t="str">
        <f t="shared" si="88"/>
        <v>150-200%</v>
      </c>
      <c r="N945" s="9">
        <f>MIN(H945, G945)*INDEX('2018_commission_structure'!$A$1:$I$4,
MATCH($D945, '2018_commission_structure'!$A$1:$A$4,0),
MATCH(N$1, '2018_commission_structure'!$A$1:$I$1,0))</f>
        <v>50000</v>
      </c>
      <c r="O945" s="11">
        <f>IF(G945&gt;H945, MIN(G945-H945, I945-H945)*
INDEX('2018_commission_structure'!$A$1:$I$4,
MATCH($D945, '2018_commission_structure'!$A$1:$A$4, 0),
MATCH(O$1, '2018_commission_structure'!$A$1:$I$1, 0)), 0)</f>
        <v>18750</v>
      </c>
      <c r="P945" s="11">
        <f>IF(G945&gt;H945, MIN(G945-H945, J945-H945)*
INDEX('2018_commission_structure'!$A$1:$I$4,
MATCH($D945, '2018_commission_structure'!$A$1:$A$4, 0),
MATCH(O$1, '2018_commission_structure'!$A$1:$I$1, 0)), 0)</f>
        <v>37500</v>
      </c>
      <c r="Q945" s="11">
        <f>IF(G945&gt;H945, MIN(G945-H945, I945-H945)*
INDEX('2018_commission_structure'!$A$1:$I$4,
MATCH($D945, '2018_commission_structure'!$A$1:$A$4, 0),
MATCH(P$1, '2018_commission_structure'!$A$1:$I$1, 0)), 0)</f>
        <v>22500</v>
      </c>
      <c r="R945" s="11">
        <f>IF(G945&gt;K945, (G945-K945) *
INDEX('2018_commission_structure'!$A$1:$I$4,
MATCH($D945, '2018_commission_structure'!$A$1:$A$4,0),
MATCH(R$1, '2018_commission_structure'!$A$1:$I$1,0)), 0)</f>
        <v>0</v>
      </c>
      <c r="S945" s="11">
        <f t="shared" si="89"/>
        <v>78750</v>
      </c>
      <c r="T945" s="11" cm="1">
        <f t="array" ref="T945">SUM(E945+O945:Q945)</f>
        <v>210795</v>
      </c>
    </row>
    <row r="946" spans="1:20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 xml:space="preserve"> COUNTIF(deals_closed!D:D,A946)</f>
        <v>25</v>
      </c>
      <c r="G946" s="5">
        <f>SUMIF(deals_closed!D:D, calculations!A946, deals_closed!C:C)</f>
        <v>847244</v>
      </c>
      <c r="H946" s="5">
        <f>VLOOKUP(D946,'2018_commission_structure'!$A$2:$I$4,9,FALSE)</f>
        <v>600000</v>
      </c>
      <c r="I946" s="9">
        <f t="shared" si="84"/>
        <v>750000</v>
      </c>
      <c r="J946" s="8">
        <f t="shared" si="85"/>
        <v>900000</v>
      </c>
      <c r="K946" s="9">
        <f t="shared" si="86"/>
        <v>1200000</v>
      </c>
      <c r="L946" s="10">
        <f t="shared" si="87"/>
        <v>1.4120733333333333</v>
      </c>
      <c r="M946" t="str">
        <f t="shared" si="88"/>
        <v>125-150%</v>
      </c>
      <c r="N946" s="9">
        <f>MIN(H946, G946)*INDEX('2018_commission_structure'!$A$1:$I$4,
MATCH($D946, '2018_commission_structure'!$A$1:$A$4,0),
MATCH(N$1, '2018_commission_structure'!$A$1:$I$1,0))</f>
        <v>78000</v>
      </c>
      <c r="O946" s="11">
        <f>IF(G946&gt;H946, MIN(G946-H946, I946-H946)*
INDEX('2018_commission_structure'!$A$1:$I$4,
MATCH($D946, '2018_commission_structure'!$A$1:$A$4, 0),
MATCH(O$1, '2018_commission_structure'!$A$1:$I$1, 0)), 0)</f>
        <v>25500.000000000004</v>
      </c>
      <c r="P946" s="11">
        <f>IF(G946&gt;H946, MIN(G946-H946, J946-H946)*
INDEX('2018_commission_structure'!$A$1:$I$4,
MATCH($D946, '2018_commission_structure'!$A$1:$A$4, 0),
MATCH(O$1, '2018_commission_structure'!$A$1:$I$1, 0)), 0)</f>
        <v>42031.48</v>
      </c>
      <c r="Q946" s="11">
        <f>IF(G946&gt;H946, MIN(G946-H946, I946-H946)*
INDEX('2018_commission_structure'!$A$1:$I$4,
MATCH($D946, '2018_commission_structure'!$A$1:$A$4, 0),
MATCH(P$1, '2018_commission_structure'!$A$1:$I$1, 0)), 0)</f>
        <v>31500</v>
      </c>
      <c r="R946" s="11">
        <f>IF(G946&gt;K946, (G946-K946) *
INDEX('2018_commission_structure'!$A$1:$I$4,
MATCH($D946, '2018_commission_structure'!$A$1:$A$4,0),
MATCH(R$1, '2018_commission_structure'!$A$1:$I$1,0)), 0)</f>
        <v>0</v>
      </c>
      <c r="S946" s="11">
        <f t="shared" si="89"/>
        <v>99031.48000000001</v>
      </c>
      <c r="T946" s="11" cm="1">
        <f t="array" ref="T946">SUM(E946+O946:Q946)</f>
        <v>252118.48</v>
      </c>
    </row>
    <row r="947" spans="1:20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 xml:space="preserve"> COUNTIF(deals_closed!D:D,A947)</f>
        <v>24</v>
      </c>
      <c r="G947" s="5">
        <f>SUMIF(deals_closed!D:D, calculations!A947, deals_closed!C:C)</f>
        <v>780877</v>
      </c>
      <c r="H947" s="5">
        <f>VLOOKUP(D947,'2018_commission_structure'!$A$2:$I$4,9,FALSE)</f>
        <v>600000</v>
      </c>
      <c r="I947" s="9">
        <f t="shared" si="84"/>
        <v>750000</v>
      </c>
      <c r="J947" s="8">
        <f t="shared" si="85"/>
        <v>900000</v>
      </c>
      <c r="K947" s="9">
        <f t="shared" si="86"/>
        <v>1200000</v>
      </c>
      <c r="L947" s="10">
        <f t="shared" si="87"/>
        <v>1.3014616666666667</v>
      </c>
      <c r="M947" t="str">
        <f t="shared" si="88"/>
        <v>125-150%</v>
      </c>
      <c r="N947" s="9">
        <f>MIN(H947, G947)*INDEX('2018_commission_structure'!$A$1:$I$4,
MATCH($D947, '2018_commission_structure'!$A$1:$A$4,0),
MATCH(N$1, '2018_commission_structure'!$A$1:$I$1,0))</f>
        <v>78000</v>
      </c>
      <c r="O947" s="11">
        <f>IF(G947&gt;H947, MIN(G947-H947, I947-H947)*
INDEX('2018_commission_structure'!$A$1:$I$4,
MATCH($D947, '2018_commission_structure'!$A$1:$A$4, 0),
MATCH(O$1, '2018_commission_structure'!$A$1:$I$1, 0)), 0)</f>
        <v>25500.000000000004</v>
      </c>
      <c r="P947" s="11">
        <f>IF(G947&gt;H947, MIN(G947-H947, J947-H947)*
INDEX('2018_commission_structure'!$A$1:$I$4,
MATCH($D947, '2018_commission_structure'!$A$1:$A$4, 0),
MATCH(O$1, '2018_commission_structure'!$A$1:$I$1, 0)), 0)</f>
        <v>30749.090000000004</v>
      </c>
      <c r="Q947" s="11">
        <f>IF(G947&gt;H947, MIN(G947-H947, I947-H947)*
INDEX('2018_commission_structure'!$A$1:$I$4,
MATCH($D947, '2018_commission_structure'!$A$1:$A$4, 0),
MATCH(P$1, '2018_commission_structure'!$A$1:$I$1, 0)), 0)</f>
        <v>31500</v>
      </c>
      <c r="R947" s="11">
        <f>IF(G947&gt;K947, (G947-K947) *
INDEX('2018_commission_structure'!$A$1:$I$4,
MATCH($D947, '2018_commission_structure'!$A$1:$A$4,0),
MATCH(R$1, '2018_commission_structure'!$A$1:$I$1,0)), 0)</f>
        <v>0</v>
      </c>
      <c r="S947" s="11">
        <f t="shared" si="89"/>
        <v>87749.090000000011</v>
      </c>
      <c r="T947" s="11" cm="1">
        <f t="array" ref="T947">SUM(E947+O947:Q947)</f>
        <v>302717.08999999997</v>
      </c>
    </row>
    <row r="948" spans="1:20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 xml:space="preserve"> COUNTIF(deals_closed!D:D,A948)</f>
        <v>23</v>
      </c>
      <c r="G948" s="5">
        <f>SUMIF(deals_closed!D:D, calculations!A948, deals_closed!C:C)</f>
        <v>801961</v>
      </c>
      <c r="H948" s="5">
        <f>VLOOKUP(D948,'2018_commission_structure'!$A$2:$I$4,9,FALSE)</f>
        <v>750000</v>
      </c>
      <c r="I948" s="9">
        <f t="shared" si="84"/>
        <v>937500</v>
      </c>
      <c r="J948" s="8">
        <f t="shared" si="85"/>
        <v>1125000</v>
      </c>
      <c r="K948" s="9">
        <f t="shared" si="86"/>
        <v>1500000</v>
      </c>
      <c r="L948" s="10">
        <f t="shared" si="87"/>
        <v>1.0692813333333333</v>
      </c>
      <c r="M948" t="str">
        <f t="shared" si="88"/>
        <v>100-125%</v>
      </c>
      <c r="N948" s="9">
        <f>MIN(H948, G948)*INDEX('2018_commission_structure'!$A$1:$I$4,
MATCH($D948, '2018_commission_structure'!$A$1:$A$4,0),
MATCH(N$1, '2018_commission_structure'!$A$1:$I$1,0))</f>
        <v>112500</v>
      </c>
      <c r="O948" s="11">
        <f>IF(G948&gt;H948, MIN(G948-H948, I948-H948)*
INDEX('2018_commission_structure'!$A$1:$I$4,
MATCH($D948, '2018_commission_structure'!$A$1:$A$4, 0),
MATCH(O$1, '2018_commission_structure'!$A$1:$I$1, 0)), 0)</f>
        <v>9872.59</v>
      </c>
      <c r="P948" s="11">
        <f>IF(G948&gt;H948, MIN(G948-H948, J948-H948)*
INDEX('2018_commission_structure'!$A$1:$I$4,
MATCH($D948, '2018_commission_structure'!$A$1:$A$4, 0),
MATCH(O$1, '2018_commission_structure'!$A$1:$I$1, 0)), 0)</f>
        <v>9872.59</v>
      </c>
      <c r="Q948" s="11">
        <f>IF(G948&gt;H948, MIN(G948-H948, I948-H948)*
INDEX('2018_commission_structure'!$A$1:$I$4,
MATCH($D948, '2018_commission_structure'!$A$1:$A$4, 0),
MATCH(P$1, '2018_commission_structure'!$A$1:$I$1, 0)), 0)</f>
        <v>11951.03</v>
      </c>
      <c r="R948" s="11">
        <f>IF(G948&gt;K948, (G948-K948) *
INDEX('2018_commission_structure'!$A$1:$I$4,
MATCH($D948, '2018_commission_structure'!$A$1:$A$4,0),
MATCH(R$1, '2018_commission_structure'!$A$1:$I$1,0)), 0)</f>
        <v>0</v>
      </c>
      <c r="S948" s="11">
        <f t="shared" si="89"/>
        <v>31696.21</v>
      </c>
      <c r="T948" s="11" cm="1">
        <f t="array" ref="T948">SUM(E948+O948:Q948)</f>
        <v>389644.20999999996</v>
      </c>
    </row>
    <row r="949" spans="1:20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 xml:space="preserve"> COUNTIF(deals_closed!D:D,A949)</f>
        <v>12</v>
      </c>
      <c r="G949" s="5">
        <f>SUMIF(deals_closed!D:D, calculations!A949, deals_closed!C:C)</f>
        <v>471986</v>
      </c>
      <c r="H949" s="5">
        <f>VLOOKUP(D949,'2018_commission_structure'!$A$2:$I$4,9,FALSE)</f>
        <v>750000</v>
      </c>
      <c r="I949" s="9">
        <f t="shared" si="84"/>
        <v>937500</v>
      </c>
      <c r="J949" s="8">
        <f t="shared" si="85"/>
        <v>1125000</v>
      </c>
      <c r="K949" s="9">
        <f t="shared" si="86"/>
        <v>1500000</v>
      </c>
      <c r="L949" s="10">
        <f t="shared" si="87"/>
        <v>0.62931466666666669</v>
      </c>
      <c r="M949" t="str">
        <f t="shared" si="88"/>
        <v>0-100%</v>
      </c>
      <c r="N949" s="9">
        <f>MIN(H949, G949)*INDEX('2018_commission_structure'!$A$1:$I$4,
MATCH($D949, '2018_commission_structure'!$A$1:$A$4,0),
MATCH(N$1, '2018_commission_structure'!$A$1:$I$1,0))</f>
        <v>70797.899999999994</v>
      </c>
      <c r="O949" s="11">
        <f>IF(G949&gt;H949, MIN(G949-H949, I949-H949)*
INDEX('2018_commission_structure'!$A$1:$I$4,
MATCH($D949, '2018_commission_structure'!$A$1:$A$4, 0),
MATCH(O$1, '2018_commission_structure'!$A$1:$I$1, 0)), 0)</f>
        <v>0</v>
      </c>
      <c r="P949" s="11">
        <f>IF(G949&gt;H949, MIN(G949-H949, J949-H949)*
INDEX('2018_commission_structure'!$A$1:$I$4,
MATCH($D949, '2018_commission_structure'!$A$1:$A$4, 0),
MATCH(O$1, '2018_commission_structure'!$A$1:$I$1, 0)), 0)</f>
        <v>0</v>
      </c>
      <c r="Q949" s="11">
        <f>IF(G949&gt;H949, MIN(G949-H949, I949-H949)*
INDEX('2018_commission_structure'!$A$1:$I$4,
MATCH($D949, '2018_commission_structure'!$A$1:$A$4, 0),
MATCH(P$1, '2018_commission_structure'!$A$1:$I$1, 0)), 0)</f>
        <v>0</v>
      </c>
      <c r="R949" s="11">
        <f>IF(G949&gt;K949, (G949-K949) *
INDEX('2018_commission_structure'!$A$1:$I$4,
MATCH($D949, '2018_commission_structure'!$A$1:$A$4,0),
MATCH(R$1, '2018_commission_structure'!$A$1:$I$1,0)), 0)</f>
        <v>0</v>
      </c>
      <c r="S949" s="11">
        <f t="shared" si="89"/>
        <v>0</v>
      </c>
      <c r="T949" s="11" cm="1">
        <f t="array" ref="T949">SUM(E949+O949:Q949)</f>
        <v>250398</v>
      </c>
    </row>
    <row r="950" spans="1:20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 xml:space="preserve"> COUNTIF(deals_closed!D:D,A950)</f>
        <v>23</v>
      </c>
      <c r="G950" s="5">
        <f>SUMIF(deals_closed!D:D, calculations!A950, deals_closed!C:C)</f>
        <v>784517</v>
      </c>
      <c r="H950" s="5">
        <f>VLOOKUP(D950,'2018_commission_structure'!$A$2:$I$4,9,FALSE)</f>
        <v>600000</v>
      </c>
      <c r="I950" s="9">
        <f t="shared" si="84"/>
        <v>750000</v>
      </c>
      <c r="J950" s="8">
        <f t="shared" si="85"/>
        <v>900000</v>
      </c>
      <c r="K950" s="9">
        <f t="shared" si="86"/>
        <v>1200000</v>
      </c>
      <c r="L950" s="10">
        <f t="shared" si="87"/>
        <v>1.3075283333333334</v>
      </c>
      <c r="M950" t="str">
        <f t="shared" si="88"/>
        <v>125-150%</v>
      </c>
      <c r="N950" s="9">
        <f>MIN(H950, G950)*INDEX('2018_commission_structure'!$A$1:$I$4,
MATCH($D950, '2018_commission_structure'!$A$1:$A$4,0),
MATCH(N$1, '2018_commission_structure'!$A$1:$I$1,0))</f>
        <v>78000</v>
      </c>
      <c r="O950" s="11">
        <f>IF(G950&gt;H950, MIN(G950-H950, I950-H950)*
INDEX('2018_commission_structure'!$A$1:$I$4,
MATCH($D950, '2018_commission_structure'!$A$1:$A$4, 0),
MATCH(O$1, '2018_commission_structure'!$A$1:$I$1, 0)), 0)</f>
        <v>25500.000000000004</v>
      </c>
      <c r="P950" s="11">
        <f>IF(G950&gt;H950, MIN(G950-H950, J950-H950)*
INDEX('2018_commission_structure'!$A$1:$I$4,
MATCH($D950, '2018_commission_structure'!$A$1:$A$4, 0),
MATCH(O$1, '2018_commission_structure'!$A$1:$I$1, 0)), 0)</f>
        <v>31367.890000000003</v>
      </c>
      <c r="Q950" s="11">
        <f>IF(G950&gt;H950, MIN(G950-H950, I950-H950)*
INDEX('2018_commission_structure'!$A$1:$I$4,
MATCH($D950, '2018_commission_structure'!$A$1:$A$4, 0),
MATCH(P$1, '2018_commission_structure'!$A$1:$I$1, 0)), 0)</f>
        <v>31500</v>
      </c>
      <c r="R950" s="11">
        <f>IF(G950&gt;K950, (G950-K950) *
INDEX('2018_commission_structure'!$A$1:$I$4,
MATCH($D950, '2018_commission_structure'!$A$1:$A$4,0),
MATCH(R$1, '2018_commission_structure'!$A$1:$I$1,0)), 0)</f>
        <v>0</v>
      </c>
      <c r="S950" s="11">
        <f t="shared" si="89"/>
        <v>88367.890000000014</v>
      </c>
      <c r="T950" s="11" cm="1">
        <f t="array" ref="T950">SUM(E950+O950:Q950)</f>
        <v>307253.89</v>
      </c>
    </row>
    <row r="951" spans="1:20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 xml:space="preserve"> COUNTIF(deals_closed!D:D,A951)</f>
        <v>15</v>
      </c>
      <c r="G951" s="5">
        <f>SUMIF(deals_closed!D:D, calculations!A951, deals_closed!C:C)</f>
        <v>534301</v>
      </c>
      <c r="H951" s="5">
        <f>VLOOKUP(D951,'2018_commission_structure'!$A$2:$I$4,9,FALSE)</f>
        <v>600000</v>
      </c>
      <c r="I951" s="9">
        <f t="shared" si="84"/>
        <v>750000</v>
      </c>
      <c r="J951" s="8">
        <f t="shared" si="85"/>
        <v>900000</v>
      </c>
      <c r="K951" s="9">
        <f t="shared" si="86"/>
        <v>1200000</v>
      </c>
      <c r="L951" s="10">
        <f t="shared" si="87"/>
        <v>0.89050166666666664</v>
      </c>
      <c r="M951" t="str">
        <f t="shared" si="88"/>
        <v>0-100%</v>
      </c>
      <c r="N951" s="9">
        <f>MIN(H951, G951)*INDEX('2018_commission_structure'!$A$1:$I$4,
MATCH($D951, '2018_commission_structure'!$A$1:$A$4,0),
MATCH(N$1, '2018_commission_structure'!$A$1:$I$1,0))</f>
        <v>69459.13</v>
      </c>
      <c r="O951" s="11">
        <f>IF(G951&gt;H951, MIN(G951-H951, I951-H951)*
INDEX('2018_commission_structure'!$A$1:$I$4,
MATCH($D951, '2018_commission_structure'!$A$1:$A$4, 0),
MATCH(O$1, '2018_commission_structure'!$A$1:$I$1, 0)), 0)</f>
        <v>0</v>
      </c>
      <c r="P951" s="11">
        <f>IF(G951&gt;H951, MIN(G951-H951, J951-H951)*
INDEX('2018_commission_structure'!$A$1:$I$4,
MATCH($D951, '2018_commission_structure'!$A$1:$A$4, 0),
MATCH(O$1, '2018_commission_structure'!$A$1:$I$1, 0)), 0)</f>
        <v>0</v>
      </c>
      <c r="Q951" s="11">
        <f>IF(G951&gt;H951, MIN(G951-H951, I951-H951)*
INDEX('2018_commission_structure'!$A$1:$I$4,
MATCH($D951, '2018_commission_structure'!$A$1:$A$4, 0),
MATCH(P$1, '2018_commission_structure'!$A$1:$I$1, 0)), 0)</f>
        <v>0</v>
      </c>
      <c r="R951" s="11">
        <f>IF(G951&gt;K951, (G951-K951) *
INDEX('2018_commission_structure'!$A$1:$I$4,
MATCH($D951, '2018_commission_structure'!$A$1:$A$4,0),
MATCH(R$1, '2018_commission_structure'!$A$1:$I$1,0)), 0)</f>
        <v>0</v>
      </c>
      <c r="S951" s="11">
        <f t="shared" si="89"/>
        <v>0</v>
      </c>
      <c r="T951" s="11" cm="1">
        <f t="array" ref="T951">SUM(E951+O951:Q951)</f>
        <v>196470</v>
      </c>
    </row>
    <row r="952" spans="1:20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 xml:space="preserve"> COUNTIF(deals_closed!D:D,A952)</f>
        <v>21</v>
      </c>
      <c r="G952" s="5">
        <f>SUMIF(deals_closed!D:D, calculations!A952, deals_closed!C:C)</f>
        <v>679511</v>
      </c>
      <c r="H952" s="5">
        <f>VLOOKUP(D952,'2018_commission_structure'!$A$2:$I$4,9,FALSE)</f>
        <v>600000</v>
      </c>
      <c r="I952" s="9">
        <f t="shared" si="84"/>
        <v>750000</v>
      </c>
      <c r="J952" s="8">
        <f t="shared" si="85"/>
        <v>900000</v>
      </c>
      <c r="K952" s="9">
        <f t="shared" si="86"/>
        <v>1200000</v>
      </c>
      <c r="L952" s="10">
        <f t="shared" si="87"/>
        <v>1.1325183333333333</v>
      </c>
      <c r="M952" t="str">
        <f t="shared" si="88"/>
        <v>100-125%</v>
      </c>
      <c r="N952" s="9">
        <f>MIN(H952, G952)*INDEX('2018_commission_structure'!$A$1:$I$4,
MATCH($D952, '2018_commission_structure'!$A$1:$A$4,0),
MATCH(N$1, '2018_commission_structure'!$A$1:$I$1,0))</f>
        <v>78000</v>
      </c>
      <c r="O952" s="11">
        <f>IF(G952&gt;H952, MIN(G952-H952, I952-H952)*
INDEX('2018_commission_structure'!$A$1:$I$4,
MATCH($D952, '2018_commission_structure'!$A$1:$A$4, 0),
MATCH(O$1, '2018_commission_structure'!$A$1:$I$1, 0)), 0)</f>
        <v>13516.87</v>
      </c>
      <c r="P952" s="11">
        <f>IF(G952&gt;H952, MIN(G952-H952, J952-H952)*
INDEX('2018_commission_structure'!$A$1:$I$4,
MATCH($D952, '2018_commission_structure'!$A$1:$A$4, 0),
MATCH(O$1, '2018_commission_structure'!$A$1:$I$1, 0)), 0)</f>
        <v>13516.87</v>
      </c>
      <c r="Q952" s="11">
        <f>IF(G952&gt;H952, MIN(G952-H952, I952-H952)*
INDEX('2018_commission_structure'!$A$1:$I$4,
MATCH($D952, '2018_commission_structure'!$A$1:$A$4, 0),
MATCH(P$1, '2018_commission_structure'!$A$1:$I$1, 0)), 0)</f>
        <v>16697.309999999998</v>
      </c>
      <c r="R952" s="11">
        <f>IF(G952&gt;K952, (G952-K952) *
INDEX('2018_commission_structure'!$A$1:$I$4,
MATCH($D952, '2018_commission_structure'!$A$1:$A$4,0),
MATCH(R$1, '2018_commission_structure'!$A$1:$I$1,0)), 0)</f>
        <v>0</v>
      </c>
      <c r="S952" s="11">
        <f t="shared" si="89"/>
        <v>43731.05</v>
      </c>
      <c r="T952" s="11" cm="1">
        <f t="array" ref="T952">SUM(E952+O952:Q952)</f>
        <v>229725.05</v>
      </c>
    </row>
    <row r="953" spans="1:20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 xml:space="preserve"> COUNTIF(deals_closed!D:D,A953)</f>
        <v>14</v>
      </c>
      <c r="G953" s="5">
        <f>SUMIF(deals_closed!D:D, calculations!A953, deals_closed!C:C)</f>
        <v>501339</v>
      </c>
      <c r="H953" s="5">
        <f>VLOOKUP(D953,'2018_commission_structure'!$A$2:$I$4,9,FALSE)</f>
        <v>500000</v>
      </c>
      <c r="I953" s="9">
        <f t="shared" si="84"/>
        <v>625000</v>
      </c>
      <c r="J953" s="8">
        <f t="shared" si="85"/>
        <v>750000</v>
      </c>
      <c r="K953" s="9">
        <f t="shared" si="86"/>
        <v>1000000</v>
      </c>
      <c r="L953" s="10">
        <f t="shared" si="87"/>
        <v>1.002678</v>
      </c>
      <c r="M953" t="str">
        <f t="shared" si="88"/>
        <v>100-125%</v>
      </c>
      <c r="N953" s="9">
        <f>MIN(H953, G953)*INDEX('2018_commission_structure'!$A$1:$I$4,
MATCH($D953, '2018_commission_structure'!$A$1:$A$4,0),
MATCH(N$1, '2018_commission_structure'!$A$1:$I$1,0))</f>
        <v>50000</v>
      </c>
      <c r="O953" s="11">
        <f>IF(G953&gt;H953, MIN(G953-H953, I953-H953)*
INDEX('2018_commission_structure'!$A$1:$I$4,
MATCH($D953, '2018_commission_structure'!$A$1:$A$4, 0),
MATCH(O$1, '2018_commission_structure'!$A$1:$I$1, 0)), 0)</f>
        <v>200.85</v>
      </c>
      <c r="P953" s="11">
        <f>IF(G953&gt;H953, MIN(G953-H953, J953-H953)*
INDEX('2018_commission_structure'!$A$1:$I$4,
MATCH($D953, '2018_commission_structure'!$A$1:$A$4, 0),
MATCH(O$1, '2018_commission_structure'!$A$1:$I$1, 0)), 0)</f>
        <v>200.85</v>
      </c>
      <c r="Q953" s="11">
        <f>IF(G953&gt;H953, MIN(G953-H953, I953-H953)*
INDEX('2018_commission_structure'!$A$1:$I$4,
MATCH($D953, '2018_commission_structure'!$A$1:$A$4, 0),
MATCH(P$1, '2018_commission_structure'!$A$1:$I$1, 0)), 0)</f>
        <v>241.01999999999998</v>
      </c>
      <c r="R953" s="11">
        <f>IF(G953&gt;K953, (G953-K953) *
INDEX('2018_commission_structure'!$A$1:$I$4,
MATCH($D953, '2018_commission_structure'!$A$1:$A$4,0),
MATCH(R$1, '2018_commission_structure'!$A$1:$I$1,0)), 0)</f>
        <v>0</v>
      </c>
      <c r="S953" s="11">
        <f t="shared" si="89"/>
        <v>642.72</v>
      </c>
      <c r="T953" s="11" cm="1">
        <f t="array" ref="T953">SUM(E953+O953:Q953)</f>
        <v>142215.72</v>
      </c>
    </row>
    <row r="954" spans="1:20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 xml:space="preserve"> COUNTIF(deals_closed!D:D,A954)</f>
        <v>26</v>
      </c>
      <c r="G954" s="5">
        <f>SUMIF(deals_closed!D:D, calculations!A954, deals_closed!C:C)</f>
        <v>895549</v>
      </c>
      <c r="H954" s="5">
        <f>VLOOKUP(D954,'2018_commission_structure'!$A$2:$I$4,9,FALSE)</f>
        <v>500000</v>
      </c>
      <c r="I954" s="9">
        <f t="shared" si="84"/>
        <v>625000</v>
      </c>
      <c r="J954" s="8">
        <f t="shared" si="85"/>
        <v>750000</v>
      </c>
      <c r="K954" s="9">
        <f t="shared" si="86"/>
        <v>1000000</v>
      </c>
      <c r="L954" s="10">
        <f t="shared" si="87"/>
        <v>1.7910980000000001</v>
      </c>
      <c r="M954" t="str">
        <f t="shared" si="88"/>
        <v>150-200%</v>
      </c>
      <c r="N954" s="9">
        <f>MIN(H954, G954)*INDEX('2018_commission_structure'!$A$1:$I$4,
MATCH($D954, '2018_commission_structure'!$A$1:$A$4,0),
MATCH(N$1, '2018_commission_structure'!$A$1:$I$1,0))</f>
        <v>50000</v>
      </c>
      <c r="O954" s="11">
        <f>IF(G954&gt;H954, MIN(G954-H954, I954-H954)*
INDEX('2018_commission_structure'!$A$1:$I$4,
MATCH($D954, '2018_commission_structure'!$A$1:$A$4, 0),
MATCH(O$1, '2018_commission_structure'!$A$1:$I$1, 0)), 0)</f>
        <v>18750</v>
      </c>
      <c r="P954" s="11">
        <f>IF(G954&gt;H954, MIN(G954-H954, J954-H954)*
INDEX('2018_commission_structure'!$A$1:$I$4,
MATCH($D954, '2018_commission_structure'!$A$1:$A$4, 0),
MATCH(O$1, '2018_commission_structure'!$A$1:$I$1, 0)), 0)</f>
        <v>37500</v>
      </c>
      <c r="Q954" s="11">
        <f>IF(G954&gt;H954, MIN(G954-H954, I954-H954)*
INDEX('2018_commission_structure'!$A$1:$I$4,
MATCH($D954, '2018_commission_structure'!$A$1:$A$4, 0),
MATCH(P$1, '2018_commission_structure'!$A$1:$I$1, 0)), 0)</f>
        <v>22500</v>
      </c>
      <c r="R954" s="11">
        <f>IF(G954&gt;K954, (G954-K954) *
INDEX('2018_commission_structure'!$A$1:$I$4,
MATCH($D954, '2018_commission_structure'!$A$1:$A$4,0),
MATCH(R$1, '2018_commission_structure'!$A$1:$I$1,0)), 0)</f>
        <v>0</v>
      </c>
      <c r="S954" s="11">
        <f t="shared" si="89"/>
        <v>78750</v>
      </c>
      <c r="T954" s="11" cm="1">
        <f t="array" ref="T954">SUM(E954+O954:Q954)</f>
        <v>232692</v>
      </c>
    </row>
    <row r="955" spans="1:20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 xml:space="preserve"> COUNTIF(deals_closed!D:D,A955)</f>
        <v>20</v>
      </c>
      <c r="G955" s="5">
        <f>SUMIF(deals_closed!D:D, calculations!A955, deals_closed!C:C)</f>
        <v>645529</v>
      </c>
      <c r="H955" s="5">
        <f>VLOOKUP(D955,'2018_commission_structure'!$A$2:$I$4,9,FALSE)</f>
        <v>600000</v>
      </c>
      <c r="I955" s="9">
        <f t="shared" si="84"/>
        <v>750000</v>
      </c>
      <c r="J955" s="8">
        <f t="shared" si="85"/>
        <v>900000</v>
      </c>
      <c r="K955" s="9">
        <f t="shared" si="86"/>
        <v>1200000</v>
      </c>
      <c r="L955" s="10">
        <f t="shared" si="87"/>
        <v>1.0758816666666666</v>
      </c>
      <c r="M955" t="str">
        <f t="shared" si="88"/>
        <v>100-125%</v>
      </c>
      <c r="N955" s="9">
        <f>MIN(H955, G955)*INDEX('2018_commission_structure'!$A$1:$I$4,
MATCH($D955, '2018_commission_structure'!$A$1:$A$4,0),
MATCH(N$1, '2018_commission_structure'!$A$1:$I$1,0))</f>
        <v>78000</v>
      </c>
      <c r="O955" s="11">
        <f>IF(G955&gt;H955, MIN(G955-H955, I955-H955)*
INDEX('2018_commission_structure'!$A$1:$I$4,
MATCH($D955, '2018_commission_structure'!$A$1:$A$4, 0),
MATCH(O$1, '2018_commission_structure'!$A$1:$I$1, 0)), 0)</f>
        <v>7739.93</v>
      </c>
      <c r="P955" s="11">
        <f>IF(G955&gt;H955, MIN(G955-H955, J955-H955)*
INDEX('2018_commission_structure'!$A$1:$I$4,
MATCH($D955, '2018_commission_structure'!$A$1:$A$4, 0),
MATCH(O$1, '2018_commission_structure'!$A$1:$I$1, 0)), 0)</f>
        <v>7739.93</v>
      </c>
      <c r="Q955" s="11">
        <f>IF(G955&gt;H955, MIN(G955-H955, I955-H955)*
INDEX('2018_commission_structure'!$A$1:$I$4,
MATCH($D955, '2018_commission_structure'!$A$1:$A$4, 0),
MATCH(P$1, '2018_commission_structure'!$A$1:$I$1, 0)), 0)</f>
        <v>9561.09</v>
      </c>
      <c r="R955" s="11">
        <f>IF(G955&gt;K955, (G955-K955) *
INDEX('2018_commission_structure'!$A$1:$I$4,
MATCH($D955, '2018_commission_structure'!$A$1:$A$4,0),
MATCH(R$1, '2018_commission_structure'!$A$1:$I$1,0)), 0)</f>
        <v>0</v>
      </c>
      <c r="S955" s="11">
        <f t="shared" si="89"/>
        <v>25040.95</v>
      </c>
      <c r="T955" s="11" cm="1">
        <f t="array" ref="T955">SUM(E955+O955:Q955)</f>
        <v>177548.95</v>
      </c>
    </row>
    <row r="956" spans="1:20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 xml:space="preserve"> COUNTIF(deals_closed!D:D,A956)</f>
        <v>12</v>
      </c>
      <c r="G956" s="5">
        <f>SUMIF(deals_closed!D:D, calculations!A956, deals_closed!C:C)</f>
        <v>480183</v>
      </c>
      <c r="H956" s="5">
        <f>VLOOKUP(D956,'2018_commission_structure'!$A$2:$I$4,9,FALSE)</f>
        <v>600000</v>
      </c>
      <c r="I956" s="9">
        <f t="shared" si="84"/>
        <v>750000</v>
      </c>
      <c r="J956" s="8">
        <f t="shared" si="85"/>
        <v>900000</v>
      </c>
      <c r="K956" s="9">
        <f t="shared" si="86"/>
        <v>1200000</v>
      </c>
      <c r="L956" s="10">
        <f t="shared" si="87"/>
        <v>0.80030500000000004</v>
      </c>
      <c r="M956" t="str">
        <f t="shared" si="88"/>
        <v>0-100%</v>
      </c>
      <c r="N956" s="9">
        <f>MIN(H956, G956)*INDEX('2018_commission_structure'!$A$1:$I$4,
MATCH($D956, '2018_commission_structure'!$A$1:$A$4,0),
MATCH(N$1, '2018_commission_structure'!$A$1:$I$1,0))</f>
        <v>62423.79</v>
      </c>
      <c r="O956" s="11">
        <f>IF(G956&gt;H956, MIN(G956-H956, I956-H956)*
INDEX('2018_commission_structure'!$A$1:$I$4,
MATCH($D956, '2018_commission_structure'!$A$1:$A$4, 0),
MATCH(O$1, '2018_commission_structure'!$A$1:$I$1, 0)), 0)</f>
        <v>0</v>
      </c>
      <c r="P956" s="11">
        <f>IF(G956&gt;H956, MIN(G956-H956, J956-H956)*
INDEX('2018_commission_structure'!$A$1:$I$4,
MATCH($D956, '2018_commission_structure'!$A$1:$A$4, 0),
MATCH(O$1, '2018_commission_structure'!$A$1:$I$1, 0)), 0)</f>
        <v>0</v>
      </c>
      <c r="Q956" s="11">
        <f>IF(G956&gt;H956, MIN(G956-H956, I956-H956)*
INDEX('2018_commission_structure'!$A$1:$I$4,
MATCH($D956, '2018_commission_structure'!$A$1:$A$4, 0),
MATCH(P$1, '2018_commission_structure'!$A$1:$I$1, 0)), 0)</f>
        <v>0</v>
      </c>
      <c r="R956" s="11">
        <f>IF(G956&gt;K956, (G956-K956) *
INDEX('2018_commission_structure'!$A$1:$I$4,
MATCH($D956, '2018_commission_structure'!$A$1:$A$4,0),
MATCH(R$1, '2018_commission_structure'!$A$1:$I$1,0)), 0)</f>
        <v>0</v>
      </c>
      <c r="S956" s="11">
        <f t="shared" si="89"/>
        <v>0</v>
      </c>
      <c r="T956" s="11" cm="1">
        <f t="array" ref="T956">SUM(E956+O956:Q956)</f>
        <v>208428</v>
      </c>
    </row>
    <row r="957" spans="1:20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 xml:space="preserve"> COUNTIF(deals_closed!D:D,A957)</f>
        <v>20</v>
      </c>
      <c r="G957" s="5">
        <f>SUMIF(deals_closed!D:D, calculations!A957, deals_closed!C:C)</f>
        <v>808753</v>
      </c>
      <c r="H957" s="5">
        <f>VLOOKUP(D957,'2018_commission_structure'!$A$2:$I$4,9,FALSE)</f>
        <v>600000</v>
      </c>
      <c r="I957" s="9">
        <f t="shared" si="84"/>
        <v>750000</v>
      </c>
      <c r="J957" s="8">
        <f t="shared" si="85"/>
        <v>900000</v>
      </c>
      <c r="K957" s="9">
        <f t="shared" si="86"/>
        <v>1200000</v>
      </c>
      <c r="L957" s="10">
        <f t="shared" si="87"/>
        <v>1.3479216666666667</v>
      </c>
      <c r="M957" t="str">
        <f t="shared" si="88"/>
        <v>125-150%</v>
      </c>
      <c r="N957" s="9">
        <f>MIN(H957, G957)*INDEX('2018_commission_structure'!$A$1:$I$4,
MATCH($D957, '2018_commission_structure'!$A$1:$A$4,0),
MATCH(N$1, '2018_commission_structure'!$A$1:$I$1,0))</f>
        <v>78000</v>
      </c>
      <c r="O957" s="11">
        <f>IF(G957&gt;H957, MIN(G957-H957, I957-H957)*
INDEX('2018_commission_structure'!$A$1:$I$4,
MATCH($D957, '2018_commission_structure'!$A$1:$A$4, 0),
MATCH(O$1, '2018_commission_structure'!$A$1:$I$1, 0)), 0)</f>
        <v>25500.000000000004</v>
      </c>
      <c r="P957" s="11">
        <f>IF(G957&gt;H957, MIN(G957-H957, J957-H957)*
INDEX('2018_commission_structure'!$A$1:$I$4,
MATCH($D957, '2018_commission_structure'!$A$1:$A$4, 0),
MATCH(O$1, '2018_commission_structure'!$A$1:$I$1, 0)), 0)</f>
        <v>35488.01</v>
      </c>
      <c r="Q957" s="11">
        <f>IF(G957&gt;H957, MIN(G957-H957, I957-H957)*
INDEX('2018_commission_structure'!$A$1:$I$4,
MATCH($D957, '2018_commission_structure'!$A$1:$A$4, 0),
MATCH(P$1, '2018_commission_structure'!$A$1:$I$1, 0)), 0)</f>
        <v>31500</v>
      </c>
      <c r="R957" s="11">
        <f>IF(G957&gt;K957, (G957-K957) *
INDEX('2018_commission_structure'!$A$1:$I$4,
MATCH($D957, '2018_commission_structure'!$A$1:$A$4,0),
MATCH(R$1, '2018_commission_structure'!$A$1:$I$1,0)), 0)</f>
        <v>0</v>
      </c>
      <c r="S957" s="11">
        <f t="shared" si="89"/>
        <v>92488.010000000009</v>
      </c>
      <c r="T957" s="11" cm="1">
        <f t="array" ref="T957">SUM(E957+O957:Q957)</f>
        <v>330907.01</v>
      </c>
    </row>
    <row r="958" spans="1:20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 xml:space="preserve"> COUNTIF(deals_closed!D:D,A958)</f>
        <v>14</v>
      </c>
      <c r="G958" s="5">
        <f>SUMIF(deals_closed!D:D, calculations!A958, deals_closed!C:C)</f>
        <v>459113</v>
      </c>
      <c r="H958" s="5">
        <f>VLOOKUP(D958,'2018_commission_structure'!$A$2:$I$4,9,FALSE)</f>
        <v>500000</v>
      </c>
      <c r="I958" s="9">
        <f t="shared" si="84"/>
        <v>625000</v>
      </c>
      <c r="J958" s="8">
        <f t="shared" si="85"/>
        <v>750000</v>
      </c>
      <c r="K958" s="9">
        <f t="shared" si="86"/>
        <v>1000000</v>
      </c>
      <c r="L958" s="10">
        <f t="shared" si="87"/>
        <v>0.91822599999999999</v>
      </c>
      <c r="M958" t="str">
        <f t="shared" si="88"/>
        <v>0-100%</v>
      </c>
      <c r="N958" s="9">
        <f>MIN(H958, G958)*INDEX('2018_commission_structure'!$A$1:$I$4,
MATCH($D958, '2018_commission_structure'!$A$1:$A$4,0),
MATCH(N$1, '2018_commission_structure'!$A$1:$I$1,0))</f>
        <v>45911.3</v>
      </c>
      <c r="O958" s="11">
        <f>IF(G958&gt;H958, MIN(G958-H958, I958-H958)*
INDEX('2018_commission_structure'!$A$1:$I$4,
MATCH($D958, '2018_commission_structure'!$A$1:$A$4, 0),
MATCH(O$1, '2018_commission_structure'!$A$1:$I$1, 0)), 0)</f>
        <v>0</v>
      </c>
      <c r="P958" s="11">
        <f>IF(G958&gt;H958, MIN(G958-H958, J958-H958)*
INDEX('2018_commission_structure'!$A$1:$I$4,
MATCH($D958, '2018_commission_structure'!$A$1:$A$4, 0),
MATCH(O$1, '2018_commission_structure'!$A$1:$I$1, 0)), 0)</f>
        <v>0</v>
      </c>
      <c r="Q958" s="11">
        <f>IF(G958&gt;H958, MIN(G958-H958, I958-H958)*
INDEX('2018_commission_structure'!$A$1:$I$4,
MATCH($D958, '2018_commission_structure'!$A$1:$A$4, 0),
MATCH(P$1, '2018_commission_structure'!$A$1:$I$1, 0)), 0)</f>
        <v>0</v>
      </c>
      <c r="R958" s="11">
        <f>IF(G958&gt;K958, (G958-K958) *
INDEX('2018_commission_structure'!$A$1:$I$4,
MATCH($D958, '2018_commission_structure'!$A$1:$A$4,0),
MATCH(R$1, '2018_commission_structure'!$A$1:$I$1,0)), 0)</f>
        <v>0</v>
      </c>
      <c r="S958" s="11">
        <f t="shared" si="89"/>
        <v>0</v>
      </c>
      <c r="T958" s="11" cm="1">
        <f t="array" ref="T958">SUM(E958+O958:Q958)</f>
        <v>149760</v>
      </c>
    </row>
    <row r="959" spans="1:20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 xml:space="preserve"> COUNTIF(deals_closed!D:D,A959)</f>
        <v>14</v>
      </c>
      <c r="G959" s="5">
        <f>SUMIF(deals_closed!D:D, calculations!A959, deals_closed!C:C)</f>
        <v>483097</v>
      </c>
      <c r="H959" s="5">
        <f>VLOOKUP(D959,'2018_commission_structure'!$A$2:$I$4,9,FALSE)</f>
        <v>500000</v>
      </c>
      <c r="I959" s="9">
        <f t="shared" si="84"/>
        <v>625000</v>
      </c>
      <c r="J959" s="8">
        <f t="shared" si="85"/>
        <v>750000</v>
      </c>
      <c r="K959" s="9">
        <f t="shared" si="86"/>
        <v>1000000</v>
      </c>
      <c r="L959" s="10">
        <f t="shared" si="87"/>
        <v>0.966194</v>
      </c>
      <c r="M959" t="str">
        <f t="shared" si="88"/>
        <v>0-100%</v>
      </c>
      <c r="N959" s="9">
        <f>MIN(H959, G959)*INDEX('2018_commission_structure'!$A$1:$I$4,
MATCH($D959, '2018_commission_structure'!$A$1:$A$4,0),
MATCH(N$1, '2018_commission_structure'!$A$1:$I$1,0))</f>
        <v>48309.700000000004</v>
      </c>
      <c r="O959" s="11">
        <f>IF(G959&gt;H959, MIN(G959-H959, I959-H959)*
INDEX('2018_commission_structure'!$A$1:$I$4,
MATCH($D959, '2018_commission_structure'!$A$1:$A$4, 0),
MATCH(O$1, '2018_commission_structure'!$A$1:$I$1, 0)), 0)</f>
        <v>0</v>
      </c>
      <c r="P959" s="11">
        <f>IF(G959&gt;H959, MIN(G959-H959, J959-H959)*
INDEX('2018_commission_structure'!$A$1:$I$4,
MATCH($D959, '2018_commission_structure'!$A$1:$A$4, 0),
MATCH(O$1, '2018_commission_structure'!$A$1:$I$1, 0)), 0)</f>
        <v>0</v>
      </c>
      <c r="Q959" s="11">
        <f>IF(G959&gt;H959, MIN(G959-H959, I959-H959)*
INDEX('2018_commission_structure'!$A$1:$I$4,
MATCH($D959, '2018_commission_structure'!$A$1:$A$4, 0),
MATCH(P$1, '2018_commission_structure'!$A$1:$I$1, 0)), 0)</f>
        <v>0</v>
      </c>
      <c r="R959" s="11">
        <f>IF(G959&gt;K959, (G959-K959) *
INDEX('2018_commission_structure'!$A$1:$I$4,
MATCH($D959, '2018_commission_structure'!$A$1:$A$4,0),
MATCH(R$1, '2018_commission_structure'!$A$1:$I$1,0)), 0)</f>
        <v>0</v>
      </c>
      <c r="S959" s="11">
        <f t="shared" si="89"/>
        <v>0</v>
      </c>
      <c r="T959" s="11" cm="1">
        <f t="array" ref="T959">SUM(E959+O959:Q959)</f>
        <v>104589</v>
      </c>
    </row>
    <row r="960" spans="1:20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 xml:space="preserve"> COUNTIF(deals_closed!D:D,A960)</f>
        <v>10</v>
      </c>
      <c r="G960" s="5">
        <f>SUMIF(deals_closed!D:D, calculations!A960, deals_closed!C:C)</f>
        <v>301335</v>
      </c>
      <c r="H960" s="5">
        <f>VLOOKUP(D960,'2018_commission_structure'!$A$2:$I$4,9,FALSE)</f>
        <v>500000</v>
      </c>
      <c r="I960" s="9">
        <f t="shared" si="84"/>
        <v>625000</v>
      </c>
      <c r="J960" s="8">
        <f t="shared" si="85"/>
        <v>750000</v>
      </c>
      <c r="K960" s="9">
        <f t="shared" si="86"/>
        <v>1000000</v>
      </c>
      <c r="L960" s="10">
        <f t="shared" si="87"/>
        <v>0.60267000000000004</v>
      </c>
      <c r="M960" t="str">
        <f t="shared" si="88"/>
        <v>0-100%</v>
      </c>
      <c r="N960" s="9">
        <f>MIN(H960, G960)*INDEX('2018_commission_structure'!$A$1:$I$4,
MATCH($D960, '2018_commission_structure'!$A$1:$A$4,0),
MATCH(N$1, '2018_commission_structure'!$A$1:$I$1,0))</f>
        <v>30133.5</v>
      </c>
      <c r="O960" s="11">
        <f>IF(G960&gt;H960, MIN(G960-H960, I960-H960)*
INDEX('2018_commission_structure'!$A$1:$I$4,
MATCH($D960, '2018_commission_structure'!$A$1:$A$4, 0),
MATCH(O$1, '2018_commission_structure'!$A$1:$I$1, 0)), 0)</f>
        <v>0</v>
      </c>
      <c r="P960" s="11">
        <f>IF(G960&gt;H960, MIN(G960-H960, J960-H960)*
INDEX('2018_commission_structure'!$A$1:$I$4,
MATCH($D960, '2018_commission_structure'!$A$1:$A$4, 0),
MATCH(O$1, '2018_commission_structure'!$A$1:$I$1, 0)), 0)</f>
        <v>0</v>
      </c>
      <c r="Q960" s="11">
        <f>IF(G960&gt;H960, MIN(G960-H960, I960-H960)*
INDEX('2018_commission_structure'!$A$1:$I$4,
MATCH($D960, '2018_commission_structure'!$A$1:$A$4, 0),
MATCH(P$1, '2018_commission_structure'!$A$1:$I$1, 0)), 0)</f>
        <v>0</v>
      </c>
      <c r="R960" s="11">
        <f>IF(G960&gt;K960, (G960-K960) *
INDEX('2018_commission_structure'!$A$1:$I$4,
MATCH($D960, '2018_commission_structure'!$A$1:$A$4,0),
MATCH(R$1, '2018_commission_structure'!$A$1:$I$1,0)), 0)</f>
        <v>0</v>
      </c>
      <c r="S960" s="11">
        <f t="shared" si="89"/>
        <v>0</v>
      </c>
      <c r="T960" s="11" cm="1">
        <f t="array" ref="T960">SUM(E960+O960:Q960)</f>
        <v>108588</v>
      </c>
    </row>
    <row r="961" spans="1:20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 xml:space="preserve"> COUNTIF(deals_closed!D:D,A961)</f>
        <v>26</v>
      </c>
      <c r="G961" s="5">
        <f>SUMIF(deals_closed!D:D, calculations!A961, deals_closed!C:C)</f>
        <v>922938</v>
      </c>
      <c r="H961" s="5">
        <f>VLOOKUP(D961,'2018_commission_structure'!$A$2:$I$4,9,FALSE)</f>
        <v>500000</v>
      </c>
      <c r="I961" s="9">
        <f t="shared" si="84"/>
        <v>625000</v>
      </c>
      <c r="J961" s="8">
        <f t="shared" si="85"/>
        <v>750000</v>
      </c>
      <c r="K961" s="9">
        <f t="shared" si="86"/>
        <v>1000000</v>
      </c>
      <c r="L961" s="10">
        <f t="shared" si="87"/>
        <v>1.8458760000000001</v>
      </c>
      <c r="M961" t="str">
        <f t="shared" si="88"/>
        <v>150-200%</v>
      </c>
      <c r="N961" s="9">
        <f>MIN(H961, G961)*INDEX('2018_commission_structure'!$A$1:$I$4,
MATCH($D961, '2018_commission_structure'!$A$1:$A$4,0),
MATCH(N$1, '2018_commission_structure'!$A$1:$I$1,0))</f>
        <v>50000</v>
      </c>
      <c r="O961" s="11">
        <f>IF(G961&gt;H961, MIN(G961-H961, I961-H961)*
INDEX('2018_commission_structure'!$A$1:$I$4,
MATCH($D961, '2018_commission_structure'!$A$1:$A$4, 0),
MATCH(O$1, '2018_commission_structure'!$A$1:$I$1, 0)), 0)</f>
        <v>18750</v>
      </c>
      <c r="P961" s="11">
        <f>IF(G961&gt;H961, MIN(G961-H961, J961-H961)*
INDEX('2018_commission_structure'!$A$1:$I$4,
MATCH($D961, '2018_commission_structure'!$A$1:$A$4, 0),
MATCH(O$1, '2018_commission_structure'!$A$1:$I$1, 0)), 0)</f>
        <v>37500</v>
      </c>
      <c r="Q961" s="11">
        <f>IF(G961&gt;H961, MIN(G961-H961, I961-H961)*
INDEX('2018_commission_structure'!$A$1:$I$4,
MATCH($D961, '2018_commission_structure'!$A$1:$A$4, 0),
MATCH(P$1, '2018_commission_structure'!$A$1:$I$1, 0)), 0)</f>
        <v>22500</v>
      </c>
      <c r="R961" s="11">
        <f>IF(G961&gt;K961, (G961-K961) *
INDEX('2018_commission_structure'!$A$1:$I$4,
MATCH($D961, '2018_commission_structure'!$A$1:$A$4,0),
MATCH(R$1, '2018_commission_structure'!$A$1:$I$1,0)), 0)</f>
        <v>0</v>
      </c>
      <c r="S961" s="11">
        <f t="shared" si="89"/>
        <v>78750</v>
      </c>
      <c r="T961" s="11" cm="1">
        <f t="array" ref="T961">SUM(E961+O961:Q961)</f>
        <v>188532</v>
      </c>
    </row>
    <row r="962" spans="1:20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 xml:space="preserve"> COUNTIF(deals_closed!D:D,A962)</f>
        <v>18</v>
      </c>
      <c r="G962" s="5">
        <f>SUMIF(deals_closed!D:D, calculations!A962, deals_closed!C:C)</f>
        <v>621994</v>
      </c>
      <c r="H962" s="5">
        <f>VLOOKUP(D962,'2018_commission_structure'!$A$2:$I$4,9,FALSE)</f>
        <v>600000</v>
      </c>
      <c r="I962" s="9">
        <f t="shared" si="84"/>
        <v>750000</v>
      </c>
      <c r="J962" s="8">
        <f t="shared" si="85"/>
        <v>900000</v>
      </c>
      <c r="K962" s="9">
        <f t="shared" si="86"/>
        <v>1200000</v>
      </c>
      <c r="L962" s="10">
        <f t="shared" si="87"/>
        <v>1.0366566666666666</v>
      </c>
      <c r="M962" t="str">
        <f t="shared" si="88"/>
        <v>100-125%</v>
      </c>
      <c r="N962" s="9">
        <f>MIN(H962, G962)*INDEX('2018_commission_structure'!$A$1:$I$4,
MATCH($D962, '2018_commission_structure'!$A$1:$A$4,0),
MATCH(N$1, '2018_commission_structure'!$A$1:$I$1,0))</f>
        <v>78000</v>
      </c>
      <c r="O962" s="11">
        <f>IF(G962&gt;H962, MIN(G962-H962, I962-H962)*
INDEX('2018_commission_structure'!$A$1:$I$4,
MATCH($D962, '2018_commission_structure'!$A$1:$A$4, 0),
MATCH(O$1, '2018_commission_structure'!$A$1:$I$1, 0)), 0)</f>
        <v>3738.9800000000005</v>
      </c>
      <c r="P962" s="11">
        <f>IF(G962&gt;H962, MIN(G962-H962, J962-H962)*
INDEX('2018_commission_structure'!$A$1:$I$4,
MATCH($D962, '2018_commission_structure'!$A$1:$A$4, 0),
MATCH(O$1, '2018_commission_structure'!$A$1:$I$1, 0)), 0)</f>
        <v>3738.9800000000005</v>
      </c>
      <c r="Q962" s="11">
        <f>IF(G962&gt;H962, MIN(G962-H962, I962-H962)*
INDEX('2018_commission_structure'!$A$1:$I$4,
MATCH($D962, '2018_commission_structure'!$A$1:$A$4, 0),
MATCH(P$1, '2018_commission_structure'!$A$1:$I$1, 0)), 0)</f>
        <v>4618.74</v>
      </c>
      <c r="R962" s="11">
        <f>IF(G962&gt;K962, (G962-K962) *
INDEX('2018_commission_structure'!$A$1:$I$4,
MATCH($D962, '2018_commission_structure'!$A$1:$A$4,0),
MATCH(R$1, '2018_commission_structure'!$A$1:$I$1,0)), 0)</f>
        <v>0</v>
      </c>
      <c r="S962" s="11">
        <f t="shared" si="89"/>
        <v>12096.7</v>
      </c>
      <c r="T962" s="11" cm="1">
        <f t="array" ref="T962">SUM(E962+O962:Q962)</f>
        <v>211257.7</v>
      </c>
    </row>
    <row r="963" spans="1:20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 xml:space="preserve"> COUNTIF(deals_closed!D:D,A963)</f>
        <v>21</v>
      </c>
      <c r="G963" s="5">
        <f>SUMIF(deals_closed!D:D, calculations!A963, deals_closed!C:C)</f>
        <v>768592</v>
      </c>
      <c r="H963" s="5">
        <f>VLOOKUP(D963,'2018_commission_structure'!$A$2:$I$4,9,FALSE)</f>
        <v>750000</v>
      </c>
      <c r="I963" s="9">
        <f t="shared" ref="I963:I1001" si="90">H963*1.25</f>
        <v>937500</v>
      </c>
      <c r="J963" s="8">
        <f t="shared" ref="J963:J1001" si="91">H963*1.5</f>
        <v>1125000</v>
      </c>
      <c r="K963" s="9">
        <f t="shared" ref="K963:K1001" si="92">H963*2</f>
        <v>1500000</v>
      </c>
      <c r="L963" s="10">
        <f t="shared" ref="L963:L1001" si="93">G963/H963</f>
        <v>1.0247893333333333</v>
      </c>
      <c r="M963" t="str">
        <f t="shared" ref="M963:M1001" si="94">IF(L963&lt;=1, "0-100%",
IF(L963&lt;=1.25, "100-125%",
IF(L963&lt;=1.5, "125-150%",
IF(L963&lt;2, "150-200%", "&gt;200%"))))</f>
        <v>100-125%</v>
      </c>
      <c r="N963" s="9">
        <f>MIN(H963, G963)*INDEX('2018_commission_structure'!$A$1:$I$4,
MATCH($D963, '2018_commission_structure'!$A$1:$A$4,0),
MATCH(N$1, '2018_commission_structure'!$A$1:$I$1,0))</f>
        <v>112500</v>
      </c>
      <c r="O963" s="11">
        <f>IF(G963&gt;H963, MIN(G963-H963, I963-H963)*
INDEX('2018_commission_structure'!$A$1:$I$4,
MATCH($D963, '2018_commission_structure'!$A$1:$A$4, 0),
MATCH(O$1, '2018_commission_structure'!$A$1:$I$1, 0)), 0)</f>
        <v>3532.48</v>
      </c>
      <c r="P963" s="11">
        <f>IF(G963&gt;H963, MIN(G963-H963, J963-H963)*
INDEX('2018_commission_structure'!$A$1:$I$4,
MATCH($D963, '2018_commission_structure'!$A$1:$A$4, 0),
MATCH(O$1, '2018_commission_structure'!$A$1:$I$1, 0)), 0)</f>
        <v>3532.48</v>
      </c>
      <c r="Q963" s="11">
        <f>IF(G963&gt;H963, MIN(G963-H963, I963-H963)*
INDEX('2018_commission_structure'!$A$1:$I$4,
MATCH($D963, '2018_commission_structure'!$A$1:$A$4, 0),
MATCH(P$1, '2018_commission_structure'!$A$1:$I$1, 0)), 0)</f>
        <v>4276.16</v>
      </c>
      <c r="R963" s="11">
        <f>IF(G963&gt;K963, (G963-K963) *
INDEX('2018_commission_structure'!$A$1:$I$4,
MATCH($D963, '2018_commission_structure'!$A$1:$A$4,0),
MATCH(R$1, '2018_commission_structure'!$A$1:$I$1,0)), 0)</f>
        <v>0</v>
      </c>
      <c r="S963" s="11">
        <f t="shared" ref="S963:S1001" si="95">SUM(O963:Q963)</f>
        <v>11341.119999999999</v>
      </c>
      <c r="T963" s="11" cm="1">
        <f t="array" ref="T963">SUM(E963+O963:Q963)</f>
        <v>291820.12</v>
      </c>
    </row>
    <row r="964" spans="1:20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 xml:space="preserve"> COUNTIF(deals_closed!D:D,A964)</f>
        <v>16</v>
      </c>
      <c r="G964" s="5">
        <f>SUMIF(deals_closed!D:D, calculations!A964, deals_closed!C:C)</f>
        <v>529642</v>
      </c>
      <c r="H964" s="5">
        <f>VLOOKUP(D964,'2018_commission_structure'!$A$2:$I$4,9,FALSE)</f>
        <v>500000</v>
      </c>
      <c r="I964" s="9">
        <f t="shared" si="90"/>
        <v>625000</v>
      </c>
      <c r="J964" s="8">
        <f t="shared" si="91"/>
        <v>750000</v>
      </c>
      <c r="K964" s="9">
        <f t="shared" si="92"/>
        <v>1000000</v>
      </c>
      <c r="L964" s="10">
        <f t="shared" si="93"/>
        <v>1.0592839999999999</v>
      </c>
      <c r="M964" t="str">
        <f t="shared" si="94"/>
        <v>100-125%</v>
      </c>
      <c r="N964" s="9">
        <f>MIN(H964, G964)*INDEX('2018_commission_structure'!$A$1:$I$4,
MATCH($D964, '2018_commission_structure'!$A$1:$A$4,0),
MATCH(N$1, '2018_commission_structure'!$A$1:$I$1,0))</f>
        <v>50000</v>
      </c>
      <c r="O964" s="11">
        <f>IF(G964&gt;H964, MIN(G964-H964, I964-H964)*
INDEX('2018_commission_structure'!$A$1:$I$4,
MATCH($D964, '2018_commission_structure'!$A$1:$A$4, 0),
MATCH(O$1, '2018_commission_structure'!$A$1:$I$1, 0)), 0)</f>
        <v>4446.3</v>
      </c>
      <c r="P964" s="11">
        <f>IF(G964&gt;H964, MIN(G964-H964, J964-H964)*
INDEX('2018_commission_structure'!$A$1:$I$4,
MATCH($D964, '2018_commission_structure'!$A$1:$A$4, 0),
MATCH(O$1, '2018_commission_structure'!$A$1:$I$1, 0)), 0)</f>
        <v>4446.3</v>
      </c>
      <c r="Q964" s="11">
        <f>IF(G964&gt;H964, MIN(G964-H964, I964-H964)*
INDEX('2018_commission_structure'!$A$1:$I$4,
MATCH($D964, '2018_commission_structure'!$A$1:$A$4, 0),
MATCH(P$1, '2018_commission_structure'!$A$1:$I$1, 0)), 0)</f>
        <v>5335.5599999999995</v>
      </c>
      <c r="R964" s="11">
        <f>IF(G964&gt;K964, (G964-K964) *
INDEX('2018_commission_structure'!$A$1:$I$4,
MATCH($D964, '2018_commission_structure'!$A$1:$A$4,0),
MATCH(R$1, '2018_commission_structure'!$A$1:$I$1,0)), 0)</f>
        <v>0</v>
      </c>
      <c r="S964" s="11">
        <f t="shared" si="95"/>
        <v>14228.16</v>
      </c>
      <c r="T964" s="11" cm="1">
        <f t="array" ref="T964">SUM(E964+O964:Q964)</f>
        <v>119279.16</v>
      </c>
    </row>
    <row r="965" spans="1:20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 xml:space="preserve"> COUNTIF(deals_closed!D:D,A965)</f>
        <v>8</v>
      </c>
      <c r="G965" s="5">
        <f>SUMIF(deals_closed!D:D, calculations!A965, deals_closed!C:C)</f>
        <v>229737</v>
      </c>
      <c r="H965" s="5">
        <f>VLOOKUP(D965,'2018_commission_structure'!$A$2:$I$4,9,FALSE)</f>
        <v>600000</v>
      </c>
      <c r="I965" s="9">
        <f t="shared" si="90"/>
        <v>750000</v>
      </c>
      <c r="J965" s="8">
        <f t="shared" si="91"/>
        <v>900000</v>
      </c>
      <c r="K965" s="9">
        <f t="shared" si="92"/>
        <v>1200000</v>
      </c>
      <c r="L965" s="10">
        <f t="shared" si="93"/>
        <v>0.38289499999999999</v>
      </c>
      <c r="M965" t="str">
        <f t="shared" si="94"/>
        <v>0-100%</v>
      </c>
      <c r="N965" s="9">
        <f>MIN(H965, G965)*INDEX('2018_commission_structure'!$A$1:$I$4,
MATCH($D965, '2018_commission_structure'!$A$1:$A$4,0),
MATCH(N$1, '2018_commission_structure'!$A$1:$I$1,0))</f>
        <v>29865.81</v>
      </c>
      <c r="O965" s="11">
        <f>IF(G965&gt;H965, MIN(G965-H965, I965-H965)*
INDEX('2018_commission_structure'!$A$1:$I$4,
MATCH($D965, '2018_commission_structure'!$A$1:$A$4, 0),
MATCH(O$1, '2018_commission_structure'!$A$1:$I$1, 0)), 0)</f>
        <v>0</v>
      </c>
      <c r="P965" s="11">
        <f>IF(G965&gt;H965, MIN(G965-H965, J965-H965)*
INDEX('2018_commission_structure'!$A$1:$I$4,
MATCH($D965, '2018_commission_structure'!$A$1:$A$4, 0),
MATCH(O$1, '2018_commission_structure'!$A$1:$I$1, 0)), 0)</f>
        <v>0</v>
      </c>
      <c r="Q965" s="11">
        <f>IF(G965&gt;H965, MIN(G965-H965, I965-H965)*
INDEX('2018_commission_structure'!$A$1:$I$4,
MATCH($D965, '2018_commission_structure'!$A$1:$A$4, 0),
MATCH(P$1, '2018_commission_structure'!$A$1:$I$1, 0)), 0)</f>
        <v>0</v>
      </c>
      <c r="R965" s="11">
        <f>IF(G965&gt;K965, (G965-K965) *
INDEX('2018_commission_structure'!$A$1:$I$4,
MATCH($D965, '2018_commission_structure'!$A$1:$A$4,0),
MATCH(R$1, '2018_commission_structure'!$A$1:$I$1,0)), 0)</f>
        <v>0</v>
      </c>
      <c r="S965" s="11">
        <f t="shared" si="95"/>
        <v>0</v>
      </c>
      <c r="T965" s="11" cm="1">
        <f t="array" ref="T965">SUM(E965+O965:Q965)</f>
        <v>158277</v>
      </c>
    </row>
    <row r="966" spans="1:20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 xml:space="preserve"> COUNTIF(deals_closed!D:D,A966)</f>
        <v>32</v>
      </c>
      <c r="G966" s="5">
        <f>SUMIF(deals_closed!D:D, calculations!A966, deals_closed!C:C)</f>
        <v>1172724</v>
      </c>
      <c r="H966" s="5">
        <f>VLOOKUP(D966,'2018_commission_structure'!$A$2:$I$4,9,FALSE)</f>
        <v>750000</v>
      </c>
      <c r="I966" s="9">
        <f t="shared" si="90"/>
        <v>937500</v>
      </c>
      <c r="J966" s="8">
        <f t="shared" si="91"/>
        <v>1125000</v>
      </c>
      <c r="K966" s="9">
        <f t="shared" si="92"/>
        <v>1500000</v>
      </c>
      <c r="L966" s="10">
        <f t="shared" si="93"/>
        <v>1.5636319999999999</v>
      </c>
      <c r="M966" t="str">
        <f t="shared" si="94"/>
        <v>150-200%</v>
      </c>
      <c r="N966" s="9">
        <f>MIN(H966, G966)*INDEX('2018_commission_structure'!$A$1:$I$4,
MATCH($D966, '2018_commission_structure'!$A$1:$A$4,0),
MATCH(N$1, '2018_commission_structure'!$A$1:$I$1,0))</f>
        <v>112500</v>
      </c>
      <c r="O966" s="11">
        <f>IF(G966&gt;H966, MIN(G966-H966, I966-H966)*
INDEX('2018_commission_structure'!$A$1:$I$4,
MATCH($D966, '2018_commission_structure'!$A$1:$A$4, 0),
MATCH(O$1, '2018_commission_structure'!$A$1:$I$1, 0)), 0)</f>
        <v>35625</v>
      </c>
      <c r="P966" s="11">
        <f>IF(G966&gt;H966, MIN(G966-H966, J966-H966)*
INDEX('2018_commission_structure'!$A$1:$I$4,
MATCH($D966, '2018_commission_structure'!$A$1:$A$4, 0),
MATCH(O$1, '2018_commission_structure'!$A$1:$I$1, 0)), 0)</f>
        <v>71250</v>
      </c>
      <c r="Q966" s="11">
        <f>IF(G966&gt;H966, MIN(G966-H966, I966-H966)*
INDEX('2018_commission_structure'!$A$1:$I$4,
MATCH($D966, '2018_commission_structure'!$A$1:$A$4, 0),
MATCH(P$1, '2018_commission_structure'!$A$1:$I$1, 0)), 0)</f>
        <v>43125</v>
      </c>
      <c r="R966" s="11">
        <f>IF(G966&gt;K966, (G966-K966) *
INDEX('2018_commission_structure'!$A$1:$I$4,
MATCH($D966, '2018_commission_structure'!$A$1:$A$4,0),
MATCH(R$1, '2018_commission_structure'!$A$1:$I$1,0)), 0)</f>
        <v>0</v>
      </c>
      <c r="S966" s="11">
        <f t="shared" si="95"/>
        <v>150000</v>
      </c>
      <c r="T966" s="11" cm="1">
        <f t="array" ref="T966">SUM(E966+O966:Q966)</f>
        <v>495405</v>
      </c>
    </row>
    <row r="967" spans="1:20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 xml:space="preserve"> COUNTIF(deals_closed!D:D,A967)</f>
        <v>20</v>
      </c>
      <c r="G967" s="5">
        <f>SUMIF(deals_closed!D:D, calculations!A967, deals_closed!C:C)</f>
        <v>638133</v>
      </c>
      <c r="H967" s="5">
        <f>VLOOKUP(D967,'2018_commission_structure'!$A$2:$I$4,9,FALSE)</f>
        <v>750000</v>
      </c>
      <c r="I967" s="9">
        <f t="shared" si="90"/>
        <v>937500</v>
      </c>
      <c r="J967" s="8">
        <f t="shared" si="91"/>
        <v>1125000</v>
      </c>
      <c r="K967" s="9">
        <f t="shared" si="92"/>
        <v>1500000</v>
      </c>
      <c r="L967" s="10">
        <f t="shared" si="93"/>
        <v>0.85084400000000004</v>
      </c>
      <c r="M967" t="str">
        <f t="shared" si="94"/>
        <v>0-100%</v>
      </c>
      <c r="N967" s="9">
        <f>MIN(H967, G967)*INDEX('2018_commission_structure'!$A$1:$I$4,
MATCH($D967, '2018_commission_structure'!$A$1:$A$4,0),
MATCH(N$1, '2018_commission_structure'!$A$1:$I$1,0))</f>
        <v>95719.95</v>
      </c>
      <c r="O967" s="11">
        <f>IF(G967&gt;H967, MIN(G967-H967, I967-H967)*
INDEX('2018_commission_structure'!$A$1:$I$4,
MATCH($D967, '2018_commission_structure'!$A$1:$A$4, 0),
MATCH(O$1, '2018_commission_structure'!$A$1:$I$1, 0)), 0)</f>
        <v>0</v>
      </c>
      <c r="P967" s="11">
        <f>IF(G967&gt;H967, MIN(G967-H967, J967-H967)*
INDEX('2018_commission_structure'!$A$1:$I$4,
MATCH($D967, '2018_commission_structure'!$A$1:$A$4, 0),
MATCH(O$1, '2018_commission_structure'!$A$1:$I$1, 0)), 0)</f>
        <v>0</v>
      </c>
      <c r="Q967" s="11">
        <f>IF(G967&gt;H967, MIN(G967-H967, I967-H967)*
INDEX('2018_commission_structure'!$A$1:$I$4,
MATCH($D967, '2018_commission_structure'!$A$1:$A$4, 0),
MATCH(P$1, '2018_commission_structure'!$A$1:$I$1, 0)), 0)</f>
        <v>0</v>
      </c>
      <c r="R967" s="11">
        <f>IF(G967&gt;K967, (G967-K967) *
INDEX('2018_commission_structure'!$A$1:$I$4,
MATCH($D967, '2018_commission_structure'!$A$1:$A$4,0),
MATCH(R$1, '2018_commission_structure'!$A$1:$I$1,0)), 0)</f>
        <v>0</v>
      </c>
      <c r="S967" s="11">
        <f t="shared" si="95"/>
        <v>0</v>
      </c>
      <c r="T967" s="11" cm="1">
        <f t="array" ref="T967">SUM(E967+O967:Q967)</f>
        <v>309336</v>
      </c>
    </row>
    <row r="968" spans="1:20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 xml:space="preserve"> COUNTIF(deals_closed!D:D,A968)</f>
        <v>27</v>
      </c>
      <c r="G968" s="5">
        <f>SUMIF(deals_closed!D:D, calculations!A968, deals_closed!C:C)</f>
        <v>933223</v>
      </c>
      <c r="H968" s="5">
        <f>VLOOKUP(D968,'2018_commission_structure'!$A$2:$I$4,9,FALSE)</f>
        <v>600000</v>
      </c>
      <c r="I968" s="9">
        <f t="shared" si="90"/>
        <v>750000</v>
      </c>
      <c r="J968" s="8">
        <f t="shared" si="91"/>
        <v>900000</v>
      </c>
      <c r="K968" s="9">
        <f t="shared" si="92"/>
        <v>1200000</v>
      </c>
      <c r="L968" s="10">
        <f t="shared" si="93"/>
        <v>1.5553716666666666</v>
      </c>
      <c r="M968" t="str">
        <f t="shared" si="94"/>
        <v>150-200%</v>
      </c>
      <c r="N968" s="9">
        <f>MIN(H968, G968)*INDEX('2018_commission_structure'!$A$1:$I$4,
MATCH($D968, '2018_commission_structure'!$A$1:$A$4,0),
MATCH(N$1, '2018_commission_structure'!$A$1:$I$1,0))</f>
        <v>78000</v>
      </c>
      <c r="O968" s="11">
        <f>IF(G968&gt;H968, MIN(G968-H968, I968-H968)*
INDEX('2018_commission_structure'!$A$1:$I$4,
MATCH($D968, '2018_commission_structure'!$A$1:$A$4, 0),
MATCH(O$1, '2018_commission_structure'!$A$1:$I$1, 0)), 0)</f>
        <v>25500.000000000004</v>
      </c>
      <c r="P968" s="11">
        <f>IF(G968&gt;H968, MIN(G968-H968, J968-H968)*
INDEX('2018_commission_structure'!$A$1:$I$4,
MATCH($D968, '2018_commission_structure'!$A$1:$A$4, 0),
MATCH(O$1, '2018_commission_structure'!$A$1:$I$1, 0)), 0)</f>
        <v>51000.000000000007</v>
      </c>
      <c r="Q968" s="11">
        <f>IF(G968&gt;H968, MIN(G968-H968, I968-H968)*
INDEX('2018_commission_structure'!$A$1:$I$4,
MATCH($D968, '2018_commission_structure'!$A$1:$A$4, 0),
MATCH(P$1, '2018_commission_structure'!$A$1:$I$1, 0)), 0)</f>
        <v>31500</v>
      </c>
      <c r="R968" s="11">
        <f>IF(G968&gt;K968, (G968-K968) *
INDEX('2018_commission_structure'!$A$1:$I$4,
MATCH($D968, '2018_commission_structure'!$A$1:$A$4,0),
MATCH(R$1, '2018_commission_structure'!$A$1:$I$1,0)), 0)</f>
        <v>0</v>
      </c>
      <c r="S968" s="11">
        <f t="shared" si="95"/>
        <v>108000.00000000001</v>
      </c>
      <c r="T968" s="11" cm="1">
        <f t="array" ref="T968">SUM(E968+O968:Q968)</f>
        <v>347301</v>
      </c>
    </row>
    <row r="969" spans="1:20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 xml:space="preserve"> COUNTIF(deals_closed!D:D,A969)</f>
        <v>13</v>
      </c>
      <c r="G969" s="5">
        <f>SUMIF(deals_closed!D:D, calculations!A969, deals_closed!C:C)</f>
        <v>468615</v>
      </c>
      <c r="H969" s="5">
        <f>VLOOKUP(D969,'2018_commission_structure'!$A$2:$I$4,9,FALSE)</f>
        <v>500000</v>
      </c>
      <c r="I969" s="9">
        <f t="shared" si="90"/>
        <v>625000</v>
      </c>
      <c r="J969" s="8">
        <f t="shared" si="91"/>
        <v>750000</v>
      </c>
      <c r="K969" s="9">
        <f t="shared" si="92"/>
        <v>1000000</v>
      </c>
      <c r="L969" s="10">
        <f t="shared" si="93"/>
        <v>0.93723000000000001</v>
      </c>
      <c r="M969" t="str">
        <f t="shared" si="94"/>
        <v>0-100%</v>
      </c>
      <c r="N969" s="9">
        <f>MIN(H969, G969)*INDEX('2018_commission_structure'!$A$1:$I$4,
MATCH($D969, '2018_commission_structure'!$A$1:$A$4,0),
MATCH(N$1, '2018_commission_structure'!$A$1:$I$1,0))</f>
        <v>46861.5</v>
      </c>
      <c r="O969" s="11">
        <f>IF(G969&gt;H969, MIN(G969-H969, I969-H969)*
INDEX('2018_commission_structure'!$A$1:$I$4,
MATCH($D969, '2018_commission_structure'!$A$1:$A$4, 0),
MATCH(O$1, '2018_commission_structure'!$A$1:$I$1, 0)), 0)</f>
        <v>0</v>
      </c>
      <c r="P969" s="11">
        <f>IF(G969&gt;H969, MIN(G969-H969, J969-H969)*
INDEX('2018_commission_structure'!$A$1:$I$4,
MATCH($D969, '2018_commission_structure'!$A$1:$A$4, 0),
MATCH(O$1, '2018_commission_structure'!$A$1:$I$1, 0)), 0)</f>
        <v>0</v>
      </c>
      <c r="Q969" s="11">
        <f>IF(G969&gt;H969, MIN(G969-H969, I969-H969)*
INDEX('2018_commission_structure'!$A$1:$I$4,
MATCH($D969, '2018_commission_structure'!$A$1:$A$4, 0),
MATCH(P$1, '2018_commission_structure'!$A$1:$I$1, 0)), 0)</f>
        <v>0</v>
      </c>
      <c r="R969" s="11">
        <f>IF(G969&gt;K969, (G969-K969) *
INDEX('2018_commission_structure'!$A$1:$I$4,
MATCH($D969, '2018_commission_structure'!$A$1:$A$4,0),
MATCH(R$1, '2018_commission_structure'!$A$1:$I$1,0)), 0)</f>
        <v>0</v>
      </c>
      <c r="S969" s="11">
        <f t="shared" si="95"/>
        <v>0</v>
      </c>
      <c r="T969" s="11" cm="1">
        <f t="array" ref="T969">SUM(E969+O969:Q969)</f>
        <v>104283</v>
      </c>
    </row>
    <row r="970" spans="1:20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 xml:space="preserve"> COUNTIF(deals_closed!D:D,A970)</f>
        <v>22</v>
      </c>
      <c r="G970" s="5">
        <f>SUMIF(deals_closed!D:D, calculations!A970, deals_closed!C:C)</f>
        <v>732905</v>
      </c>
      <c r="H970" s="5">
        <f>VLOOKUP(D970,'2018_commission_structure'!$A$2:$I$4,9,FALSE)</f>
        <v>600000</v>
      </c>
      <c r="I970" s="9">
        <f t="shared" si="90"/>
        <v>750000</v>
      </c>
      <c r="J970" s="8">
        <f t="shared" si="91"/>
        <v>900000</v>
      </c>
      <c r="K970" s="9">
        <f t="shared" si="92"/>
        <v>1200000</v>
      </c>
      <c r="L970" s="10">
        <f t="shared" si="93"/>
        <v>1.2215083333333334</v>
      </c>
      <c r="M970" t="str">
        <f t="shared" si="94"/>
        <v>100-125%</v>
      </c>
      <c r="N970" s="9">
        <f>MIN(H970, G970)*INDEX('2018_commission_structure'!$A$1:$I$4,
MATCH($D970, '2018_commission_structure'!$A$1:$A$4,0),
MATCH(N$1, '2018_commission_structure'!$A$1:$I$1,0))</f>
        <v>78000</v>
      </c>
      <c r="O970" s="11">
        <f>IF(G970&gt;H970, MIN(G970-H970, I970-H970)*
INDEX('2018_commission_structure'!$A$1:$I$4,
MATCH($D970, '2018_commission_structure'!$A$1:$A$4, 0),
MATCH(O$1, '2018_commission_structure'!$A$1:$I$1, 0)), 0)</f>
        <v>22593.850000000002</v>
      </c>
      <c r="P970" s="11">
        <f>IF(G970&gt;H970, MIN(G970-H970, J970-H970)*
INDEX('2018_commission_structure'!$A$1:$I$4,
MATCH($D970, '2018_commission_structure'!$A$1:$A$4, 0),
MATCH(O$1, '2018_commission_structure'!$A$1:$I$1, 0)), 0)</f>
        <v>22593.850000000002</v>
      </c>
      <c r="Q970" s="11">
        <f>IF(G970&gt;H970, MIN(G970-H970, I970-H970)*
INDEX('2018_commission_structure'!$A$1:$I$4,
MATCH($D970, '2018_commission_structure'!$A$1:$A$4, 0),
MATCH(P$1, '2018_commission_structure'!$A$1:$I$1, 0)), 0)</f>
        <v>27910.05</v>
      </c>
      <c r="R970" s="11">
        <f>IF(G970&gt;K970, (G970-K970) *
INDEX('2018_commission_structure'!$A$1:$I$4,
MATCH($D970, '2018_commission_structure'!$A$1:$A$4,0),
MATCH(R$1, '2018_commission_structure'!$A$1:$I$1,0)), 0)</f>
        <v>0</v>
      </c>
      <c r="S970" s="11">
        <f t="shared" si="95"/>
        <v>73097.75</v>
      </c>
      <c r="T970" s="11" cm="1">
        <f t="array" ref="T970">SUM(E970+O970:Q970)</f>
        <v>275852.75</v>
      </c>
    </row>
    <row r="971" spans="1:20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 xml:space="preserve"> COUNTIF(deals_closed!D:D,A971)</f>
        <v>14</v>
      </c>
      <c r="G971" s="5">
        <f>SUMIF(deals_closed!D:D, calculations!A971, deals_closed!C:C)</f>
        <v>474985</v>
      </c>
      <c r="H971" s="5">
        <f>VLOOKUP(D971,'2018_commission_structure'!$A$2:$I$4,9,FALSE)</f>
        <v>500000</v>
      </c>
      <c r="I971" s="9">
        <f t="shared" si="90"/>
        <v>625000</v>
      </c>
      <c r="J971" s="8">
        <f t="shared" si="91"/>
        <v>750000</v>
      </c>
      <c r="K971" s="9">
        <f t="shared" si="92"/>
        <v>1000000</v>
      </c>
      <c r="L971" s="10">
        <f t="shared" si="93"/>
        <v>0.94996999999999998</v>
      </c>
      <c r="M971" t="str">
        <f t="shared" si="94"/>
        <v>0-100%</v>
      </c>
      <c r="N971" s="9">
        <f>MIN(H971, G971)*INDEX('2018_commission_structure'!$A$1:$I$4,
MATCH($D971, '2018_commission_structure'!$A$1:$A$4,0),
MATCH(N$1, '2018_commission_structure'!$A$1:$I$1,0))</f>
        <v>47498.5</v>
      </c>
      <c r="O971" s="11">
        <f>IF(G971&gt;H971, MIN(G971-H971, I971-H971)*
INDEX('2018_commission_structure'!$A$1:$I$4,
MATCH($D971, '2018_commission_structure'!$A$1:$A$4, 0),
MATCH(O$1, '2018_commission_structure'!$A$1:$I$1, 0)), 0)</f>
        <v>0</v>
      </c>
      <c r="P971" s="11">
        <f>IF(G971&gt;H971, MIN(G971-H971, J971-H971)*
INDEX('2018_commission_structure'!$A$1:$I$4,
MATCH($D971, '2018_commission_structure'!$A$1:$A$4, 0),
MATCH(O$1, '2018_commission_structure'!$A$1:$I$1, 0)), 0)</f>
        <v>0</v>
      </c>
      <c r="Q971" s="11">
        <f>IF(G971&gt;H971, MIN(G971-H971, I971-H971)*
INDEX('2018_commission_structure'!$A$1:$I$4,
MATCH($D971, '2018_commission_structure'!$A$1:$A$4, 0),
MATCH(P$1, '2018_commission_structure'!$A$1:$I$1, 0)), 0)</f>
        <v>0</v>
      </c>
      <c r="R971" s="11">
        <f>IF(G971&gt;K971, (G971-K971) *
INDEX('2018_commission_structure'!$A$1:$I$4,
MATCH($D971, '2018_commission_structure'!$A$1:$A$4,0),
MATCH(R$1, '2018_commission_structure'!$A$1:$I$1,0)), 0)</f>
        <v>0</v>
      </c>
      <c r="S971" s="11">
        <f t="shared" si="95"/>
        <v>0</v>
      </c>
      <c r="T971" s="11" cm="1">
        <f t="array" ref="T971">SUM(E971+O971:Q971)</f>
        <v>172953</v>
      </c>
    </row>
    <row r="972" spans="1:20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 xml:space="preserve"> COUNTIF(deals_closed!D:D,A972)</f>
        <v>24</v>
      </c>
      <c r="G972" s="5">
        <f>SUMIF(deals_closed!D:D, calculations!A972, deals_closed!C:C)</f>
        <v>862004</v>
      </c>
      <c r="H972" s="5">
        <f>VLOOKUP(D972,'2018_commission_structure'!$A$2:$I$4,9,FALSE)</f>
        <v>600000</v>
      </c>
      <c r="I972" s="9">
        <f t="shared" si="90"/>
        <v>750000</v>
      </c>
      <c r="J972" s="8">
        <f t="shared" si="91"/>
        <v>900000</v>
      </c>
      <c r="K972" s="9">
        <f t="shared" si="92"/>
        <v>1200000</v>
      </c>
      <c r="L972" s="10">
        <f t="shared" si="93"/>
        <v>1.4366733333333332</v>
      </c>
      <c r="M972" t="str">
        <f t="shared" si="94"/>
        <v>125-150%</v>
      </c>
      <c r="N972" s="9">
        <f>MIN(H972, G972)*INDEX('2018_commission_structure'!$A$1:$I$4,
MATCH($D972, '2018_commission_structure'!$A$1:$A$4,0),
MATCH(N$1, '2018_commission_structure'!$A$1:$I$1,0))</f>
        <v>78000</v>
      </c>
      <c r="O972" s="11">
        <f>IF(G972&gt;H972, MIN(G972-H972, I972-H972)*
INDEX('2018_commission_structure'!$A$1:$I$4,
MATCH($D972, '2018_commission_structure'!$A$1:$A$4, 0),
MATCH(O$1, '2018_commission_structure'!$A$1:$I$1, 0)), 0)</f>
        <v>25500.000000000004</v>
      </c>
      <c r="P972" s="11">
        <f>IF(G972&gt;H972, MIN(G972-H972, J972-H972)*
INDEX('2018_commission_structure'!$A$1:$I$4,
MATCH($D972, '2018_commission_structure'!$A$1:$A$4, 0),
MATCH(O$1, '2018_commission_structure'!$A$1:$I$1, 0)), 0)</f>
        <v>44540.68</v>
      </c>
      <c r="Q972" s="11">
        <f>IF(G972&gt;H972, MIN(G972-H972, I972-H972)*
INDEX('2018_commission_structure'!$A$1:$I$4,
MATCH($D972, '2018_commission_structure'!$A$1:$A$4, 0),
MATCH(P$1, '2018_commission_structure'!$A$1:$I$1, 0)), 0)</f>
        <v>31500</v>
      </c>
      <c r="R972" s="11">
        <f>IF(G972&gt;K972, (G972-K972) *
INDEX('2018_commission_structure'!$A$1:$I$4,
MATCH($D972, '2018_commission_structure'!$A$1:$A$4,0),
MATCH(R$1, '2018_commission_structure'!$A$1:$I$1,0)), 0)</f>
        <v>0</v>
      </c>
      <c r="S972" s="11">
        <f t="shared" si="95"/>
        <v>101540.68000000001</v>
      </c>
      <c r="T972" s="11" cm="1">
        <f t="array" ref="T972">SUM(E972+O972:Q972)</f>
        <v>300629.68</v>
      </c>
    </row>
    <row r="973" spans="1:20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 xml:space="preserve"> COUNTIF(deals_closed!D:D,A973)</f>
        <v>15</v>
      </c>
      <c r="G973" s="5">
        <f>SUMIF(deals_closed!D:D, calculations!A973, deals_closed!C:C)</f>
        <v>437601</v>
      </c>
      <c r="H973" s="5">
        <f>VLOOKUP(D973,'2018_commission_structure'!$A$2:$I$4,9,FALSE)</f>
        <v>750000</v>
      </c>
      <c r="I973" s="9">
        <f t="shared" si="90"/>
        <v>937500</v>
      </c>
      <c r="J973" s="8">
        <f t="shared" si="91"/>
        <v>1125000</v>
      </c>
      <c r="K973" s="9">
        <f t="shared" si="92"/>
        <v>1500000</v>
      </c>
      <c r="L973" s="10">
        <f t="shared" si="93"/>
        <v>0.58346799999999999</v>
      </c>
      <c r="M973" t="str">
        <f t="shared" si="94"/>
        <v>0-100%</v>
      </c>
      <c r="N973" s="9">
        <f>MIN(H973, G973)*INDEX('2018_commission_structure'!$A$1:$I$4,
MATCH($D973, '2018_commission_structure'!$A$1:$A$4,0),
MATCH(N$1, '2018_commission_structure'!$A$1:$I$1,0))</f>
        <v>65640.149999999994</v>
      </c>
      <c r="O973" s="11">
        <f>IF(G973&gt;H973, MIN(G973-H973, I973-H973)*
INDEX('2018_commission_structure'!$A$1:$I$4,
MATCH($D973, '2018_commission_structure'!$A$1:$A$4, 0),
MATCH(O$1, '2018_commission_structure'!$A$1:$I$1, 0)), 0)</f>
        <v>0</v>
      </c>
      <c r="P973" s="11">
        <f>IF(G973&gt;H973, MIN(G973-H973, J973-H973)*
INDEX('2018_commission_structure'!$A$1:$I$4,
MATCH($D973, '2018_commission_structure'!$A$1:$A$4, 0),
MATCH(O$1, '2018_commission_structure'!$A$1:$I$1, 0)), 0)</f>
        <v>0</v>
      </c>
      <c r="Q973" s="11">
        <f>IF(G973&gt;H973, MIN(G973-H973, I973-H973)*
INDEX('2018_commission_structure'!$A$1:$I$4,
MATCH($D973, '2018_commission_structure'!$A$1:$A$4, 0),
MATCH(P$1, '2018_commission_structure'!$A$1:$I$1, 0)), 0)</f>
        <v>0</v>
      </c>
      <c r="R973" s="11">
        <f>IF(G973&gt;K973, (G973-K973) *
INDEX('2018_commission_structure'!$A$1:$I$4,
MATCH($D973, '2018_commission_structure'!$A$1:$A$4,0),
MATCH(R$1, '2018_commission_structure'!$A$1:$I$1,0)), 0)</f>
        <v>0</v>
      </c>
      <c r="S973" s="11">
        <f t="shared" si="95"/>
        <v>0</v>
      </c>
      <c r="T973" s="11" cm="1">
        <f t="array" ref="T973">SUM(E973+O973:Q973)</f>
        <v>273837</v>
      </c>
    </row>
    <row r="974" spans="1:20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 xml:space="preserve"> COUNTIF(deals_closed!D:D,A974)</f>
        <v>14</v>
      </c>
      <c r="G974" s="5">
        <f>SUMIF(deals_closed!D:D, calculations!A974, deals_closed!C:C)</f>
        <v>412896</v>
      </c>
      <c r="H974" s="5">
        <f>VLOOKUP(D974,'2018_commission_structure'!$A$2:$I$4,9,FALSE)</f>
        <v>600000</v>
      </c>
      <c r="I974" s="9">
        <f t="shared" si="90"/>
        <v>750000</v>
      </c>
      <c r="J974" s="8">
        <f t="shared" si="91"/>
        <v>900000</v>
      </c>
      <c r="K974" s="9">
        <f t="shared" si="92"/>
        <v>1200000</v>
      </c>
      <c r="L974" s="10">
        <f t="shared" si="93"/>
        <v>0.68815999999999999</v>
      </c>
      <c r="M974" t="str">
        <f t="shared" si="94"/>
        <v>0-100%</v>
      </c>
      <c r="N974" s="9">
        <f>MIN(H974, G974)*INDEX('2018_commission_structure'!$A$1:$I$4,
MATCH($D974, '2018_commission_structure'!$A$1:$A$4,0),
MATCH(N$1, '2018_commission_structure'!$A$1:$I$1,0))</f>
        <v>53676.480000000003</v>
      </c>
      <c r="O974" s="11">
        <f>IF(G974&gt;H974, MIN(G974-H974, I974-H974)*
INDEX('2018_commission_structure'!$A$1:$I$4,
MATCH($D974, '2018_commission_structure'!$A$1:$A$4, 0),
MATCH(O$1, '2018_commission_structure'!$A$1:$I$1, 0)), 0)</f>
        <v>0</v>
      </c>
      <c r="P974" s="11">
        <f>IF(G974&gt;H974, MIN(G974-H974, J974-H974)*
INDEX('2018_commission_structure'!$A$1:$I$4,
MATCH($D974, '2018_commission_structure'!$A$1:$A$4, 0),
MATCH(O$1, '2018_commission_structure'!$A$1:$I$1, 0)), 0)</f>
        <v>0</v>
      </c>
      <c r="Q974" s="11">
        <f>IF(G974&gt;H974, MIN(G974-H974, I974-H974)*
INDEX('2018_commission_structure'!$A$1:$I$4,
MATCH($D974, '2018_commission_structure'!$A$1:$A$4, 0),
MATCH(P$1, '2018_commission_structure'!$A$1:$I$1, 0)), 0)</f>
        <v>0</v>
      </c>
      <c r="R974" s="11">
        <f>IF(G974&gt;K974, (G974-K974) *
INDEX('2018_commission_structure'!$A$1:$I$4,
MATCH($D974, '2018_commission_structure'!$A$1:$A$4,0),
MATCH(R$1, '2018_commission_structure'!$A$1:$I$1,0)), 0)</f>
        <v>0</v>
      </c>
      <c r="S974" s="11">
        <f t="shared" si="95"/>
        <v>0</v>
      </c>
      <c r="T974" s="11" cm="1">
        <f t="array" ref="T974">SUM(E974+O974:Q974)</f>
        <v>171150</v>
      </c>
    </row>
    <row r="975" spans="1:20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 xml:space="preserve"> COUNTIF(deals_closed!D:D,A975)</f>
        <v>14</v>
      </c>
      <c r="G975" s="5">
        <f>SUMIF(deals_closed!D:D, calculations!A975, deals_closed!C:C)</f>
        <v>360151</v>
      </c>
      <c r="H975" s="5">
        <f>VLOOKUP(D975,'2018_commission_structure'!$A$2:$I$4,9,FALSE)</f>
        <v>600000</v>
      </c>
      <c r="I975" s="9">
        <f t="shared" si="90"/>
        <v>750000</v>
      </c>
      <c r="J975" s="8">
        <f t="shared" si="91"/>
        <v>900000</v>
      </c>
      <c r="K975" s="9">
        <f t="shared" si="92"/>
        <v>1200000</v>
      </c>
      <c r="L975" s="10">
        <f t="shared" si="93"/>
        <v>0.60025166666666663</v>
      </c>
      <c r="M975" t="str">
        <f t="shared" si="94"/>
        <v>0-100%</v>
      </c>
      <c r="N975" s="9">
        <f>MIN(H975, G975)*INDEX('2018_commission_structure'!$A$1:$I$4,
MATCH($D975, '2018_commission_structure'!$A$1:$A$4,0),
MATCH(N$1, '2018_commission_structure'!$A$1:$I$1,0))</f>
        <v>46819.630000000005</v>
      </c>
      <c r="O975" s="11">
        <f>IF(G975&gt;H975, MIN(G975-H975, I975-H975)*
INDEX('2018_commission_structure'!$A$1:$I$4,
MATCH($D975, '2018_commission_structure'!$A$1:$A$4, 0),
MATCH(O$1, '2018_commission_structure'!$A$1:$I$1, 0)), 0)</f>
        <v>0</v>
      </c>
      <c r="P975" s="11">
        <f>IF(G975&gt;H975, MIN(G975-H975, J975-H975)*
INDEX('2018_commission_structure'!$A$1:$I$4,
MATCH($D975, '2018_commission_structure'!$A$1:$A$4, 0),
MATCH(O$1, '2018_commission_structure'!$A$1:$I$1, 0)), 0)</f>
        <v>0</v>
      </c>
      <c r="Q975" s="11">
        <f>IF(G975&gt;H975, MIN(G975-H975, I975-H975)*
INDEX('2018_commission_structure'!$A$1:$I$4,
MATCH($D975, '2018_commission_structure'!$A$1:$A$4, 0),
MATCH(P$1, '2018_commission_structure'!$A$1:$I$1, 0)), 0)</f>
        <v>0</v>
      </c>
      <c r="R975" s="11">
        <f>IF(G975&gt;K975, (G975-K975) *
INDEX('2018_commission_structure'!$A$1:$I$4,
MATCH($D975, '2018_commission_structure'!$A$1:$A$4,0),
MATCH(R$1, '2018_commission_structure'!$A$1:$I$1,0)), 0)</f>
        <v>0</v>
      </c>
      <c r="S975" s="11">
        <f t="shared" si="95"/>
        <v>0</v>
      </c>
      <c r="T975" s="11" cm="1">
        <f t="array" ref="T975">SUM(E975+O975:Q975)</f>
        <v>208932</v>
      </c>
    </row>
    <row r="976" spans="1:20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 xml:space="preserve"> COUNTIF(deals_closed!D:D,A976)</f>
        <v>20</v>
      </c>
      <c r="G976" s="5">
        <f>SUMIF(deals_closed!D:D, calculations!A976, deals_closed!C:C)</f>
        <v>671623</v>
      </c>
      <c r="H976" s="5">
        <f>VLOOKUP(D976,'2018_commission_structure'!$A$2:$I$4,9,FALSE)</f>
        <v>600000</v>
      </c>
      <c r="I976" s="9">
        <f t="shared" si="90"/>
        <v>750000</v>
      </c>
      <c r="J976" s="8">
        <f t="shared" si="91"/>
        <v>900000</v>
      </c>
      <c r="K976" s="9">
        <f t="shared" si="92"/>
        <v>1200000</v>
      </c>
      <c r="L976" s="10">
        <f t="shared" si="93"/>
        <v>1.1193716666666667</v>
      </c>
      <c r="M976" t="str">
        <f t="shared" si="94"/>
        <v>100-125%</v>
      </c>
      <c r="N976" s="9">
        <f>MIN(H976, G976)*INDEX('2018_commission_structure'!$A$1:$I$4,
MATCH($D976, '2018_commission_structure'!$A$1:$A$4,0),
MATCH(N$1, '2018_commission_structure'!$A$1:$I$1,0))</f>
        <v>78000</v>
      </c>
      <c r="O976" s="11">
        <f>IF(G976&gt;H976, MIN(G976-H976, I976-H976)*
INDEX('2018_commission_structure'!$A$1:$I$4,
MATCH($D976, '2018_commission_structure'!$A$1:$A$4, 0),
MATCH(O$1, '2018_commission_structure'!$A$1:$I$1, 0)), 0)</f>
        <v>12175.910000000002</v>
      </c>
      <c r="P976" s="11">
        <f>IF(G976&gt;H976, MIN(G976-H976, J976-H976)*
INDEX('2018_commission_structure'!$A$1:$I$4,
MATCH($D976, '2018_commission_structure'!$A$1:$A$4, 0),
MATCH(O$1, '2018_commission_structure'!$A$1:$I$1, 0)), 0)</f>
        <v>12175.910000000002</v>
      </c>
      <c r="Q976" s="11">
        <f>IF(G976&gt;H976, MIN(G976-H976, I976-H976)*
INDEX('2018_commission_structure'!$A$1:$I$4,
MATCH($D976, '2018_commission_structure'!$A$1:$A$4, 0),
MATCH(P$1, '2018_commission_structure'!$A$1:$I$1, 0)), 0)</f>
        <v>15040.83</v>
      </c>
      <c r="R976" s="11">
        <f>IF(G976&gt;K976, (G976-K976) *
INDEX('2018_commission_structure'!$A$1:$I$4,
MATCH($D976, '2018_commission_structure'!$A$1:$A$4,0),
MATCH(R$1, '2018_commission_structure'!$A$1:$I$1,0)), 0)</f>
        <v>0</v>
      </c>
      <c r="S976" s="11">
        <f t="shared" si="95"/>
        <v>39392.65</v>
      </c>
      <c r="T976" s="11" cm="1">
        <f t="array" ref="T976">SUM(E976+O976:Q976)</f>
        <v>270557.65000000002</v>
      </c>
    </row>
    <row r="977" spans="1:20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 xml:space="preserve"> COUNTIF(deals_closed!D:D,A977)</f>
        <v>29</v>
      </c>
      <c r="G977" s="5">
        <f>SUMIF(deals_closed!D:D, calculations!A977, deals_closed!C:C)</f>
        <v>973243</v>
      </c>
      <c r="H977" s="5">
        <f>VLOOKUP(D977,'2018_commission_structure'!$A$2:$I$4,9,FALSE)</f>
        <v>750000</v>
      </c>
      <c r="I977" s="9">
        <f t="shared" si="90"/>
        <v>937500</v>
      </c>
      <c r="J977" s="8">
        <f t="shared" si="91"/>
        <v>1125000</v>
      </c>
      <c r="K977" s="9">
        <f t="shared" si="92"/>
        <v>1500000</v>
      </c>
      <c r="L977" s="10">
        <f t="shared" si="93"/>
        <v>1.2976573333333334</v>
      </c>
      <c r="M977" t="str">
        <f t="shared" si="94"/>
        <v>125-150%</v>
      </c>
      <c r="N977" s="9">
        <f>MIN(H977, G977)*INDEX('2018_commission_structure'!$A$1:$I$4,
MATCH($D977, '2018_commission_structure'!$A$1:$A$4,0),
MATCH(N$1, '2018_commission_structure'!$A$1:$I$1,0))</f>
        <v>112500</v>
      </c>
      <c r="O977" s="11">
        <f>IF(G977&gt;H977, MIN(G977-H977, I977-H977)*
INDEX('2018_commission_structure'!$A$1:$I$4,
MATCH($D977, '2018_commission_structure'!$A$1:$A$4, 0),
MATCH(O$1, '2018_commission_structure'!$A$1:$I$1, 0)), 0)</f>
        <v>35625</v>
      </c>
      <c r="P977" s="11">
        <f>IF(G977&gt;H977, MIN(G977-H977, J977-H977)*
INDEX('2018_commission_structure'!$A$1:$I$4,
MATCH($D977, '2018_commission_structure'!$A$1:$A$4, 0),
MATCH(O$1, '2018_commission_structure'!$A$1:$I$1, 0)), 0)</f>
        <v>42416.17</v>
      </c>
      <c r="Q977" s="11">
        <f>IF(G977&gt;H977, MIN(G977-H977, I977-H977)*
INDEX('2018_commission_structure'!$A$1:$I$4,
MATCH($D977, '2018_commission_structure'!$A$1:$A$4, 0),
MATCH(P$1, '2018_commission_structure'!$A$1:$I$1, 0)), 0)</f>
        <v>43125</v>
      </c>
      <c r="R977" s="11">
        <f>IF(G977&gt;K977, (G977-K977) *
INDEX('2018_commission_structure'!$A$1:$I$4,
MATCH($D977, '2018_commission_structure'!$A$1:$A$4,0),
MATCH(R$1, '2018_commission_structure'!$A$1:$I$1,0)), 0)</f>
        <v>0</v>
      </c>
      <c r="S977" s="11">
        <f t="shared" si="95"/>
        <v>121166.17</v>
      </c>
      <c r="T977" s="11" cm="1">
        <f t="array" ref="T977">SUM(E977+O977:Q977)</f>
        <v>450008.17</v>
      </c>
    </row>
    <row r="978" spans="1:20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 xml:space="preserve"> COUNTIF(deals_closed!D:D,A978)</f>
        <v>11</v>
      </c>
      <c r="G978" s="5">
        <f>SUMIF(deals_closed!D:D, calculations!A978, deals_closed!C:C)</f>
        <v>423642</v>
      </c>
      <c r="H978" s="5">
        <f>VLOOKUP(D978,'2018_commission_structure'!$A$2:$I$4,9,FALSE)</f>
        <v>500000</v>
      </c>
      <c r="I978" s="9">
        <f t="shared" si="90"/>
        <v>625000</v>
      </c>
      <c r="J978" s="8">
        <f t="shared" si="91"/>
        <v>750000</v>
      </c>
      <c r="K978" s="9">
        <f t="shared" si="92"/>
        <v>1000000</v>
      </c>
      <c r="L978" s="10">
        <f t="shared" si="93"/>
        <v>0.84728400000000004</v>
      </c>
      <c r="M978" t="str">
        <f t="shared" si="94"/>
        <v>0-100%</v>
      </c>
      <c r="N978" s="9">
        <f>MIN(H978, G978)*INDEX('2018_commission_structure'!$A$1:$I$4,
MATCH($D978, '2018_commission_structure'!$A$1:$A$4,0),
MATCH(N$1, '2018_commission_structure'!$A$1:$I$1,0))</f>
        <v>42364.200000000004</v>
      </c>
      <c r="O978" s="11">
        <f>IF(G978&gt;H978, MIN(G978-H978, I978-H978)*
INDEX('2018_commission_structure'!$A$1:$I$4,
MATCH($D978, '2018_commission_structure'!$A$1:$A$4, 0),
MATCH(O$1, '2018_commission_structure'!$A$1:$I$1, 0)), 0)</f>
        <v>0</v>
      </c>
      <c r="P978" s="11">
        <f>IF(G978&gt;H978, MIN(G978-H978, J978-H978)*
INDEX('2018_commission_structure'!$A$1:$I$4,
MATCH($D978, '2018_commission_structure'!$A$1:$A$4, 0),
MATCH(O$1, '2018_commission_structure'!$A$1:$I$1, 0)), 0)</f>
        <v>0</v>
      </c>
      <c r="Q978" s="11">
        <f>IF(G978&gt;H978, MIN(G978-H978, I978-H978)*
INDEX('2018_commission_structure'!$A$1:$I$4,
MATCH($D978, '2018_commission_structure'!$A$1:$A$4, 0),
MATCH(P$1, '2018_commission_structure'!$A$1:$I$1, 0)), 0)</f>
        <v>0</v>
      </c>
      <c r="R978" s="11">
        <f>IF(G978&gt;K978, (G978-K978) *
INDEX('2018_commission_structure'!$A$1:$I$4,
MATCH($D978, '2018_commission_structure'!$A$1:$A$4,0),
MATCH(R$1, '2018_commission_structure'!$A$1:$I$1,0)), 0)</f>
        <v>0</v>
      </c>
      <c r="S978" s="11">
        <f t="shared" si="95"/>
        <v>0</v>
      </c>
      <c r="T978" s="11" cm="1">
        <f t="array" ref="T978">SUM(E978+O978:Q978)</f>
        <v>99105</v>
      </c>
    </row>
    <row r="979" spans="1:20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 xml:space="preserve"> COUNTIF(deals_closed!D:D,A979)</f>
        <v>23</v>
      </c>
      <c r="G979" s="5">
        <f>SUMIF(deals_closed!D:D, calculations!A979, deals_closed!C:C)</f>
        <v>745490</v>
      </c>
      <c r="H979" s="5">
        <f>VLOOKUP(D979,'2018_commission_structure'!$A$2:$I$4,9,FALSE)</f>
        <v>750000</v>
      </c>
      <c r="I979" s="9">
        <f t="shared" si="90"/>
        <v>937500</v>
      </c>
      <c r="J979" s="8">
        <f t="shared" si="91"/>
        <v>1125000</v>
      </c>
      <c r="K979" s="9">
        <f t="shared" si="92"/>
        <v>1500000</v>
      </c>
      <c r="L979" s="10">
        <f t="shared" si="93"/>
        <v>0.99398666666666669</v>
      </c>
      <c r="M979" t="str">
        <f t="shared" si="94"/>
        <v>0-100%</v>
      </c>
      <c r="N979" s="9">
        <f>MIN(H979, G979)*INDEX('2018_commission_structure'!$A$1:$I$4,
MATCH($D979, '2018_commission_structure'!$A$1:$A$4,0),
MATCH(N$1, '2018_commission_structure'!$A$1:$I$1,0))</f>
        <v>111823.5</v>
      </c>
      <c r="O979" s="11">
        <f>IF(G979&gt;H979, MIN(G979-H979, I979-H979)*
INDEX('2018_commission_structure'!$A$1:$I$4,
MATCH($D979, '2018_commission_structure'!$A$1:$A$4, 0),
MATCH(O$1, '2018_commission_structure'!$A$1:$I$1, 0)), 0)</f>
        <v>0</v>
      </c>
      <c r="P979" s="11">
        <f>IF(G979&gt;H979, MIN(G979-H979, J979-H979)*
INDEX('2018_commission_structure'!$A$1:$I$4,
MATCH($D979, '2018_commission_structure'!$A$1:$A$4, 0),
MATCH(O$1, '2018_commission_structure'!$A$1:$I$1, 0)), 0)</f>
        <v>0</v>
      </c>
      <c r="Q979" s="11">
        <f>IF(G979&gt;H979, MIN(G979-H979, I979-H979)*
INDEX('2018_commission_structure'!$A$1:$I$4,
MATCH($D979, '2018_commission_structure'!$A$1:$A$4, 0),
MATCH(P$1, '2018_commission_structure'!$A$1:$I$1, 0)), 0)</f>
        <v>0</v>
      </c>
      <c r="R979" s="11">
        <f>IF(G979&gt;K979, (G979-K979) *
INDEX('2018_commission_structure'!$A$1:$I$4,
MATCH($D979, '2018_commission_structure'!$A$1:$A$4,0),
MATCH(R$1, '2018_commission_structure'!$A$1:$I$1,0)), 0)</f>
        <v>0</v>
      </c>
      <c r="S979" s="11">
        <f t="shared" si="95"/>
        <v>0</v>
      </c>
      <c r="T979" s="11" cm="1">
        <f t="array" ref="T979">SUM(E979+O979:Q979)</f>
        <v>359229</v>
      </c>
    </row>
    <row r="980" spans="1:20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 xml:space="preserve"> COUNTIF(deals_closed!D:D,A980)</f>
        <v>29</v>
      </c>
      <c r="G980" s="5">
        <f>SUMIF(deals_closed!D:D, calculations!A980, deals_closed!C:C)</f>
        <v>1194738</v>
      </c>
      <c r="H980" s="5">
        <f>VLOOKUP(D980,'2018_commission_structure'!$A$2:$I$4,9,FALSE)</f>
        <v>750000</v>
      </c>
      <c r="I980" s="9">
        <f t="shared" si="90"/>
        <v>937500</v>
      </c>
      <c r="J980" s="8">
        <f t="shared" si="91"/>
        <v>1125000</v>
      </c>
      <c r="K980" s="9">
        <f t="shared" si="92"/>
        <v>1500000</v>
      </c>
      <c r="L980" s="10">
        <f t="shared" si="93"/>
        <v>1.592984</v>
      </c>
      <c r="M980" t="str">
        <f t="shared" si="94"/>
        <v>150-200%</v>
      </c>
      <c r="N980" s="9">
        <f>MIN(H980, G980)*INDEX('2018_commission_structure'!$A$1:$I$4,
MATCH($D980, '2018_commission_structure'!$A$1:$A$4,0),
MATCH(N$1, '2018_commission_structure'!$A$1:$I$1,0))</f>
        <v>112500</v>
      </c>
      <c r="O980" s="11">
        <f>IF(G980&gt;H980, MIN(G980-H980, I980-H980)*
INDEX('2018_commission_structure'!$A$1:$I$4,
MATCH($D980, '2018_commission_structure'!$A$1:$A$4, 0),
MATCH(O$1, '2018_commission_structure'!$A$1:$I$1, 0)), 0)</f>
        <v>35625</v>
      </c>
      <c r="P980" s="11">
        <f>IF(G980&gt;H980, MIN(G980-H980, J980-H980)*
INDEX('2018_commission_structure'!$A$1:$I$4,
MATCH($D980, '2018_commission_structure'!$A$1:$A$4, 0),
MATCH(O$1, '2018_commission_structure'!$A$1:$I$1, 0)), 0)</f>
        <v>71250</v>
      </c>
      <c r="Q980" s="11">
        <f>IF(G980&gt;H980, MIN(G980-H980, I980-H980)*
INDEX('2018_commission_structure'!$A$1:$I$4,
MATCH($D980, '2018_commission_structure'!$A$1:$A$4, 0),
MATCH(P$1, '2018_commission_structure'!$A$1:$I$1, 0)), 0)</f>
        <v>43125</v>
      </c>
      <c r="R980" s="11">
        <f>IF(G980&gt;K980, (G980-K980) *
INDEX('2018_commission_structure'!$A$1:$I$4,
MATCH($D980, '2018_commission_structure'!$A$1:$A$4,0),
MATCH(R$1, '2018_commission_structure'!$A$1:$I$1,0)), 0)</f>
        <v>0</v>
      </c>
      <c r="S980" s="11">
        <f t="shared" si="95"/>
        <v>150000</v>
      </c>
      <c r="T980" s="11" cm="1">
        <f t="array" ref="T980">SUM(E980+O980:Q980)</f>
        <v>490011</v>
      </c>
    </row>
    <row r="981" spans="1:20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 xml:space="preserve"> COUNTIF(deals_closed!D:D,A981)</f>
        <v>21</v>
      </c>
      <c r="G981" s="5">
        <f>SUMIF(deals_closed!D:D, calculations!A981, deals_closed!C:C)</f>
        <v>615075</v>
      </c>
      <c r="H981" s="5">
        <f>VLOOKUP(D981,'2018_commission_structure'!$A$2:$I$4,9,FALSE)</f>
        <v>750000</v>
      </c>
      <c r="I981" s="9">
        <f t="shared" si="90"/>
        <v>937500</v>
      </c>
      <c r="J981" s="8">
        <f t="shared" si="91"/>
        <v>1125000</v>
      </c>
      <c r="K981" s="9">
        <f t="shared" si="92"/>
        <v>1500000</v>
      </c>
      <c r="L981" s="10">
        <f t="shared" si="93"/>
        <v>0.82010000000000005</v>
      </c>
      <c r="M981" t="str">
        <f t="shared" si="94"/>
        <v>0-100%</v>
      </c>
      <c r="N981" s="9">
        <f>MIN(H981, G981)*INDEX('2018_commission_structure'!$A$1:$I$4,
MATCH($D981, '2018_commission_structure'!$A$1:$A$4,0),
MATCH(N$1, '2018_commission_structure'!$A$1:$I$1,0))</f>
        <v>92261.25</v>
      </c>
      <c r="O981" s="11">
        <f>IF(G981&gt;H981, MIN(G981-H981, I981-H981)*
INDEX('2018_commission_structure'!$A$1:$I$4,
MATCH($D981, '2018_commission_structure'!$A$1:$A$4, 0),
MATCH(O$1, '2018_commission_structure'!$A$1:$I$1, 0)), 0)</f>
        <v>0</v>
      </c>
      <c r="P981" s="11">
        <f>IF(G981&gt;H981, MIN(G981-H981, J981-H981)*
INDEX('2018_commission_structure'!$A$1:$I$4,
MATCH($D981, '2018_commission_structure'!$A$1:$A$4, 0),
MATCH(O$1, '2018_commission_structure'!$A$1:$I$1, 0)), 0)</f>
        <v>0</v>
      </c>
      <c r="Q981" s="11">
        <f>IF(G981&gt;H981, MIN(G981-H981, I981-H981)*
INDEX('2018_commission_structure'!$A$1:$I$4,
MATCH($D981, '2018_commission_structure'!$A$1:$A$4, 0),
MATCH(P$1, '2018_commission_structure'!$A$1:$I$1, 0)), 0)</f>
        <v>0</v>
      </c>
      <c r="R981" s="11">
        <f>IF(G981&gt;K981, (G981-K981) *
INDEX('2018_commission_structure'!$A$1:$I$4,
MATCH($D981, '2018_commission_structure'!$A$1:$A$4,0),
MATCH(R$1, '2018_commission_structure'!$A$1:$I$1,0)), 0)</f>
        <v>0</v>
      </c>
      <c r="S981" s="11">
        <f t="shared" si="95"/>
        <v>0</v>
      </c>
      <c r="T981" s="11" cm="1">
        <f t="array" ref="T981">SUM(E981+O981:Q981)</f>
        <v>301659</v>
      </c>
    </row>
    <row r="982" spans="1:20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 xml:space="preserve"> COUNTIF(deals_closed!D:D,A982)</f>
        <v>22</v>
      </c>
      <c r="G982" s="5">
        <f>SUMIF(deals_closed!D:D, calculations!A982, deals_closed!C:C)</f>
        <v>838502</v>
      </c>
      <c r="H982" s="5">
        <f>VLOOKUP(D982,'2018_commission_structure'!$A$2:$I$4,9,FALSE)</f>
        <v>500000</v>
      </c>
      <c r="I982" s="9">
        <f t="shared" si="90"/>
        <v>625000</v>
      </c>
      <c r="J982" s="8">
        <f t="shared" si="91"/>
        <v>750000</v>
      </c>
      <c r="K982" s="9">
        <f t="shared" si="92"/>
        <v>1000000</v>
      </c>
      <c r="L982" s="10">
        <f t="shared" si="93"/>
        <v>1.6770039999999999</v>
      </c>
      <c r="M982" t="str">
        <f t="shared" si="94"/>
        <v>150-200%</v>
      </c>
      <c r="N982" s="9">
        <f>MIN(H982, G982)*INDEX('2018_commission_structure'!$A$1:$I$4,
MATCH($D982, '2018_commission_structure'!$A$1:$A$4,0),
MATCH(N$1, '2018_commission_structure'!$A$1:$I$1,0))</f>
        <v>50000</v>
      </c>
      <c r="O982" s="11">
        <f>IF(G982&gt;H982, MIN(G982-H982, I982-H982)*
INDEX('2018_commission_structure'!$A$1:$I$4,
MATCH($D982, '2018_commission_structure'!$A$1:$A$4, 0),
MATCH(O$1, '2018_commission_structure'!$A$1:$I$1, 0)), 0)</f>
        <v>18750</v>
      </c>
      <c r="P982" s="11">
        <f>IF(G982&gt;H982, MIN(G982-H982, J982-H982)*
INDEX('2018_commission_structure'!$A$1:$I$4,
MATCH($D982, '2018_commission_structure'!$A$1:$A$4, 0),
MATCH(O$1, '2018_commission_structure'!$A$1:$I$1, 0)), 0)</f>
        <v>37500</v>
      </c>
      <c r="Q982" s="11">
        <f>IF(G982&gt;H982, MIN(G982-H982, I982-H982)*
INDEX('2018_commission_structure'!$A$1:$I$4,
MATCH($D982, '2018_commission_structure'!$A$1:$A$4, 0),
MATCH(P$1, '2018_commission_structure'!$A$1:$I$1, 0)), 0)</f>
        <v>22500</v>
      </c>
      <c r="R982" s="11">
        <f>IF(G982&gt;K982, (G982-K982) *
INDEX('2018_commission_structure'!$A$1:$I$4,
MATCH($D982, '2018_commission_structure'!$A$1:$A$4,0),
MATCH(R$1, '2018_commission_structure'!$A$1:$I$1,0)), 0)</f>
        <v>0</v>
      </c>
      <c r="S982" s="11">
        <f t="shared" si="95"/>
        <v>78750</v>
      </c>
      <c r="T982" s="11" cm="1">
        <f t="array" ref="T982">SUM(E982+O982:Q982)</f>
        <v>241935</v>
      </c>
    </row>
    <row r="983" spans="1:20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 xml:space="preserve"> COUNTIF(deals_closed!D:D,A983)</f>
        <v>31</v>
      </c>
      <c r="G983" s="5">
        <f>SUMIF(deals_closed!D:D, calculations!A983, deals_closed!C:C)</f>
        <v>1064286</v>
      </c>
      <c r="H983" s="5">
        <f>VLOOKUP(D983,'2018_commission_structure'!$A$2:$I$4,9,FALSE)</f>
        <v>500000</v>
      </c>
      <c r="I983" s="9">
        <f t="shared" si="90"/>
        <v>625000</v>
      </c>
      <c r="J983" s="8">
        <f t="shared" si="91"/>
        <v>750000</v>
      </c>
      <c r="K983" s="9">
        <f t="shared" si="92"/>
        <v>1000000</v>
      </c>
      <c r="L983" s="10">
        <f t="shared" si="93"/>
        <v>2.1285720000000001</v>
      </c>
      <c r="M983" t="str">
        <f t="shared" si="94"/>
        <v>&gt;200%</v>
      </c>
      <c r="N983" s="9">
        <f>MIN(H983, G983)*INDEX('2018_commission_structure'!$A$1:$I$4,
MATCH($D983, '2018_commission_structure'!$A$1:$A$4,0),
MATCH(N$1, '2018_commission_structure'!$A$1:$I$1,0))</f>
        <v>50000</v>
      </c>
      <c r="O983" s="11">
        <f>IF(G983&gt;H983, MIN(G983-H983, I983-H983)*
INDEX('2018_commission_structure'!$A$1:$I$4,
MATCH($D983, '2018_commission_structure'!$A$1:$A$4, 0),
MATCH(O$1, '2018_commission_structure'!$A$1:$I$1, 0)), 0)</f>
        <v>18750</v>
      </c>
      <c r="P983" s="11">
        <f>IF(G983&gt;H983, MIN(G983-H983, J983-H983)*
INDEX('2018_commission_structure'!$A$1:$I$4,
MATCH($D983, '2018_commission_structure'!$A$1:$A$4, 0),
MATCH(O$1, '2018_commission_structure'!$A$1:$I$1, 0)), 0)</f>
        <v>37500</v>
      </c>
      <c r="Q983" s="11">
        <f>IF(G983&gt;H983, MIN(G983-H983, I983-H983)*
INDEX('2018_commission_structure'!$A$1:$I$4,
MATCH($D983, '2018_commission_structure'!$A$1:$A$4, 0),
MATCH(P$1, '2018_commission_structure'!$A$1:$I$1, 0)), 0)</f>
        <v>22500</v>
      </c>
      <c r="R983" s="11">
        <f>IF(G983&gt;K983, (G983-K983) *
INDEX('2018_commission_structure'!$A$1:$I$4,
MATCH($D983, '2018_commission_structure'!$A$1:$A$4,0),
MATCH(R$1, '2018_commission_structure'!$A$1:$I$1,0)), 0)</f>
        <v>6428.6</v>
      </c>
      <c r="S983" s="11">
        <f t="shared" si="95"/>
        <v>78750</v>
      </c>
      <c r="T983" s="11" cm="1">
        <f t="array" ref="T983">SUM(E983+O983:Q983)</f>
        <v>180780</v>
      </c>
    </row>
    <row r="984" spans="1:20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 xml:space="preserve"> COUNTIF(deals_closed!D:D,A984)</f>
        <v>25</v>
      </c>
      <c r="G984" s="5">
        <f>SUMIF(deals_closed!D:D, calculations!A984, deals_closed!C:C)</f>
        <v>864106</v>
      </c>
      <c r="H984" s="5">
        <f>VLOOKUP(D984,'2018_commission_structure'!$A$2:$I$4,9,FALSE)</f>
        <v>600000</v>
      </c>
      <c r="I984" s="9">
        <f t="shared" si="90"/>
        <v>750000</v>
      </c>
      <c r="J984" s="8">
        <f t="shared" si="91"/>
        <v>900000</v>
      </c>
      <c r="K984" s="9">
        <f t="shared" si="92"/>
        <v>1200000</v>
      </c>
      <c r="L984" s="10">
        <f t="shared" si="93"/>
        <v>1.4401766666666667</v>
      </c>
      <c r="M984" t="str">
        <f t="shared" si="94"/>
        <v>125-150%</v>
      </c>
      <c r="N984" s="9">
        <f>MIN(H984, G984)*INDEX('2018_commission_structure'!$A$1:$I$4,
MATCH($D984, '2018_commission_structure'!$A$1:$A$4,0),
MATCH(N$1, '2018_commission_structure'!$A$1:$I$1,0))</f>
        <v>78000</v>
      </c>
      <c r="O984" s="11">
        <f>IF(G984&gt;H984, MIN(G984-H984, I984-H984)*
INDEX('2018_commission_structure'!$A$1:$I$4,
MATCH($D984, '2018_commission_structure'!$A$1:$A$4, 0),
MATCH(O$1, '2018_commission_structure'!$A$1:$I$1, 0)), 0)</f>
        <v>25500.000000000004</v>
      </c>
      <c r="P984" s="11">
        <f>IF(G984&gt;H984, MIN(G984-H984, J984-H984)*
INDEX('2018_commission_structure'!$A$1:$I$4,
MATCH($D984, '2018_commission_structure'!$A$1:$A$4, 0),
MATCH(O$1, '2018_commission_structure'!$A$1:$I$1, 0)), 0)</f>
        <v>44898.020000000004</v>
      </c>
      <c r="Q984" s="11">
        <f>IF(G984&gt;H984, MIN(G984-H984, I984-H984)*
INDEX('2018_commission_structure'!$A$1:$I$4,
MATCH($D984, '2018_commission_structure'!$A$1:$A$4, 0),
MATCH(P$1, '2018_commission_structure'!$A$1:$I$1, 0)), 0)</f>
        <v>31500</v>
      </c>
      <c r="R984" s="11">
        <f>IF(G984&gt;K984, (G984-K984) *
INDEX('2018_commission_structure'!$A$1:$I$4,
MATCH($D984, '2018_commission_structure'!$A$1:$A$4,0),
MATCH(R$1, '2018_commission_structure'!$A$1:$I$1,0)), 0)</f>
        <v>0</v>
      </c>
      <c r="S984" s="11">
        <f t="shared" si="95"/>
        <v>101898.02</v>
      </c>
      <c r="T984" s="11" cm="1">
        <f t="array" ref="T984">SUM(E984+O984:Q984)</f>
        <v>302757.02</v>
      </c>
    </row>
    <row r="985" spans="1:20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 xml:space="preserve"> COUNTIF(deals_closed!D:D,A985)</f>
        <v>26</v>
      </c>
      <c r="G985" s="5">
        <f>SUMIF(deals_closed!D:D, calculations!A985, deals_closed!C:C)</f>
        <v>924420</v>
      </c>
      <c r="H985" s="5">
        <f>VLOOKUP(D985,'2018_commission_structure'!$A$2:$I$4,9,FALSE)</f>
        <v>500000</v>
      </c>
      <c r="I985" s="9">
        <f t="shared" si="90"/>
        <v>625000</v>
      </c>
      <c r="J985" s="8">
        <f t="shared" si="91"/>
        <v>750000</v>
      </c>
      <c r="K985" s="9">
        <f t="shared" si="92"/>
        <v>1000000</v>
      </c>
      <c r="L985" s="10">
        <f t="shared" si="93"/>
        <v>1.84884</v>
      </c>
      <c r="M985" t="str">
        <f t="shared" si="94"/>
        <v>150-200%</v>
      </c>
      <c r="N985" s="9">
        <f>MIN(H985, G985)*INDEX('2018_commission_structure'!$A$1:$I$4,
MATCH($D985, '2018_commission_structure'!$A$1:$A$4,0),
MATCH(N$1, '2018_commission_structure'!$A$1:$I$1,0))</f>
        <v>50000</v>
      </c>
      <c r="O985" s="11">
        <f>IF(G985&gt;H985, MIN(G985-H985, I985-H985)*
INDEX('2018_commission_structure'!$A$1:$I$4,
MATCH($D985, '2018_commission_structure'!$A$1:$A$4, 0),
MATCH(O$1, '2018_commission_structure'!$A$1:$I$1, 0)), 0)</f>
        <v>18750</v>
      </c>
      <c r="P985" s="11">
        <f>IF(G985&gt;H985, MIN(G985-H985, J985-H985)*
INDEX('2018_commission_structure'!$A$1:$I$4,
MATCH($D985, '2018_commission_structure'!$A$1:$A$4, 0),
MATCH(O$1, '2018_commission_structure'!$A$1:$I$1, 0)), 0)</f>
        <v>37500</v>
      </c>
      <c r="Q985" s="11">
        <f>IF(G985&gt;H985, MIN(G985-H985, I985-H985)*
INDEX('2018_commission_structure'!$A$1:$I$4,
MATCH($D985, '2018_commission_structure'!$A$1:$A$4, 0),
MATCH(P$1, '2018_commission_structure'!$A$1:$I$1, 0)), 0)</f>
        <v>22500</v>
      </c>
      <c r="R985" s="11">
        <f>IF(G985&gt;K985, (G985-K985) *
INDEX('2018_commission_structure'!$A$1:$I$4,
MATCH($D985, '2018_commission_structure'!$A$1:$A$4,0),
MATCH(R$1, '2018_commission_structure'!$A$1:$I$1,0)), 0)</f>
        <v>0</v>
      </c>
      <c r="S985" s="11">
        <f t="shared" si="95"/>
        <v>78750</v>
      </c>
      <c r="T985" s="11" cm="1">
        <f t="array" ref="T985">SUM(E985+O985:Q985)</f>
        <v>261756</v>
      </c>
    </row>
    <row r="986" spans="1:20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 xml:space="preserve"> COUNTIF(deals_closed!D:D,A986)</f>
        <v>17</v>
      </c>
      <c r="G986" s="5">
        <f>SUMIF(deals_closed!D:D, calculations!A986, deals_closed!C:C)</f>
        <v>495757</v>
      </c>
      <c r="H986" s="5">
        <f>VLOOKUP(D986,'2018_commission_structure'!$A$2:$I$4,9,FALSE)</f>
        <v>500000</v>
      </c>
      <c r="I986" s="9">
        <f t="shared" si="90"/>
        <v>625000</v>
      </c>
      <c r="J986" s="8">
        <f t="shared" si="91"/>
        <v>750000</v>
      </c>
      <c r="K986" s="9">
        <f t="shared" si="92"/>
        <v>1000000</v>
      </c>
      <c r="L986" s="10">
        <f t="shared" si="93"/>
        <v>0.99151400000000001</v>
      </c>
      <c r="M986" t="str">
        <f t="shared" si="94"/>
        <v>0-100%</v>
      </c>
      <c r="N986" s="9">
        <f>MIN(H986, G986)*INDEX('2018_commission_structure'!$A$1:$I$4,
MATCH($D986, '2018_commission_structure'!$A$1:$A$4,0),
MATCH(N$1, '2018_commission_structure'!$A$1:$I$1,0))</f>
        <v>49575.700000000004</v>
      </c>
      <c r="O986" s="11">
        <f>IF(G986&gt;H986, MIN(G986-H986, I986-H986)*
INDEX('2018_commission_structure'!$A$1:$I$4,
MATCH($D986, '2018_commission_structure'!$A$1:$A$4, 0),
MATCH(O$1, '2018_commission_structure'!$A$1:$I$1, 0)), 0)</f>
        <v>0</v>
      </c>
      <c r="P986" s="11">
        <f>IF(G986&gt;H986, MIN(G986-H986, J986-H986)*
INDEX('2018_commission_structure'!$A$1:$I$4,
MATCH($D986, '2018_commission_structure'!$A$1:$A$4, 0),
MATCH(O$1, '2018_commission_structure'!$A$1:$I$1, 0)), 0)</f>
        <v>0</v>
      </c>
      <c r="Q986" s="11">
        <f>IF(G986&gt;H986, MIN(G986-H986, I986-H986)*
INDEX('2018_commission_structure'!$A$1:$I$4,
MATCH($D986, '2018_commission_structure'!$A$1:$A$4, 0),
MATCH(P$1, '2018_commission_structure'!$A$1:$I$1, 0)), 0)</f>
        <v>0</v>
      </c>
      <c r="R986" s="11">
        <f>IF(G986&gt;K986, (G986-K986) *
INDEX('2018_commission_structure'!$A$1:$I$4,
MATCH($D986, '2018_commission_structure'!$A$1:$A$4,0),
MATCH(R$1, '2018_commission_structure'!$A$1:$I$1,0)), 0)</f>
        <v>0</v>
      </c>
      <c r="S986" s="11">
        <f t="shared" si="95"/>
        <v>0</v>
      </c>
      <c r="T986" s="11" cm="1">
        <f t="array" ref="T986">SUM(E986+O986:Q986)</f>
        <v>167484</v>
      </c>
    </row>
    <row r="987" spans="1:20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 xml:space="preserve"> COUNTIF(deals_closed!D:D,A987)</f>
        <v>22</v>
      </c>
      <c r="G987" s="5">
        <f>SUMIF(deals_closed!D:D, calculations!A987, deals_closed!C:C)</f>
        <v>828299</v>
      </c>
      <c r="H987" s="5">
        <f>VLOOKUP(D987,'2018_commission_structure'!$A$2:$I$4,9,FALSE)</f>
        <v>750000</v>
      </c>
      <c r="I987" s="9">
        <f t="shared" si="90"/>
        <v>937500</v>
      </c>
      <c r="J987" s="8">
        <f t="shared" si="91"/>
        <v>1125000</v>
      </c>
      <c r="K987" s="9">
        <f t="shared" si="92"/>
        <v>1500000</v>
      </c>
      <c r="L987" s="10">
        <f t="shared" si="93"/>
        <v>1.1043986666666668</v>
      </c>
      <c r="M987" t="str">
        <f t="shared" si="94"/>
        <v>100-125%</v>
      </c>
      <c r="N987" s="9">
        <f>MIN(H987, G987)*INDEX('2018_commission_structure'!$A$1:$I$4,
MATCH($D987, '2018_commission_structure'!$A$1:$A$4,0),
MATCH(N$1, '2018_commission_structure'!$A$1:$I$1,0))</f>
        <v>112500</v>
      </c>
      <c r="O987" s="11">
        <f>IF(G987&gt;H987, MIN(G987-H987, I987-H987)*
INDEX('2018_commission_structure'!$A$1:$I$4,
MATCH($D987, '2018_commission_structure'!$A$1:$A$4, 0),
MATCH(O$1, '2018_commission_structure'!$A$1:$I$1, 0)), 0)</f>
        <v>14876.81</v>
      </c>
      <c r="P987" s="11">
        <f>IF(G987&gt;H987, MIN(G987-H987, J987-H987)*
INDEX('2018_commission_structure'!$A$1:$I$4,
MATCH($D987, '2018_commission_structure'!$A$1:$A$4, 0),
MATCH(O$1, '2018_commission_structure'!$A$1:$I$1, 0)), 0)</f>
        <v>14876.81</v>
      </c>
      <c r="Q987" s="11">
        <f>IF(G987&gt;H987, MIN(G987-H987, I987-H987)*
INDEX('2018_commission_structure'!$A$1:$I$4,
MATCH($D987, '2018_commission_structure'!$A$1:$A$4, 0),
MATCH(P$1, '2018_commission_structure'!$A$1:$I$1, 0)), 0)</f>
        <v>18008.77</v>
      </c>
      <c r="R987" s="11">
        <f>IF(G987&gt;K987, (G987-K987) *
INDEX('2018_commission_structure'!$A$1:$I$4,
MATCH($D987, '2018_commission_structure'!$A$1:$A$4,0),
MATCH(R$1, '2018_commission_structure'!$A$1:$I$1,0)), 0)</f>
        <v>0</v>
      </c>
      <c r="S987" s="11">
        <f t="shared" si="95"/>
        <v>47762.39</v>
      </c>
      <c r="T987" s="11" cm="1">
        <f t="array" ref="T987">SUM(E987+O987:Q987)</f>
        <v>391895.39</v>
      </c>
    </row>
    <row r="988" spans="1:20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 xml:space="preserve"> COUNTIF(deals_closed!D:D,A988)</f>
        <v>30</v>
      </c>
      <c r="G988" s="5">
        <f>SUMIF(deals_closed!D:D, calculations!A988, deals_closed!C:C)</f>
        <v>1025894</v>
      </c>
      <c r="H988" s="5">
        <f>VLOOKUP(D988,'2018_commission_structure'!$A$2:$I$4,9,FALSE)</f>
        <v>500000</v>
      </c>
      <c r="I988" s="9">
        <f t="shared" si="90"/>
        <v>625000</v>
      </c>
      <c r="J988" s="8">
        <f t="shared" si="91"/>
        <v>750000</v>
      </c>
      <c r="K988" s="9">
        <f t="shared" si="92"/>
        <v>1000000</v>
      </c>
      <c r="L988" s="10">
        <f t="shared" si="93"/>
        <v>2.0517880000000002</v>
      </c>
      <c r="M988" t="str">
        <f t="shared" si="94"/>
        <v>&gt;200%</v>
      </c>
      <c r="N988" s="9">
        <f>MIN(H988, G988)*INDEX('2018_commission_structure'!$A$1:$I$4,
MATCH($D988, '2018_commission_structure'!$A$1:$A$4,0),
MATCH(N$1, '2018_commission_structure'!$A$1:$I$1,0))</f>
        <v>50000</v>
      </c>
      <c r="O988" s="11">
        <f>IF(G988&gt;H988, MIN(G988-H988, I988-H988)*
INDEX('2018_commission_structure'!$A$1:$I$4,
MATCH($D988, '2018_commission_structure'!$A$1:$A$4, 0),
MATCH(O$1, '2018_commission_structure'!$A$1:$I$1, 0)), 0)</f>
        <v>18750</v>
      </c>
      <c r="P988" s="11">
        <f>IF(G988&gt;H988, MIN(G988-H988, J988-H988)*
INDEX('2018_commission_structure'!$A$1:$I$4,
MATCH($D988, '2018_commission_structure'!$A$1:$A$4, 0),
MATCH(O$1, '2018_commission_structure'!$A$1:$I$1, 0)), 0)</f>
        <v>37500</v>
      </c>
      <c r="Q988" s="11">
        <f>IF(G988&gt;H988, MIN(G988-H988, I988-H988)*
INDEX('2018_commission_structure'!$A$1:$I$4,
MATCH($D988, '2018_commission_structure'!$A$1:$A$4, 0),
MATCH(P$1, '2018_commission_structure'!$A$1:$I$1, 0)), 0)</f>
        <v>22500</v>
      </c>
      <c r="R988" s="11">
        <f>IF(G988&gt;K988, (G988-K988) *
INDEX('2018_commission_structure'!$A$1:$I$4,
MATCH($D988, '2018_commission_structure'!$A$1:$A$4,0),
MATCH(R$1, '2018_commission_structure'!$A$1:$I$1,0)), 0)</f>
        <v>2589.4</v>
      </c>
      <c r="S988" s="11">
        <f t="shared" si="95"/>
        <v>78750</v>
      </c>
      <c r="T988" s="11" cm="1">
        <f t="array" ref="T988">SUM(E988+O988:Q988)</f>
        <v>270195</v>
      </c>
    </row>
    <row r="989" spans="1:20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 xml:space="preserve"> COUNTIF(deals_closed!D:D,A989)</f>
        <v>20</v>
      </c>
      <c r="G989" s="5">
        <f>SUMIF(deals_closed!D:D, calculations!A989, deals_closed!C:C)</f>
        <v>704698</v>
      </c>
      <c r="H989" s="5">
        <f>VLOOKUP(D989,'2018_commission_structure'!$A$2:$I$4,9,FALSE)</f>
        <v>600000</v>
      </c>
      <c r="I989" s="9">
        <f t="shared" si="90"/>
        <v>750000</v>
      </c>
      <c r="J989" s="8">
        <f t="shared" si="91"/>
        <v>900000</v>
      </c>
      <c r="K989" s="9">
        <f t="shared" si="92"/>
        <v>1200000</v>
      </c>
      <c r="L989" s="10">
        <f t="shared" si="93"/>
        <v>1.1744966666666667</v>
      </c>
      <c r="M989" t="str">
        <f t="shared" si="94"/>
        <v>100-125%</v>
      </c>
      <c r="N989" s="9">
        <f>MIN(H989, G989)*INDEX('2018_commission_structure'!$A$1:$I$4,
MATCH($D989, '2018_commission_structure'!$A$1:$A$4,0),
MATCH(N$1, '2018_commission_structure'!$A$1:$I$1,0))</f>
        <v>78000</v>
      </c>
      <c r="O989" s="11">
        <f>IF(G989&gt;H989, MIN(G989-H989, I989-H989)*
INDEX('2018_commission_structure'!$A$1:$I$4,
MATCH($D989, '2018_commission_structure'!$A$1:$A$4, 0),
MATCH(O$1, '2018_commission_structure'!$A$1:$I$1, 0)), 0)</f>
        <v>17798.66</v>
      </c>
      <c r="P989" s="11">
        <f>IF(G989&gt;H989, MIN(G989-H989, J989-H989)*
INDEX('2018_commission_structure'!$A$1:$I$4,
MATCH($D989, '2018_commission_structure'!$A$1:$A$4, 0),
MATCH(O$1, '2018_commission_structure'!$A$1:$I$1, 0)), 0)</f>
        <v>17798.66</v>
      </c>
      <c r="Q989" s="11">
        <f>IF(G989&gt;H989, MIN(G989-H989, I989-H989)*
INDEX('2018_commission_structure'!$A$1:$I$4,
MATCH($D989, '2018_commission_structure'!$A$1:$A$4, 0),
MATCH(P$1, '2018_commission_structure'!$A$1:$I$1, 0)), 0)</f>
        <v>21986.579999999998</v>
      </c>
      <c r="R989" s="11">
        <f>IF(G989&gt;K989, (G989-K989) *
INDEX('2018_commission_structure'!$A$1:$I$4,
MATCH($D989, '2018_commission_structure'!$A$1:$A$4,0),
MATCH(R$1, '2018_commission_structure'!$A$1:$I$1,0)), 0)</f>
        <v>0</v>
      </c>
      <c r="S989" s="11">
        <f t="shared" si="95"/>
        <v>57583.899999999994</v>
      </c>
      <c r="T989" s="11" cm="1">
        <f t="array" ref="T989">SUM(E989+O989:Q989)</f>
        <v>233917.90000000002</v>
      </c>
    </row>
    <row r="990" spans="1:20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 xml:space="preserve"> COUNTIF(deals_closed!D:D,A990)</f>
        <v>23</v>
      </c>
      <c r="G990" s="5">
        <f>SUMIF(deals_closed!D:D, calculations!A990, deals_closed!C:C)</f>
        <v>708390</v>
      </c>
      <c r="H990" s="5">
        <f>VLOOKUP(D990,'2018_commission_structure'!$A$2:$I$4,9,FALSE)</f>
        <v>500000</v>
      </c>
      <c r="I990" s="9">
        <f t="shared" si="90"/>
        <v>625000</v>
      </c>
      <c r="J990" s="8">
        <f t="shared" si="91"/>
        <v>750000</v>
      </c>
      <c r="K990" s="9">
        <f t="shared" si="92"/>
        <v>1000000</v>
      </c>
      <c r="L990" s="10">
        <f t="shared" si="93"/>
        <v>1.4167799999999999</v>
      </c>
      <c r="M990" t="str">
        <f t="shared" si="94"/>
        <v>125-150%</v>
      </c>
      <c r="N990" s="9">
        <f>MIN(H990, G990)*INDEX('2018_commission_structure'!$A$1:$I$4,
MATCH($D990, '2018_commission_structure'!$A$1:$A$4,0),
MATCH(N$1, '2018_commission_structure'!$A$1:$I$1,0))</f>
        <v>50000</v>
      </c>
      <c r="O990" s="11">
        <f>IF(G990&gt;H990, MIN(G990-H990, I990-H990)*
INDEX('2018_commission_structure'!$A$1:$I$4,
MATCH($D990, '2018_commission_structure'!$A$1:$A$4, 0),
MATCH(O$1, '2018_commission_structure'!$A$1:$I$1, 0)), 0)</f>
        <v>18750</v>
      </c>
      <c r="P990" s="11">
        <f>IF(G990&gt;H990, MIN(G990-H990, J990-H990)*
INDEX('2018_commission_structure'!$A$1:$I$4,
MATCH($D990, '2018_commission_structure'!$A$1:$A$4, 0),
MATCH(O$1, '2018_commission_structure'!$A$1:$I$1, 0)), 0)</f>
        <v>31258.5</v>
      </c>
      <c r="Q990" s="11">
        <f>IF(G990&gt;H990, MIN(G990-H990, I990-H990)*
INDEX('2018_commission_structure'!$A$1:$I$4,
MATCH($D990, '2018_commission_structure'!$A$1:$A$4, 0),
MATCH(P$1, '2018_commission_structure'!$A$1:$I$1, 0)), 0)</f>
        <v>22500</v>
      </c>
      <c r="R990" s="11">
        <f>IF(G990&gt;K990, (G990-K990) *
INDEX('2018_commission_structure'!$A$1:$I$4,
MATCH($D990, '2018_commission_structure'!$A$1:$A$4,0),
MATCH(R$1, '2018_commission_structure'!$A$1:$I$1,0)), 0)</f>
        <v>0</v>
      </c>
      <c r="S990" s="11">
        <f t="shared" si="95"/>
        <v>72508.5</v>
      </c>
      <c r="T990" s="11" cm="1">
        <f t="array" ref="T990">SUM(E990+O990:Q990)</f>
        <v>250753.5</v>
      </c>
    </row>
    <row r="991" spans="1:20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 xml:space="preserve"> COUNTIF(deals_closed!D:D,A991)</f>
        <v>13</v>
      </c>
      <c r="G991" s="5">
        <f>SUMIF(deals_closed!D:D, calculations!A991, deals_closed!C:C)</f>
        <v>478069</v>
      </c>
      <c r="H991" s="5">
        <f>VLOOKUP(D991,'2018_commission_structure'!$A$2:$I$4,9,FALSE)</f>
        <v>600000</v>
      </c>
      <c r="I991" s="9">
        <f t="shared" si="90"/>
        <v>750000</v>
      </c>
      <c r="J991" s="8">
        <f t="shared" si="91"/>
        <v>900000</v>
      </c>
      <c r="K991" s="9">
        <f t="shared" si="92"/>
        <v>1200000</v>
      </c>
      <c r="L991" s="10">
        <f t="shared" si="93"/>
        <v>0.79678166666666672</v>
      </c>
      <c r="M991" t="str">
        <f t="shared" si="94"/>
        <v>0-100%</v>
      </c>
      <c r="N991" s="9">
        <f>MIN(H991, G991)*INDEX('2018_commission_structure'!$A$1:$I$4,
MATCH($D991, '2018_commission_structure'!$A$1:$A$4,0),
MATCH(N$1, '2018_commission_structure'!$A$1:$I$1,0))</f>
        <v>62148.97</v>
      </c>
      <c r="O991" s="11">
        <f>IF(G991&gt;H991, MIN(G991-H991, I991-H991)*
INDEX('2018_commission_structure'!$A$1:$I$4,
MATCH($D991, '2018_commission_structure'!$A$1:$A$4, 0),
MATCH(O$1, '2018_commission_structure'!$A$1:$I$1, 0)), 0)</f>
        <v>0</v>
      </c>
      <c r="P991" s="11">
        <f>IF(G991&gt;H991, MIN(G991-H991, J991-H991)*
INDEX('2018_commission_structure'!$A$1:$I$4,
MATCH($D991, '2018_commission_structure'!$A$1:$A$4, 0),
MATCH(O$1, '2018_commission_structure'!$A$1:$I$1, 0)), 0)</f>
        <v>0</v>
      </c>
      <c r="Q991" s="11">
        <f>IF(G991&gt;H991, MIN(G991-H991, I991-H991)*
INDEX('2018_commission_structure'!$A$1:$I$4,
MATCH($D991, '2018_commission_structure'!$A$1:$A$4, 0),
MATCH(P$1, '2018_commission_structure'!$A$1:$I$1, 0)), 0)</f>
        <v>0</v>
      </c>
      <c r="R991" s="11">
        <f>IF(G991&gt;K991, (G991-K991) *
INDEX('2018_commission_structure'!$A$1:$I$4,
MATCH($D991, '2018_commission_structure'!$A$1:$A$4,0),
MATCH(R$1, '2018_commission_structure'!$A$1:$I$1,0)), 0)</f>
        <v>0</v>
      </c>
      <c r="S991" s="11">
        <f t="shared" si="95"/>
        <v>0</v>
      </c>
      <c r="T991" s="11" cm="1">
        <f t="array" ref="T991">SUM(E991+O991:Q991)</f>
        <v>226848</v>
      </c>
    </row>
    <row r="992" spans="1:20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 xml:space="preserve"> COUNTIF(deals_closed!D:D,A992)</f>
        <v>26</v>
      </c>
      <c r="G992" s="5">
        <f>SUMIF(deals_closed!D:D, calculations!A992, deals_closed!C:C)</f>
        <v>1029294</v>
      </c>
      <c r="H992" s="5">
        <f>VLOOKUP(D992,'2018_commission_structure'!$A$2:$I$4,9,FALSE)</f>
        <v>500000</v>
      </c>
      <c r="I992" s="9">
        <f t="shared" si="90"/>
        <v>625000</v>
      </c>
      <c r="J992" s="8">
        <f t="shared" si="91"/>
        <v>750000</v>
      </c>
      <c r="K992" s="9">
        <f t="shared" si="92"/>
        <v>1000000</v>
      </c>
      <c r="L992" s="10">
        <f t="shared" si="93"/>
        <v>2.0585879999999999</v>
      </c>
      <c r="M992" t="str">
        <f t="shared" si="94"/>
        <v>&gt;200%</v>
      </c>
      <c r="N992" s="9">
        <f>MIN(H992, G992)*INDEX('2018_commission_structure'!$A$1:$I$4,
MATCH($D992, '2018_commission_structure'!$A$1:$A$4,0),
MATCH(N$1, '2018_commission_structure'!$A$1:$I$1,0))</f>
        <v>50000</v>
      </c>
      <c r="O992" s="11">
        <f>IF(G992&gt;H992, MIN(G992-H992, I992-H992)*
INDEX('2018_commission_structure'!$A$1:$I$4,
MATCH($D992, '2018_commission_structure'!$A$1:$A$4, 0),
MATCH(O$1, '2018_commission_structure'!$A$1:$I$1, 0)), 0)</f>
        <v>18750</v>
      </c>
      <c r="P992" s="11">
        <f>IF(G992&gt;H992, MIN(G992-H992, J992-H992)*
INDEX('2018_commission_structure'!$A$1:$I$4,
MATCH($D992, '2018_commission_structure'!$A$1:$A$4, 0),
MATCH(O$1, '2018_commission_structure'!$A$1:$I$1, 0)), 0)</f>
        <v>37500</v>
      </c>
      <c r="Q992" s="11">
        <f>IF(G992&gt;H992, MIN(G992-H992, I992-H992)*
INDEX('2018_commission_structure'!$A$1:$I$4,
MATCH($D992, '2018_commission_structure'!$A$1:$A$4, 0),
MATCH(P$1, '2018_commission_structure'!$A$1:$I$1, 0)), 0)</f>
        <v>22500</v>
      </c>
      <c r="R992" s="11">
        <f>IF(G992&gt;K992, (G992-K992) *
INDEX('2018_commission_structure'!$A$1:$I$4,
MATCH($D992, '2018_commission_structure'!$A$1:$A$4,0),
MATCH(R$1, '2018_commission_structure'!$A$1:$I$1,0)), 0)</f>
        <v>2929.4</v>
      </c>
      <c r="S992" s="11">
        <f t="shared" si="95"/>
        <v>78750</v>
      </c>
      <c r="T992" s="11" cm="1">
        <f t="array" ref="T992">SUM(E992+O992:Q992)</f>
        <v>190929</v>
      </c>
    </row>
    <row r="993" spans="1:20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 xml:space="preserve"> COUNTIF(deals_closed!D:D,A993)</f>
        <v>31</v>
      </c>
      <c r="G993" s="5">
        <f>SUMIF(deals_closed!D:D, calculations!A993, deals_closed!C:C)</f>
        <v>1224207</v>
      </c>
      <c r="H993" s="5">
        <f>VLOOKUP(D993,'2018_commission_structure'!$A$2:$I$4,9,FALSE)</f>
        <v>750000</v>
      </c>
      <c r="I993" s="9">
        <f t="shared" si="90"/>
        <v>937500</v>
      </c>
      <c r="J993" s="8">
        <f t="shared" si="91"/>
        <v>1125000</v>
      </c>
      <c r="K993" s="9">
        <f t="shared" si="92"/>
        <v>1500000</v>
      </c>
      <c r="L993" s="10">
        <f t="shared" si="93"/>
        <v>1.6322760000000001</v>
      </c>
      <c r="M993" t="str">
        <f t="shared" si="94"/>
        <v>150-200%</v>
      </c>
      <c r="N993" s="9">
        <f>MIN(H993, G993)*INDEX('2018_commission_structure'!$A$1:$I$4,
MATCH($D993, '2018_commission_structure'!$A$1:$A$4,0),
MATCH(N$1, '2018_commission_structure'!$A$1:$I$1,0))</f>
        <v>112500</v>
      </c>
      <c r="O993" s="11">
        <f>IF(G993&gt;H993, MIN(G993-H993, I993-H993)*
INDEX('2018_commission_structure'!$A$1:$I$4,
MATCH($D993, '2018_commission_structure'!$A$1:$A$4, 0),
MATCH(O$1, '2018_commission_structure'!$A$1:$I$1, 0)), 0)</f>
        <v>35625</v>
      </c>
      <c r="P993" s="11">
        <f>IF(G993&gt;H993, MIN(G993-H993, J993-H993)*
INDEX('2018_commission_structure'!$A$1:$I$4,
MATCH($D993, '2018_commission_structure'!$A$1:$A$4, 0),
MATCH(O$1, '2018_commission_structure'!$A$1:$I$1, 0)), 0)</f>
        <v>71250</v>
      </c>
      <c r="Q993" s="11">
        <f>IF(G993&gt;H993, MIN(G993-H993, I993-H993)*
INDEX('2018_commission_structure'!$A$1:$I$4,
MATCH($D993, '2018_commission_structure'!$A$1:$A$4, 0),
MATCH(P$1, '2018_commission_structure'!$A$1:$I$1, 0)), 0)</f>
        <v>43125</v>
      </c>
      <c r="R993" s="11">
        <f>IF(G993&gt;K993, (G993-K993) *
INDEX('2018_commission_structure'!$A$1:$I$4,
MATCH($D993, '2018_commission_structure'!$A$1:$A$4,0),
MATCH(R$1, '2018_commission_structure'!$A$1:$I$1,0)), 0)</f>
        <v>0</v>
      </c>
      <c r="S993" s="11">
        <f t="shared" si="95"/>
        <v>150000</v>
      </c>
      <c r="T993" s="11" cm="1">
        <f t="array" ref="T993">SUM(E993+O993:Q993)</f>
        <v>499707</v>
      </c>
    </row>
    <row r="994" spans="1:20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 xml:space="preserve"> COUNTIF(deals_closed!D:D,A994)</f>
        <v>20</v>
      </c>
      <c r="G994" s="5">
        <f>SUMIF(deals_closed!D:D, calculations!A994, deals_closed!C:C)</f>
        <v>634736</v>
      </c>
      <c r="H994" s="5">
        <f>VLOOKUP(D994,'2018_commission_structure'!$A$2:$I$4,9,FALSE)</f>
        <v>750000</v>
      </c>
      <c r="I994" s="9">
        <f t="shared" si="90"/>
        <v>937500</v>
      </c>
      <c r="J994" s="8">
        <f t="shared" si="91"/>
        <v>1125000</v>
      </c>
      <c r="K994" s="9">
        <f t="shared" si="92"/>
        <v>1500000</v>
      </c>
      <c r="L994" s="10">
        <f t="shared" si="93"/>
        <v>0.84631466666666666</v>
      </c>
      <c r="M994" t="str">
        <f t="shared" si="94"/>
        <v>0-100%</v>
      </c>
      <c r="N994" s="9">
        <f>MIN(H994, G994)*INDEX('2018_commission_structure'!$A$1:$I$4,
MATCH($D994, '2018_commission_structure'!$A$1:$A$4,0),
MATCH(N$1, '2018_commission_structure'!$A$1:$I$1,0))</f>
        <v>95210.4</v>
      </c>
      <c r="O994" s="11">
        <f>IF(G994&gt;H994, MIN(G994-H994, I994-H994)*
INDEX('2018_commission_structure'!$A$1:$I$4,
MATCH($D994, '2018_commission_structure'!$A$1:$A$4, 0),
MATCH(O$1, '2018_commission_structure'!$A$1:$I$1, 0)), 0)</f>
        <v>0</v>
      </c>
      <c r="P994" s="11">
        <f>IF(G994&gt;H994, MIN(G994-H994, J994-H994)*
INDEX('2018_commission_structure'!$A$1:$I$4,
MATCH($D994, '2018_commission_structure'!$A$1:$A$4, 0),
MATCH(O$1, '2018_commission_structure'!$A$1:$I$1, 0)), 0)</f>
        <v>0</v>
      </c>
      <c r="Q994" s="11">
        <f>IF(G994&gt;H994, MIN(G994-H994, I994-H994)*
INDEX('2018_commission_structure'!$A$1:$I$4,
MATCH($D994, '2018_commission_structure'!$A$1:$A$4, 0),
MATCH(P$1, '2018_commission_structure'!$A$1:$I$1, 0)), 0)</f>
        <v>0</v>
      </c>
      <c r="R994" s="11">
        <f>IF(G994&gt;K994, (G994-K994) *
INDEX('2018_commission_structure'!$A$1:$I$4,
MATCH($D994, '2018_commission_structure'!$A$1:$A$4,0),
MATCH(R$1, '2018_commission_structure'!$A$1:$I$1,0)), 0)</f>
        <v>0</v>
      </c>
      <c r="S994" s="11">
        <f t="shared" si="95"/>
        <v>0</v>
      </c>
      <c r="T994" s="11" cm="1">
        <f t="array" ref="T994">SUM(E994+O994:Q994)</f>
        <v>289767</v>
      </c>
    </row>
    <row r="995" spans="1:20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 xml:space="preserve"> COUNTIF(deals_closed!D:D,A995)</f>
        <v>14</v>
      </c>
      <c r="G995" s="5">
        <f>SUMIF(deals_closed!D:D, calculations!A995, deals_closed!C:C)</f>
        <v>489227</v>
      </c>
      <c r="H995" s="5">
        <f>VLOOKUP(D995,'2018_commission_structure'!$A$2:$I$4,9,FALSE)</f>
        <v>750000</v>
      </c>
      <c r="I995" s="9">
        <f t="shared" si="90"/>
        <v>937500</v>
      </c>
      <c r="J995" s="8">
        <f t="shared" si="91"/>
        <v>1125000</v>
      </c>
      <c r="K995" s="9">
        <f t="shared" si="92"/>
        <v>1500000</v>
      </c>
      <c r="L995" s="10">
        <f t="shared" si="93"/>
        <v>0.6523026666666667</v>
      </c>
      <c r="M995" t="str">
        <f t="shared" si="94"/>
        <v>0-100%</v>
      </c>
      <c r="N995" s="9">
        <f>MIN(H995, G995)*INDEX('2018_commission_structure'!$A$1:$I$4,
MATCH($D995, '2018_commission_structure'!$A$1:$A$4,0),
MATCH(N$1, '2018_commission_structure'!$A$1:$I$1,0))</f>
        <v>73384.05</v>
      </c>
      <c r="O995" s="11">
        <f>IF(G995&gt;H995, MIN(G995-H995, I995-H995)*
INDEX('2018_commission_structure'!$A$1:$I$4,
MATCH($D995, '2018_commission_structure'!$A$1:$A$4, 0),
MATCH(O$1, '2018_commission_structure'!$A$1:$I$1, 0)), 0)</f>
        <v>0</v>
      </c>
      <c r="P995" s="11">
        <f>IF(G995&gt;H995, MIN(G995-H995, J995-H995)*
INDEX('2018_commission_structure'!$A$1:$I$4,
MATCH($D995, '2018_commission_structure'!$A$1:$A$4, 0),
MATCH(O$1, '2018_commission_structure'!$A$1:$I$1, 0)), 0)</f>
        <v>0</v>
      </c>
      <c r="Q995" s="11">
        <f>IF(G995&gt;H995, MIN(G995-H995, I995-H995)*
INDEX('2018_commission_structure'!$A$1:$I$4,
MATCH($D995, '2018_commission_structure'!$A$1:$A$4, 0),
MATCH(P$1, '2018_commission_structure'!$A$1:$I$1, 0)), 0)</f>
        <v>0</v>
      </c>
      <c r="R995" s="11">
        <f>IF(G995&gt;K995, (G995-K995) *
INDEX('2018_commission_structure'!$A$1:$I$4,
MATCH($D995, '2018_commission_structure'!$A$1:$A$4,0),
MATCH(R$1, '2018_commission_structure'!$A$1:$I$1,0)), 0)</f>
        <v>0</v>
      </c>
      <c r="S995" s="11">
        <f t="shared" si="95"/>
        <v>0</v>
      </c>
      <c r="T995" s="11" cm="1">
        <f t="array" ref="T995">SUM(E995+O995:Q995)</f>
        <v>339963</v>
      </c>
    </row>
    <row r="996" spans="1:20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 xml:space="preserve"> COUNTIF(deals_closed!D:D,A996)</f>
        <v>14</v>
      </c>
      <c r="G996" s="5">
        <f>SUMIF(deals_closed!D:D, calculations!A996, deals_closed!C:C)</f>
        <v>518943</v>
      </c>
      <c r="H996" s="5">
        <f>VLOOKUP(D996,'2018_commission_structure'!$A$2:$I$4,9,FALSE)</f>
        <v>500000</v>
      </c>
      <c r="I996" s="9">
        <f t="shared" si="90"/>
        <v>625000</v>
      </c>
      <c r="J996" s="8">
        <f t="shared" si="91"/>
        <v>750000</v>
      </c>
      <c r="K996" s="9">
        <f t="shared" si="92"/>
        <v>1000000</v>
      </c>
      <c r="L996" s="10">
        <f t="shared" si="93"/>
        <v>1.0378860000000001</v>
      </c>
      <c r="M996" t="str">
        <f t="shared" si="94"/>
        <v>100-125%</v>
      </c>
      <c r="N996" s="9">
        <f>MIN(H996, G996)*INDEX('2018_commission_structure'!$A$1:$I$4,
MATCH($D996, '2018_commission_structure'!$A$1:$A$4,0),
MATCH(N$1, '2018_commission_structure'!$A$1:$I$1,0))</f>
        <v>50000</v>
      </c>
      <c r="O996" s="11">
        <f>IF(G996&gt;H996, MIN(G996-H996, I996-H996)*
INDEX('2018_commission_structure'!$A$1:$I$4,
MATCH($D996, '2018_commission_structure'!$A$1:$A$4, 0),
MATCH(O$1, '2018_commission_structure'!$A$1:$I$1, 0)), 0)</f>
        <v>2841.45</v>
      </c>
      <c r="P996" s="11">
        <f>IF(G996&gt;H996, MIN(G996-H996, J996-H996)*
INDEX('2018_commission_structure'!$A$1:$I$4,
MATCH($D996, '2018_commission_structure'!$A$1:$A$4, 0),
MATCH(O$1, '2018_commission_structure'!$A$1:$I$1, 0)), 0)</f>
        <v>2841.45</v>
      </c>
      <c r="Q996" s="11">
        <f>IF(G996&gt;H996, MIN(G996-H996, I996-H996)*
INDEX('2018_commission_structure'!$A$1:$I$4,
MATCH($D996, '2018_commission_structure'!$A$1:$A$4, 0),
MATCH(P$1, '2018_commission_structure'!$A$1:$I$1, 0)), 0)</f>
        <v>3409.74</v>
      </c>
      <c r="R996" s="11">
        <f>IF(G996&gt;K996, (G996-K996) *
INDEX('2018_commission_structure'!$A$1:$I$4,
MATCH($D996, '2018_commission_structure'!$A$1:$A$4,0),
MATCH(R$1, '2018_commission_structure'!$A$1:$I$1,0)), 0)</f>
        <v>0</v>
      </c>
      <c r="S996" s="11">
        <f t="shared" si="95"/>
        <v>9092.64</v>
      </c>
      <c r="T996" s="11" cm="1">
        <f t="array" ref="T996">SUM(E996+O996:Q996)</f>
        <v>123869.63999999998</v>
      </c>
    </row>
    <row r="997" spans="1:20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 xml:space="preserve"> COUNTIF(deals_closed!D:D,A997)</f>
        <v>22</v>
      </c>
      <c r="G997" s="5">
        <f>SUMIF(deals_closed!D:D, calculations!A997, deals_closed!C:C)</f>
        <v>877959</v>
      </c>
      <c r="H997" s="5">
        <f>VLOOKUP(D997,'2018_commission_structure'!$A$2:$I$4,9,FALSE)</f>
        <v>600000</v>
      </c>
      <c r="I997" s="9">
        <f t="shared" si="90"/>
        <v>750000</v>
      </c>
      <c r="J997" s="8">
        <f t="shared" si="91"/>
        <v>900000</v>
      </c>
      <c r="K997" s="9">
        <f t="shared" si="92"/>
        <v>1200000</v>
      </c>
      <c r="L997" s="10">
        <f t="shared" si="93"/>
        <v>1.463265</v>
      </c>
      <c r="M997" t="str">
        <f t="shared" si="94"/>
        <v>125-150%</v>
      </c>
      <c r="N997" s="9">
        <f>MIN(H997, G997)*INDEX('2018_commission_structure'!$A$1:$I$4,
MATCH($D997, '2018_commission_structure'!$A$1:$A$4,0),
MATCH(N$1, '2018_commission_structure'!$A$1:$I$1,0))</f>
        <v>78000</v>
      </c>
      <c r="O997" s="11">
        <f>IF(G997&gt;H997, MIN(G997-H997, I997-H997)*
INDEX('2018_commission_structure'!$A$1:$I$4,
MATCH($D997, '2018_commission_structure'!$A$1:$A$4, 0),
MATCH(O$1, '2018_commission_structure'!$A$1:$I$1, 0)), 0)</f>
        <v>25500.000000000004</v>
      </c>
      <c r="P997" s="11">
        <f>IF(G997&gt;H997, MIN(G997-H997, J997-H997)*
INDEX('2018_commission_structure'!$A$1:$I$4,
MATCH($D997, '2018_commission_structure'!$A$1:$A$4, 0),
MATCH(O$1, '2018_commission_structure'!$A$1:$I$1, 0)), 0)</f>
        <v>47253.030000000006</v>
      </c>
      <c r="Q997" s="11">
        <f>IF(G997&gt;H997, MIN(G997-H997, I997-H997)*
INDEX('2018_commission_structure'!$A$1:$I$4,
MATCH($D997, '2018_commission_structure'!$A$1:$A$4, 0),
MATCH(P$1, '2018_commission_structure'!$A$1:$I$1, 0)), 0)</f>
        <v>31500</v>
      </c>
      <c r="R997" s="11">
        <f>IF(G997&gt;K997, (G997-K997) *
INDEX('2018_commission_structure'!$A$1:$I$4,
MATCH($D997, '2018_commission_structure'!$A$1:$A$4,0),
MATCH(R$1, '2018_commission_structure'!$A$1:$I$1,0)), 0)</f>
        <v>0</v>
      </c>
      <c r="S997" s="11">
        <f t="shared" si="95"/>
        <v>104253.03000000001</v>
      </c>
      <c r="T997" s="11" cm="1">
        <f t="array" ref="T997">SUM(E997+O997:Q997)</f>
        <v>309318.03000000003</v>
      </c>
    </row>
    <row r="998" spans="1:20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 xml:space="preserve"> COUNTIF(deals_closed!D:D,A998)</f>
        <v>18</v>
      </c>
      <c r="G998" s="5">
        <f>SUMIF(deals_closed!D:D, calculations!A998, deals_closed!C:C)</f>
        <v>677142</v>
      </c>
      <c r="H998" s="5">
        <f>VLOOKUP(D998,'2018_commission_structure'!$A$2:$I$4,9,FALSE)</f>
        <v>750000</v>
      </c>
      <c r="I998" s="9">
        <f t="shared" si="90"/>
        <v>937500</v>
      </c>
      <c r="J998" s="8">
        <f t="shared" si="91"/>
        <v>1125000</v>
      </c>
      <c r="K998" s="9">
        <f t="shared" si="92"/>
        <v>1500000</v>
      </c>
      <c r="L998" s="10">
        <f t="shared" si="93"/>
        <v>0.90285599999999999</v>
      </c>
      <c r="M998" t="str">
        <f t="shared" si="94"/>
        <v>0-100%</v>
      </c>
      <c r="N998" s="9">
        <f>MIN(H998, G998)*INDEX('2018_commission_structure'!$A$1:$I$4,
MATCH($D998, '2018_commission_structure'!$A$1:$A$4,0),
MATCH(N$1, '2018_commission_structure'!$A$1:$I$1,0))</f>
        <v>101571.3</v>
      </c>
      <c r="O998" s="11">
        <f>IF(G998&gt;H998, MIN(G998-H998, I998-H998)*
INDEX('2018_commission_structure'!$A$1:$I$4,
MATCH($D998, '2018_commission_structure'!$A$1:$A$4, 0),
MATCH(O$1, '2018_commission_structure'!$A$1:$I$1, 0)), 0)</f>
        <v>0</v>
      </c>
      <c r="P998" s="11">
        <f>IF(G998&gt;H998, MIN(G998-H998, J998-H998)*
INDEX('2018_commission_structure'!$A$1:$I$4,
MATCH($D998, '2018_commission_structure'!$A$1:$A$4, 0),
MATCH(O$1, '2018_commission_structure'!$A$1:$I$1, 0)), 0)</f>
        <v>0</v>
      </c>
      <c r="Q998" s="11">
        <f>IF(G998&gt;H998, MIN(G998-H998, I998-H998)*
INDEX('2018_commission_structure'!$A$1:$I$4,
MATCH($D998, '2018_commission_structure'!$A$1:$A$4, 0),
MATCH(P$1, '2018_commission_structure'!$A$1:$I$1, 0)), 0)</f>
        <v>0</v>
      </c>
      <c r="R998" s="11">
        <f>IF(G998&gt;K998, (G998-K998) *
INDEX('2018_commission_structure'!$A$1:$I$4,
MATCH($D998, '2018_commission_structure'!$A$1:$A$4,0),
MATCH(R$1, '2018_commission_structure'!$A$1:$I$1,0)), 0)</f>
        <v>0</v>
      </c>
      <c r="S998" s="11">
        <f t="shared" si="95"/>
        <v>0</v>
      </c>
      <c r="T998" s="11" cm="1">
        <f t="array" ref="T998">SUM(E998+O998:Q998)</f>
        <v>253833</v>
      </c>
    </row>
    <row r="999" spans="1:20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 xml:space="preserve"> COUNTIF(deals_closed!D:D,A999)</f>
        <v>22</v>
      </c>
      <c r="G999" s="5">
        <f>SUMIF(deals_closed!D:D, calculations!A999, deals_closed!C:C)</f>
        <v>976276</v>
      </c>
      <c r="H999" s="5">
        <f>VLOOKUP(D999,'2018_commission_structure'!$A$2:$I$4,9,FALSE)</f>
        <v>750000</v>
      </c>
      <c r="I999" s="9">
        <f t="shared" si="90"/>
        <v>937500</v>
      </c>
      <c r="J999" s="8">
        <f t="shared" si="91"/>
        <v>1125000</v>
      </c>
      <c r="K999" s="9">
        <f t="shared" si="92"/>
        <v>1500000</v>
      </c>
      <c r="L999" s="10">
        <f t="shared" si="93"/>
        <v>1.3017013333333334</v>
      </c>
      <c r="M999" t="str">
        <f t="shared" si="94"/>
        <v>125-150%</v>
      </c>
      <c r="N999" s="9">
        <f>MIN(H999, G999)*INDEX('2018_commission_structure'!$A$1:$I$4,
MATCH($D999, '2018_commission_structure'!$A$1:$A$4,0),
MATCH(N$1, '2018_commission_structure'!$A$1:$I$1,0))</f>
        <v>112500</v>
      </c>
      <c r="O999" s="11">
        <f>IF(G999&gt;H999, MIN(G999-H999, I999-H999)*
INDEX('2018_commission_structure'!$A$1:$I$4,
MATCH($D999, '2018_commission_structure'!$A$1:$A$4, 0),
MATCH(O$1, '2018_commission_structure'!$A$1:$I$1, 0)), 0)</f>
        <v>35625</v>
      </c>
      <c r="P999" s="11">
        <f>IF(G999&gt;H999, MIN(G999-H999, J999-H999)*
INDEX('2018_commission_structure'!$A$1:$I$4,
MATCH($D999, '2018_commission_structure'!$A$1:$A$4, 0),
MATCH(O$1, '2018_commission_structure'!$A$1:$I$1, 0)), 0)</f>
        <v>42992.44</v>
      </c>
      <c r="Q999" s="11">
        <f>IF(G999&gt;H999, MIN(G999-H999, I999-H999)*
INDEX('2018_commission_structure'!$A$1:$I$4,
MATCH($D999, '2018_commission_structure'!$A$1:$A$4, 0),
MATCH(P$1, '2018_commission_structure'!$A$1:$I$1, 0)), 0)</f>
        <v>43125</v>
      </c>
      <c r="R999" s="11">
        <f>IF(G999&gt;K999, (G999-K999) *
INDEX('2018_commission_structure'!$A$1:$I$4,
MATCH($D999, '2018_commission_structure'!$A$1:$A$4,0),
MATCH(R$1, '2018_commission_structure'!$A$1:$I$1,0)), 0)</f>
        <v>0</v>
      </c>
      <c r="S999" s="11">
        <f t="shared" si="95"/>
        <v>121742.44</v>
      </c>
      <c r="T999" s="11" cm="1">
        <f t="array" ref="T999">SUM(E999+O999:Q999)</f>
        <v>430328.44</v>
      </c>
    </row>
    <row r="1000" spans="1:20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 xml:space="preserve"> COUNTIF(deals_closed!D:D,A1000)</f>
        <v>18</v>
      </c>
      <c r="G1000" s="5">
        <f>SUMIF(deals_closed!D:D, calculations!A1000, deals_closed!C:C)</f>
        <v>685881</v>
      </c>
      <c r="H1000" s="5">
        <f>VLOOKUP(D1000,'2018_commission_structure'!$A$2:$I$4,9,FALSE)</f>
        <v>750000</v>
      </c>
      <c r="I1000" s="9">
        <f t="shared" si="90"/>
        <v>937500</v>
      </c>
      <c r="J1000" s="8">
        <f t="shared" si="91"/>
        <v>1125000</v>
      </c>
      <c r="K1000" s="9">
        <f t="shared" si="92"/>
        <v>1500000</v>
      </c>
      <c r="L1000" s="10">
        <f t="shared" si="93"/>
        <v>0.91450799999999999</v>
      </c>
      <c r="M1000" t="str">
        <f t="shared" si="94"/>
        <v>0-100%</v>
      </c>
      <c r="N1000" s="9">
        <f>MIN(H1000, G1000)*INDEX('2018_commission_structure'!$A$1:$I$4,
MATCH($D1000, '2018_commission_structure'!$A$1:$A$4,0),
MATCH(N$1, '2018_commission_structure'!$A$1:$I$1,0))</f>
        <v>102882.15</v>
      </c>
      <c r="O1000" s="11">
        <f>IF(G1000&gt;H1000, MIN(G1000-H1000, I1000-H1000)*
INDEX('2018_commission_structure'!$A$1:$I$4,
MATCH($D1000, '2018_commission_structure'!$A$1:$A$4, 0),
MATCH(O$1, '2018_commission_structure'!$A$1:$I$1, 0)), 0)</f>
        <v>0</v>
      </c>
      <c r="P1000" s="11">
        <f>IF(G1000&gt;H1000, MIN(G1000-H1000, J1000-H1000)*
INDEX('2018_commission_structure'!$A$1:$I$4,
MATCH($D1000, '2018_commission_structure'!$A$1:$A$4, 0),
MATCH(O$1, '2018_commission_structure'!$A$1:$I$1, 0)), 0)</f>
        <v>0</v>
      </c>
      <c r="Q1000" s="11">
        <f>IF(G1000&gt;H1000, MIN(G1000-H1000, I1000-H1000)*
INDEX('2018_commission_structure'!$A$1:$I$4,
MATCH($D1000, '2018_commission_structure'!$A$1:$A$4, 0),
MATCH(P$1, '2018_commission_structure'!$A$1:$I$1, 0)), 0)</f>
        <v>0</v>
      </c>
      <c r="R1000" s="11">
        <f>IF(G1000&gt;K1000, (G1000-K1000) *
INDEX('2018_commission_structure'!$A$1:$I$4,
MATCH($D1000, '2018_commission_structure'!$A$1:$A$4,0),
MATCH(R$1, '2018_commission_structure'!$A$1:$I$1,0)), 0)</f>
        <v>0</v>
      </c>
      <c r="S1000" s="11">
        <f t="shared" si="95"/>
        <v>0</v>
      </c>
      <c r="T1000" s="11" cm="1">
        <f t="array" ref="T1000">SUM(E1000+O1000:Q1000)</f>
        <v>352047</v>
      </c>
    </row>
    <row r="1001" spans="1:20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 xml:space="preserve"> COUNTIF(deals_closed!D:D,A1001)</f>
        <v>22</v>
      </c>
      <c r="G1001" s="5">
        <f>SUMIF(deals_closed!D:D, calculations!A1001, deals_closed!C:C)</f>
        <v>679046</v>
      </c>
      <c r="H1001" s="5">
        <f>VLOOKUP(D1001,'2018_commission_structure'!$A$2:$I$4,9,FALSE)</f>
        <v>600000</v>
      </c>
      <c r="I1001" s="9">
        <f t="shared" si="90"/>
        <v>750000</v>
      </c>
      <c r="J1001" s="8">
        <f t="shared" si="91"/>
        <v>900000</v>
      </c>
      <c r="K1001" s="9">
        <f t="shared" si="92"/>
        <v>1200000</v>
      </c>
      <c r="L1001" s="10">
        <f t="shared" si="93"/>
        <v>1.1317433333333333</v>
      </c>
      <c r="M1001" t="str">
        <f t="shared" si="94"/>
        <v>100-125%</v>
      </c>
      <c r="N1001" s="9">
        <f>MIN(H1001, G1001)*INDEX('2018_commission_structure'!$A$1:$I$4,
MATCH($D1001, '2018_commission_structure'!$A$1:$A$4,0),
MATCH(N$1, '2018_commission_structure'!$A$1:$I$1,0))</f>
        <v>78000</v>
      </c>
      <c r="O1001" s="11">
        <f>IF(G1001&gt;H1001, MIN(G1001-H1001, I1001-H1001)*
INDEX('2018_commission_structure'!$A$1:$I$4,
MATCH($D1001, '2018_commission_structure'!$A$1:$A$4, 0),
MATCH(O$1, '2018_commission_structure'!$A$1:$I$1, 0)), 0)</f>
        <v>13437.820000000002</v>
      </c>
      <c r="P1001" s="11">
        <f>IF(G1001&gt;H1001, MIN(G1001-H1001, J1001-H1001)*
INDEX('2018_commission_structure'!$A$1:$I$4,
MATCH($D1001, '2018_commission_structure'!$A$1:$A$4, 0),
MATCH(O$1, '2018_commission_structure'!$A$1:$I$1, 0)), 0)</f>
        <v>13437.820000000002</v>
      </c>
      <c r="Q1001" s="11">
        <f>IF(G1001&gt;H1001, MIN(G1001-H1001, I1001-H1001)*
INDEX('2018_commission_structure'!$A$1:$I$4,
MATCH($D1001, '2018_commission_structure'!$A$1:$A$4, 0),
MATCH(P$1, '2018_commission_structure'!$A$1:$I$1, 0)), 0)</f>
        <v>16599.66</v>
      </c>
      <c r="R1001" s="11">
        <f>IF(G1001&gt;K1001, (G1001-K1001) *
INDEX('2018_commission_structure'!$A$1:$I$4,
MATCH($D1001, '2018_commission_structure'!$A$1:$A$4,0),
MATCH(R$1, '2018_commission_structure'!$A$1:$I$1,0)), 0)</f>
        <v>0</v>
      </c>
      <c r="S1001" s="11">
        <f t="shared" si="95"/>
        <v>43475.3</v>
      </c>
      <c r="T1001" s="11" cm="1">
        <f t="array" ref="T1001">SUM(E1001+O1001:Q1001)</f>
        <v>195620.3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activeCell="C2" sqref="C2"/>
    </sheetView>
  </sheetViews>
  <sheetFormatPr defaultRowHeight="15" x14ac:dyDescent="0.25"/>
  <cols>
    <col min="1" max="1" width="19.5703125" bestFit="1" customWidth="1"/>
    <col min="2" max="2" width="14.28515625" bestFit="1" customWidth="1"/>
    <col min="3" max="3" width="14.5703125" bestFit="1" customWidth="1"/>
    <col min="4" max="4" width="7.28515625" bestFit="1" customWidth="1"/>
    <col min="5" max="7" width="9.28515625" bestFit="1" customWidth="1"/>
    <col min="8" max="8" width="6.5703125" bestFit="1" customWidth="1"/>
    <col min="9" max="9" width="10" bestFit="1" customWidth="1"/>
  </cols>
  <sheetData>
    <row r="1" spans="1:9" x14ac:dyDescent="0.25">
      <c r="A1" s="2" t="s">
        <v>22310</v>
      </c>
      <c r="B1" s="2" t="s">
        <v>22311</v>
      </c>
      <c r="C1" s="2" t="s">
        <v>22312</v>
      </c>
      <c r="D1" s="2" t="s">
        <v>22313</v>
      </c>
      <c r="E1" s="2" t="s">
        <v>22314</v>
      </c>
      <c r="F1" s="2" t="s">
        <v>22315</v>
      </c>
      <c r="G1" s="2" t="s">
        <v>22316</v>
      </c>
      <c r="H1" s="2" t="s">
        <v>22317</v>
      </c>
      <c r="I1" s="2" t="s">
        <v>22318</v>
      </c>
    </row>
    <row r="2" spans="1:9" x14ac:dyDescent="0.25">
      <c r="A2" s="2" t="s">
        <v>7</v>
      </c>
      <c r="B2" s="3">
        <v>30000</v>
      </c>
      <c r="C2" s="3">
        <v>65000</v>
      </c>
      <c r="D2" s="4">
        <v>0.1</v>
      </c>
      <c r="E2" s="4">
        <v>0.15</v>
      </c>
      <c r="F2" s="4">
        <v>0.18</v>
      </c>
      <c r="G2" s="4">
        <v>0.22</v>
      </c>
      <c r="H2" s="4">
        <v>0.1</v>
      </c>
      <c r="I2" s="3">
        <v>500000</v>
      </c>
    </row>
    <row r="3" spans="1:9" x14ac:dyDescent="0.25">
      <c r="A3" s="2" t="s">
        <v>29</v>
      </c>
      <c r="B3" s="3">
        <v>50000</v>
      </c>
      <c r="C3" s="3">
        <v>80000</v>
      </c>
      <c r="D3" s="4">
        <v>0.13</v>
      </c>
      <c r="E3" s="4">
        <v>0.17</v>
      </c>
      <c r="F3" s="4">
        <v>0.21</v>
      </c>
      <c r="G3" s="4">
        <v>0.26</v>
      </c>
      <c r="H3" s="4">
        <v>0.13</v>
      </c>
      <c r="I3" s="3">
        <v>600000</v>
      </c>
    </row>
    <row r="4" spans="1:9" x14ac:dyDescent="0.25">
      <c r="A4" s="2" t="s">
        <v>10</v>
      </c>
      <c r="B4" s="3">
        <v>75000</v>
      </c>
      <c r="C4" s="3">
        <v>125000</v>
      </c>
      <c r="D4" s="4">
        <v>0.15</v>
      </c>
      <c r="E4" s="4">
        <v>0.19</v>
      </c>
      <c r="F4" s="4">
        <v>0.23</v>
      </c>
      <c r="G4" s="4">
        <v>0.3</v>
      </c>
      <c r="H4" s="4">
        <v>0.15</v>
      </c>
      <c r="I4" s="3">
        <v>750000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sqref="A1:D4"/>
    </sheetView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5">
        <v>50000</v>
      </c>
      <c r="C2" s="5">
        <v>75000</v>
      </c>
      <c r="D2" s="5">
        <f>SUM(B2:C2)</f>
        <v>125000</v>
      </c>
    </row>
    <row r="3" spans="1:4" x14ac:dyDescent="0.25">
      <c r="A3" t="s">
        <v>29</v>
      </c>
      <c r="B3" s="5">
        <v>65000</v>
      </c>
      <c r="C3" s="5">
        <v>95000</v>
      </c>
      <c r="D3" s="5">
        <f>SUM(B3:C3)</f>
        <v>160000</v>
      </c>
    </row>
    <row r="4" spans="1:4" x14ac:dyDescent="0.25">
      <c r="A4" t="s">
        <v>10</v>
      </c>
      <c r="B4" s="5">
        <v>85000</v>
      </c>
      <c r="C4" s="5">
        <v>125000</v>
      </c>
      <c r="D4" s="5">
        <f t="shared" ref="D4" si="0">SUM(B4:C4)</f>
        <v>210000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28F8-15FA-4651-9E7A-9800A347B591}">
  <dimension ref="A1:B4"/>
  <sheetViews>
    <sheetView workbookViewId="0">
      <selection activeCell="C2" sqref="C2"/>
    </sheetView>
  </sheetViews>
  <sheetFormatPr defaultRowHeight="15" x14ac:dyDescent="0.25"/>
  <cols>
    <col min="1" max="2" width="19.5703125" bestFit="1" customWidth="1"/>
  </cols>
  <sheetData>
    <row r="1" spans="1:2" x14ac:dyDescent="0.25">
      <c r="A1" s="1" t="s">
        <v>3</v>
      </c>
    </row>
    <row r="2" spans="1:2" x14ac:dyDescent="0.25">
      <c r="A2" t="s">
        <v>7</v>
      </c>
      <c r="B2" t="str">
        <f>VLOOKUP(Sheet1!A2,benchmark_data!$A$2:$A$4,1, FALSE)</f>
        <v>Account Executive I</v>
      </c>
    </row>
    <row r="3" spans="1:2" x14ac:dyDescent="0.25">
      <c r="A3" t="s">
        <v>10</v>
      </c>
      <c r="B3" t="str">
        <f>VLOOKUP(Sheet1!A3,benchmark_data!$A$2:$A$4,1, FALSE)</f>
        <v>Account Executive III</v>
      </c>
    </row>
    <row r="4" spans="1:2" x14ac:dyDescent="0.25">
      <c r="A4" t="s">
        <v>29</v>
      </c>
      <c r="B4" t="str">
        <f>VLOOKUP(Sheet1!A4,benchmark_data!$A$2:$A$4,1, FALSE)</f>
        <v>Account Executive II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base_salary</vt:lpstr>
      <vt:lpstr>Sheet2</vt:lpstr>
      <vt:lpstr>deals_closed</vt:lpstr>
      <vt:lpstr>calculations</vt:lpstr>
      <vt:lpstr>2018_commission_structure</vt:lpstr>
      <vt:lpstr>benchmark_data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michael sherbin</cp:lastModifiedBy>
  <dcterms:created xsi:type="dcterms:W3CDTF">2019-01-22T23:52:44Z</dcterms:created>
  <dcterms:modified xsi:type="dcterms:W3CDTF">2020-10-08T22:06:35Z</dcterms:modified>
</cp:coreProperties>
</file>