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ase study\Flipkart_WiRED_8.0\Git repo\"/>
    </mc:Choice>
  </mc:AlternateContent>
  <xr:revisionPtr revIDLastSave="0" documentId="13_ncr:1_{2F8D8E2F-06B0-4FE9-92E0-757ABDE643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nit eco" sheetId="1" r:id="rId1"/>
    <sheet name="Sheet1" sheetId="2" r:id="rId2"/>
    <sheet name="Sheet2" sheetId="3" r:id="rId3"/>
    <sheet name="Sheet3" sheetId="4" r:id="rId4"/>
    <sheet name="vehicle req" sheetId="5" r:id="rId5"/>
  </sheets>
  <definedNames>
    <definedName name="_xlnm._FilterDatabase" localSheetId="1" hidden="1">Sheet1!$A$1:$R$1</definedName>
    <definedName name="_xlnm._FilterDatabase" localSheetId="3" hidden="1">Sheet3!$A$1:$G$1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D8" i="5"/>
  <c r="C8" i="5"/>
  <c r="D5" i="5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E2" i="4"/>
  <c r="F5" i="3"/>
  <c r="E5" i="3"/>
  <c r="E4" i="3"/>
  <c r="E3" i="3"/>
  <c r="F4" i="3" s="1"/>
  <c r="J2" i="3"/>
  <c r="K2" i="3" s="1"/>
  <c r="C11" i="3" s="1"/>
  <c r="E2" i="3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C45" i="1"/>
  <c r="B45" i="1"/>
  <c r="C44" i="1"/>
  <c r="B44" i="1"/>
  <c r="C43" i="1"/>
  <c r="B43" i="1"/>
  <c r="C42" i="1"/>
  <c r="B42" i="1"/>
  <c r="C41" i="1"/>
  <c r="C46" i="1" s="1"/>
  <c r="B41" i="1"/>
  <c r="B46" i="1" s="1"/>
  <c r="B39" i="1"/>
  <c r="C38" i="1"/>
  <c r="B38" i="1"/>
  <c r="C37" i="1"/>
  <c r="B37" i="1"/>
  <c r="C36" i="1"/>
  <c r="C39" i="1" s="1"/>
  <c r="C47" i="1" s="1"/>
  <c r="B36" i="1"/>
  <c r="B32" i="1"/>
  <c r="B30" i="1"/>
  <c r="B18" i="1"/>
  <c r="B19" i="1" s="1"/>
  <c r="B11" i="1"/>
  <c r="G7" i="1" s="1"/>
  <c r="B10" i="1"/>
  <c r="G9" i="1"/>
  <c r="B8" i="1"/>
  <c r="B6" i="1"/>
  <c r="B47" i="1" l="1"/>
  <c r="I11" i="3"/>
  <c r="H11" i="3"/>
  <c r="C15" i="3"/>
  <c r="C12" i="3"/>
  <c r="G11" i="3"/>
  <c r="N11" i="3"/>
  <c r="F11" i="3"/>
  <c r="D11" i="3"/>
  <c r="M11" i="3"/>
  <c r="E11" i="3"/>
  <c r="K11" i="3"/>
  <c r="J11" i="3"/>
  <c r="L11" i="3"/>
  <c r="F2" i="3"/>
  <c r="B13" i="1"/>
  <c r="B20" i="1" s="1"/>
  <c r="G6" i="1"/>
  <c r="G8" i="1" s="1"/>
  <c r="D12" i="3" l="1"/>
  <c r="B13" i="3" s="1"/>
  <c r="D15" i="3"/>
  <c r="E16" i="3" s="1"/>
  <c r="K12" i="3"/>
  <c r="K15" i="3"/>
  <c r="L12" i="3"/>
  <c r="L15" i="3"/>
  <c r="G15" i="3"/>
  <c r="G16" i="3" s="1"/>
  <c r="H16" i="3" s="1"/>
  <c r="I16" i="3" s="1"/>
  <c r="J16" i="3" s="1"/>
  <c r="K16" i="3" s="1"/>
  <c r="L16" i="3" s="1"/>
  <c r="M16" i="3" s="1"/>
  <c r="N16" i="3" s="1"/>
  <c r="G12" i="3"/>
  <c r="J12" i="3"/>
  <c r="J15" i="3"/>
  <c r="D16" i="3"/>
  <c r="C16" i="3"/>
  <c r="B17" i="3"/>
  <c r="F16" i="3"/>
  <c r="B18" i="3" s="1"/>
  <c r="E12" i="3"/>
  <c r="E15" i="3"/>
  <c r="H15" i="3"/>
  <c r="H12" i="3"/>
  <c r="M12" i="3"/>
  <c r="M15" i="3"/>
  <c r="I12" i="3"/>
  <c r="I15" i="3"/>
  <c r="F15" i="3"/>
  <c r="F12" i="3"/>
  <c r="N15" i="3"/>
  <c r="N12" i="3"/>
</calcChain>
</file>

<file path=xl/sharedStrings.xml><?xml version="1.0" encoding="utf-8"?>
<sst xmlns="http://schemas.openxmlformats.org/spreadsheetml/2006/main" count="190" uniqueCount="165">
  <si>
    <t>Unit Economics of a dark store</t>
  </si>
  <si>
    <t>Variables</t>
  </si>
  <si>
    <t>Per Month</t>
  </si>
  <si>
    <t>Dark store area (assumed)sq. ft</t>
  </si>
  <si>
    <t>Avg. no. of dark store staff (working across 3 shifts per day)</t>
  </si>
  <si>
    <t>Avg. staff salary (INR)</t>
  </si>
  <si>
    <t>No of dark store</t>
  </si>
  <si>
    <t>Total staff cost (INR)</t>
  </si>
  <si>
    <t>Sales in MINR</t>
  </si>
  <si>
    <t>Store rent per sq. ft.</t>
  </si>
  <si>
    <t>Dark store opex</t>
  </si>
  <si>
    <t>Total store rent (INR)</t>
  </si>
  <si>
    <t>% of sales</t>
  </si>
  <si>
    <t>Utilities and other store costs per sq. ft.</t>
  </si>
  <si>
    <t>Capex</t>
  </si>
  <si>
    <t>Total utilities and other store costs (INR)</t>
  </si>
  <si>
    <t>Dark store Operational cost</t>
  </si>
  <si>
    <t>Quaterly opex of dark store (Minr)</t>
  </si>
  <si>
    <t>Revenue</t>
  </si>
  <si>
    <t>Avg Order/Dark store (Nos)</t>
  </si>
  <si>
    <t>AOV (Rs)</t>
  </si>
  <si>
    <t>DailyRevenue/Dark Store (Rs)</t>
  </si>
  <si>
    <t>Quaterly Sales Revenue(MINR)</t>
  </si>
  <si>
    <t>Opex as % of sales</t>
  </si>
  <si>
    <t>Fixed cost Related to Dark Store Setup</t>
  </si>
  <si>
    <t>MINR</t>
  </si>
  <si>
    <t>Description</t>
  </si>
  <si>
    <t>Racks, shelves, scanners, computers etc.</t>
  </si>
  <si>
    <t>Freezers, chillers, refrigerators, etc.</t>
  </si>
  <si>
    <t>Inventory</t>
  </si>
  <si>
    <t>Rental deposits</t>
  </si>
  <si>
    <t>Upfront capital needed to set-up a dark store</t>
  </si>
  <si>
    <t>Total</t>
  </si>
  <si>
    <t>No of Dark Store</t>
  </si>
  <si>
    <t>Capex(MINR)</t>
  </si>
  <si>
    <t>Unit economics</t>
  </si>
  <si>
    <t>Income</t>
  </si>
  <si>
    <t>Rs
Per order</t>
  </si>
  <si>
    <t>MINR Per
 quarter</t>
  </si>
  <si>
    <t>Assumption</t>
  </si>
  <si>
    <t>Warehousing services + Marketplace commissions</t>
  </si>
  <si>
    <t>12 % of AOV</t>
  </si>
  <si>
    <t>Ad income</t>
  </si>
  <si>
    <t>3.5 % of AOV</t>
  </si>
  <si>
    <t>Customer fees (Delivery fees + Handling fees + other fees)</t>
  </si>
  <si>
    <t>3 % of AOV</t>
  </si>
  <si>
    <t>Direct cost</t>
  </si>
  <si>
    <t>Platform discounts/incentives</t>
  </si>
  <si>
    <t>0.3% of AOV</t>
  </si>
  <si>
    <t>Dark store operations cost</t>
  </si>
  <si>
    <t>5% as calc</t>
  </si>
  <si>
    <t>Mid-mile and warehousing cost</t>
  </si>
  <si>
    <t>3% of AOV</t>
  </si>
  <si>
    <t>Last mile delivery cost</t>
  </si>
  <si>
    <t>6.9% of AOV</t>
  </si>
  <si>
    <t>Packaging costs + wastage + communication cost + support</t>
  </si>
  <si>
    <t>2.1% of AOV</t>
  </si>
  <si>
    <t>Contribution margin</t>
  </si>
  <si>
    <t>Payback period in quarters = Capex/Contribution Margin</t>
  </si>
  <si>
    <t>S.No.</t>
  </si>
  <si>
    <t>District Name</t>
  </si>
  <si>
    <t>Population</t>
  </si>
  <si>
    <t>Area (in KM)</t>
  </si>
  <si>
    <t>Density</t>
  </si>
  <si>
    <t>Avg salary</t>
  </si>
  <si>
    <t>Dark store</t>
  </si>
  <si>
    <t>Chennai</t>
  </si>
  <si>
    <t>T1</t>
  </si>
  <si>
    <t>Madurai</t>
  </si>
  <si>
    <t>T2</t>
  </si>
  <si>
    <t>Coimbatore</t>
  </si>
  <si>
    <t>Salem</t>
  </si>
  <si>
    <t>Tiruchirappalli</t>
  </si>
  <si>
    <t>Kanyakumari</t>
  </si>
  <si>
    <t>Tiruvallur</t>
  </si>
  <si>
    <t>Vellore</t>
  </si>
  <si>
    <t>Kanchipuram</t>
  </si>
  <si>
    <t>Cuddalore</t>
  </si>
  <si>
    <t>Thanjavur</t>
  </si>
  <si>
    <t>Nagapattinam</t>
  </si>
  <si>
    <t>Viluppuram</t>
  </si>
  <si>
    <t>Tiruvarur</t>
  </si>
  <si>
    <t>Namakkal</t>
  </si>
  <si>
    <t>Tirupur</t>
  </si>
  <si>
    <t>Virudhunagar</t>
  </si>
  <si>
    <t>Theni</t>
  </si>
  <si>
    <t>Tirunelveli</t>
  </si>
  <si>
    <t>Tiruvannamalai</t>
  </si>
  <si>
    <t>Erode</t>
  </si>
  <si>
    <t>Ariyalur</t>
  </si>
  <si>
    <t>Thoothukudi</t>
  </si>
  <si>
    <t>Karur</t>
  </si>
  <si>
    <t>Krishnagiri</t>
  </si>
  <si>
    <t>Dindigul</t>
  </si>
  <si>
    <t>Pudukkottai</t>
  </si>
  <si>
    <t>Dharmapuri</t>
  </si>
  <si>
    <t>Sivaganga</t>
  </si>
  <si>
    <t>Perambalur</t>
  </si>
  <si>
    <t>Ramanathapuram</t>
  </si>
  <si>
    <t>The Nilgiris</t>
  </si>
  <si>
    <t>Vehicle Model</t>
  </si>
  <si>
    <t>milaege</t>
  </si>
  <si>
    <t>Unit
consumed</t>
  </si>
  <si>
    <t>Fuel cost
/unit</t>
  </si>
  <si>
    <t>Cost/km</t>
  </si>
  <si>
    <t>Saving/km
wrt diesel</t>
  </si>
  <si>
    <t>Payload</t>
  </si>
  <si>
    <t>On road price</t>
  </si>
  <si>
    <t>Daily run
(Km)</t>
  </si>
  <si>
    <t>Savings/km</t>
  </si>
  <si>
    <t>Yearly saving</t>
  </si>
  <si>
    <t>TATA ACE EV</t>
  </si>
  <si>
    <t>TATA ACE Diesel</t>
  </si>
  <si>
    <t>Tata Ace CNG Plus</t>
  </si>
  <si>
    <t>Inflation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</si>
  <si>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</si>
  <si>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</si>
  <si>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</si>
  <si>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</si>
  <si>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</si>
  <si>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</si>
  <si>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</si>
  <si>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</si>
  <si>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</si>
  <si>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</si>
  <si>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</si>
  <si>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</si>
  <si>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</si>
  <si>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Investment</t>
  </si>
  <si>
    <t xml:space="preserve">Cost Saving </t>
  </si>
  <si>
    <t>Inflation adj 
current value</t>
  </si>
  <si>
    <t>NPV of project</t>
  </si>
  <si>
    <t>Year</t>
  </si>
  <si>
    <t>Cf</t>
  </si>
  <si>
    <t>Cumulatife +ve flow</t>
  </si>
  <si>
    <t>IRR</t>
  </si>
  <si>
    <t>Payback period</t>
  </si>
  <si>
    <t>S.no</t>
  </si>
  <si>
    <t>City</t>
  </si>
  <si>
    <t>Area</t>
  </si>
  <si>
    <t>Pop Density</t>
  </si>
  <si>
    <t>Distance from chennai</t>
  </si>
  <si>
    <t>Pundicherry</t>
  </si>
  <si>
    <t>Competitor Study</t>
  </si>
  <si>
    <t>Company</t>
  </si>
  <si>
    <t>Blink it</t>
  </si>
  <si>
    <t>Big Basket</t>
  </si>
  <si>
    <t>Instamart</t>
  </si>
  <si>
    <t>Zepto</t>
  </si>
  <si>
    <t>Market Share</t>
  </si>
  <si>
    <t>Model</t>
  </si>
  <si>
    <t>Hybrid</t>
  </si>
  <si>
    <t>Avg Del time</t>
  </si>
  <si>
    <t>&lt;20min</t>
  </si>
  <si>
    <t>12-24 hours</t>
  </si>
  <si>
    <t>10min</t>
  </si>
  <si>
    <t>450+</t>
  </si>
  <si>
    <t>Order Val</t>
  </si>
  <si>
    <t>Zone 1</t>
  </si>
  <si>
    <t>Zone 2</t>
  </si>
  <si>
    <t>Size of Dark Store sq. ft</t>
  </si>
  <si>
    <t>Size of Mother Ware House sq. ft</t>
  </si>
  <si>
    <t>Capacity of transprtation vehicle kg</t>
  </si>
  <si>
    <t xml:space="preserve">No of daily trip to dark Store </t>
  </si>
  <si>
    <t>Vehicle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</si>
</sst>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scheme val="minor"/>
    </font>
    <font>
      <sz val="11"/>
      <color theme="1"/>
      <name val="Algerian"/>
      <family val="5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Algerian"/>
      <family val="5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FF0D8"/>
        <bgColor rgb="FFDFF0D8"/>
      </patternFill>
    </fill>
    <fill>
      <patternFill patternType="solid">
        <fgColor rgb="FFF9F9F9"/>
        <bgColor rgb="FFF9F9F9"/>
      </patternFill>
    </fill>
    <fill>
      <patternFill patternType="solid">
        <fgColor rgb="FFE9EDFD"/>
        <bgColor rgb="FFE9EDFD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/>
      <top style="medium">
        <color rgb="FFDDDDDD"/>
      </top>
      <bottom style="medium">
        <color rgb="FF000000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5" fillId="0" borderId="0" xfId="0" applyFont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/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/>
    <xf numFmtId="9" fontId="4" fillId="0" borderId="8" xfId="0" applyNumberFormat="1" applyFont="1" applyBorder="1" applyAlignment="1">
      <alignment horizontal="center"/>
    </xf>
    <xf numFmtId="9" fontId="4" fillId="0" borderId="0" xfId="0" applyNumberFormat="1" applyFont="1"/>
    <xf numFmtId="0" fontId="3" fillId="0" borderId="6" xfId="0" applyFont="1" applyBorder="1"/>
    <xf numFmtId="0" fontId="4" fillId="0" borderId="6" xfId="0" applyFont="1" applyBorder="1"/>
    <xf numFmtId="0" fontId="3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wrapText="1"/>
    </xf>
    <xf numFmtId="0" fontId="4" fillId="0" borderId="13" xfId="0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10" fontId="4" fillId="0" borderId="6" xfId="0" applyNumberFormat="1" applyFont="1" applyBorder="1"/>
    <xf numFmtId="9" fontId="4" fillId="0" borderId="6" xfId="0" applyNumberFormat="1" applyFont="1" applyBorder="1"/>
    <xf numFmtId="0" fontId="4" fillId="0" borderId="14" xfId="0" applyFont="1" applyBorder="1" applyAlignment="1">
      <alignment horizontal="center"/>
    </xf>
    <xf numFmtId="0" fontId="4" fillId="0" borderId="8" xfId="0" applyFont="1" applyBorder="1"/>
    <xf numFmtId="164" fontId="4" fillId="2" borderId="13" xfId="0" applyNumberFormat="1" applyFont="1" applyFill="1" applyBorder="1" applyAlignment="1">
      <alignment horizontal="center"/>
    </xf>
    <xf numFmtId="0" fontId="7" fillId="3" borderId="17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right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3" fontId="8" fillId="4" borderId="13" xfId="0" applyNumberFormat="1" applyFont="1" applyFill="1" applyBorder="1" applyAlignment="1">
      <alignment horizontal="right" vertical="center" wrapText="1"/>
    </xf>
    <xf numFmtId="0" fontId="8" fillId="4" borderId="13" xfId="0" applyFont="1" applyFill="1" applyBorder="1" applyAlignment="1">
      <alignment horizontal="right" vertical="center" wrapText="1"/>
    </xf>
    <xf numFmtId="3" fontId="7" fillId="4" borderId="13" xfId="0" applyNumberFormat="1" applyFont="1" applyFill="1" applyBorder="1" applyAlignment="1">
      <alignment horizontal="right" vertical="center" wrapText="1"/>
    </xf>
    <xf numFmtId="0" fontId="4" fillId="0" borderId="13" xfId="0" applyFont="1" applyBorder="1"/>
    <xf numFmtId="1" fontId="4" fillId="0" borderId="13" xfId="0" applyNumberFormat="1" applyFont="1" applyBorder="1"/>
    <xf numFmtId="0" fontId="8" fillId="4" borderId="19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horizontal="right" vertical="center" wrapText="1"/>
    </xf>
    <xf numFmtId="0" fontId="8" fillId="0" borderId="20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3" fontId="8" fillId="0" borderId="13" xfId="0" applyNumberFormat="1" applyFont="1" applyBorder="1" applyAlignment="1">
      <alignment horizontal="right" vertical="center" wrapText="1"/>
    </xf>
    <xf numFmtId="0" fontId="7" fillId="0" borderId="13" xfId="0" applyFont="1" applyBorder="1" applyAlignment="1">
      <alignment horizontal="right" vertical="center" wrapText="1"/>
    </xf>
    <xf numFmtId="0" fontId="8" fillId="0" borderId="21" xfId="0" applyFont="1" applyBorder="1" applyAlignment="1">
      <alignment vertical="center" wrapText="1"/>
    </xf>
    <xf numFmtId="3" fontId="7" fillId="0" borderId="13" xfId="0" applyNumberFormat="1" applyFont="1" applyBorder="1" applyAlignment="1">
      <alignment horizontal="right" vertical="center" wrapText="1"/>
    </xf>
    <xf numFmtId="0" fontId="8" fillId="4" borderId="22" xfId="0" applyFont="1" applyFill="1" applyBorder="1" applyAlignment="1">
      <alignment vertical="center" wrapText="1"/>
    </xf>
    <xf numFmtId="3" fontId="8" fillId="4" borderId="22" xfId="0" applyNumberFormat="1" applyFont="1" applyFill="1" applyBorder="1" applyAlignment="1">
      <alignment horizontal="right" vertical="center" wrapText="1"/>
    </xf>
    <xf numFmtId="0" fontId="7" fillId="4" borderId="23" xfId="0" applyFont="1" applyFill="1" applyBorder="1" applyAlignment="1">
      <alignment horizontal="right" vertical="center" wrapText="1"/>
    </xf>
    <xf numFmtId="0" fontId="8" fillId="4" borderId="24" xfId="0" applyFont="1" applyFill="1" applyBorder="1" applyAlignment="1">
      <alignment vertical="center" wrapText="1"/>
    </xf>
    <xf numFmtId="3" fontId="8" fillId="4" borderId="24" xfId="0" applyNumberFormat="1" applyFont="1" applyFill="1" applyBorder="1" applyAlignment="1">
      <alignment horizontal="right" vertical="center" wrapText="1"/>
    </xf>
    <xf numFmtId="0" fontId="7" fillId="4" borderId="25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3" fontId="8" fillId="0" borderId="0" xfId="0" applyNumberFormat="1" applyFont="1" applyAlignment="1">
      <alignment horizontal="right" vertical="center" wrapText="1"/>
    </xf>
    <xf numFmtId="0" fontId="7" fillId="0" borderId="26" xfId="0" applyFont="1" applyBorder="1" applyAlignment="1">
      <alignment horizontal="right" vertical="center" wrapText="1"/>
    </xf>
    <xf numFmtId="0" fontId="8" fillId="0" borderId="27" xfId="0" applyFont="1" applyBorder="1" applyAlignment="1">
      <alignment vertical="center" wrapText="1"/>
    </xf>
    <xf numFmtId="3" fontId="8" fillId="0" borderId="27" xfId="0" applyNumberFormat="1" applyFont="1" applyBorder="1" applyAlignment="1">
      <alignment horizontal="right" vertical="center" wrapText="1"/>
    </xf>
    <xf numFmtId="0" fontId="7" fillId="0" borderId="28" xfId="0" applyFont="1" applyBorder="1" applyAlignment="1">
      <alignment horizontal="right" vertical="center" wrapText="1"/>
    </xf>
    <xf numFmtId="0" fontId="3" fillId="0" borderId="29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32" xfId="0" applyFont="1" applyBorder="1"/>
    <xf numFmtId="0" fontId="4" fillId="0" borderId="33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1" fontId="4" fillId="0" borderId="0" xfId="0" applyNumberFormat="1" applyFont="1"/>
    <xf numFmtId="0" fontId="4" fillId="0" borderId="35" xfId="0" applyFont="1" applyBorder="1"/>
    <xf numFmtId="9" fontId="4" fillId="0" borderId="6" xfId="0" applyNumberFormat="1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/>
    <xf numFmtId="2" fontId="4" fillId="0" borderId="14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" xfId="0" applyFont="1" applyBorder="1"/>
    <xf numFmtId="9" fontId="4" fillId="0" borderId="2" xfId="0" applyNumberFormat="1" applyFont="1" applyBorder="1"/>
    <xf numFmtId="0" fontId="4" fillId="0" borderId="0" xfId="0" applyFont="1" applyAlignment="1">
      <alignment wrapText="1"/>
    </xf>
    <xf numFmtId="0" fontId="3" fillId="0" borderId="39" xfId="0" applyFont="1" applyBorder="1"/>
    <xf numFmtId="9" fontId="3" fillId="2" borderId="40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0" fontId="9" fillId="5" borderId="44" xfId="0" applyFont="1" applyFill="1" applyBorder="1" applyAlignment="1">
      <alignment horizontal="left" wrapText="1" readingOrder="1"/>
    </xf>
    <xf numFmtId="9" fontId="9" fillId="5" borderId="44" xfId="0" applyNumberFormat="1" applyFont="1" applyFill="1" applyBorder="1" applyAlignment="1">
      <alignment horizontal="center" wrapText="1" readingOrder="1"/>
    </xf>
    <xf numFmtId="0" fontId="9" fillId="5" borderId="44" xfId="0" applyFont="1" applyFill="1" applyBorder="1" applyAlignment="1">
      <alignment horizontal="center" wrapText="1" readingOrder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6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5" xfId="0" applyFont="1" applyBorder="1" applyAlignment="1">
      <alignment horizontal="center"/>
    </xf>
    <xf numFmtId="0" fontId="2" fillId="0" borderId="16" xfId="0" applyFont="1" applyBorder="1"/>
    <xf numFmtId="0" fontId="9" fillId="5" borderId="41" xfId="0" applyFont="1" applyFill="1" applyBorder="1" applyAlignment="1">
      <alignment horizontal="center" wrapText="1" readingOrder="1"/>
    </xf>
    <xf numFmtId="0" fontId="2" fillId="0" borderId="42" xfId="0" applyFont="1" applyBorder="1"/>
    <xf numFmtId="0" fontId="2" fillId="0" borderId="4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sz="1800" b="1" i="0">
                <a:solidFill>
                  <a:schemeClr val="dk1"/>
                </a:solidFill>
                <a:latin typeface="+mn-lt"/>
              </a:rPr>
              <a:t>Q-Comm Market Share India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Sheet3!$K$6</c:f>
              <c:strCache>
                <c:ptCount val="1"/>
                <c:pt idx="0">
                  <c:v>Market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DB5B-494B-9992-2ABBB1A7EDC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Sheet3!$L$5:$O$5</c:f>
              <c:strCache>
                <c:ptCount val="4"/>
                <c:pt idx="0">
                  <c:v>Blink it</c:v>
                </c:pt>
                <c:pt idx="1">
                  <c:v>Big Basket</c:v>
                </c:pt>
                <c:pt idx="2">
                  <c:v>Instamart</c:v>
                </c:pt>
                <c:pt idx="3">
                  <c:v>Zepto</c:v>
                </c:pt>
              </c:strCache>
            </c:strRef>
          </c:cat>
          <c:val>
            <c:numRef>
              <c:f>Sheet3!$L$6:$O$6</c:f>
              <c:numCache>
                <c:formatCode>0%</c:formatCode>
                <c:ptCount val="4"/>
                <c:pt idx="0">
                  <c:v>0.45</c:v>
                </c:pt>
                <c:pt idx="1">
                  <c:v>7.0000000000000007E-2</c:v>
                </c:pt>
                <c:pt idx="2">
                  <c:v>0.27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B-494B-9992-2ABBB1A7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4</xdr:row>
      <xdr:rowOff>266700</xdr:rowOff>
    </xdr:from>
    <xdr:ext cx="3124200" cy="1381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topLeftCell="A23" zoomScale="85" zoomScaleNormal="85" workbookViewId="0">
      <selection activeCell="I34" sqref="I34"/>
    </sheetView>
  </sheetViews>
  <sheetFormatPr defaultColWidth="14.44140625" defaultRowHeight="15" customHeight="1" x14ac:dyDescent="0.3"/>
  <cols>
    <col min="1" max="1" width="50.88671875" customWidth="1"/>
    <col min="2" max="2" width="9.5546875" customWidth="1"/>
    <col min="3" max="3" width="8.6640625" customWidth="1"/>
    <col min="4" max="4" width="11.5546875" customWidth="1"/>
    <col min="5" max="6" width="8.6640625" customWidth="1"/>
    <col min="7" max="7" width="14.44140625" customWidth="1"/>
    <col min="8" max="26" width="8.6640625" customWidth="1"/>
  </cols>
  <sheetData>
    <row r="1" spans="1:7" ht="14.25" customHeight="1" x14ac:dyDescent="0.3">
      <c r="A1" s="89" t="s">
        <v>0</v>
      </c>
      <c r="B1" s="90"/>
    </row>
    <row r="2" spans="1:7" ht="14.25" customHeight="1" x14ac:dyDescent="0.3">
      <c r="A2" s="1" t="s">
        <v>1</v>
      </c>
      <c r="B2" s="2" t="s">
        <v>2</v>
      </c>
    </row>
    <row r="3" spans="1:7" ht="14.25" customHeight="1" x14ac:dyDescent="0.3">
      <c r="A3" s="3" t="s">
        <v>3</v>
      </c>
      <c r="B3" s="4">
        <v>3500</v>
      </c>
    </row>
    <row r="4" spans="1:7" ht="14.25" customHeight="1" x14ac:dyDescent="0.3">
      <c r="A4" s="3" t="s">
        <v>4</v>
      </c>
      <c r="B4" s="4">
        <v>25</v>
      </c>
    </row>
    <row r="5" spans="1:7" ht="14.25" customHeight="1" x14ac:dyDescent="0.3">
      <c r="A5" s="3" t="s">
        <v>5</v>
      </c>
      <c r="B5" s="4">
        <v>17500</v>
      </c>
      <c r="F5" s="5" t="s">
        <v>6</v>
      </c>
      <c r="G5" s="5">
        <v>51</v>
      </c>
    </row>
    <row r="6" spans="1:7" ht="14.25" customHeight="1" x14ac:dyDescent="0.3">
      <c r="A6" s="6" t="s">
        <v>7</v>
      </c>
      <c r="B6" s="4">
        <f>B4*B5</f>
        <v>437500</v>
      </c>
      <c r="F6" s="5" t="s">
        <v>8</v>
      </c>
      <c r="G6" s="5">
        <f>B18*G5*90/1000000</f>
        <v>2754</v>
      </c>
    </row>
    <row r="7" spans="1:7" ht="14.25" customHeight="1" x14ac:dyDescent="0.3">
      <c r="A7" s="3" t="s">
        <v>9</v>
      </c>
      <c r="B7" s="4">
        <v>95</v>
      </c>
      <c r="F7" s="5" t="s">
        <v>10</v>
      </c>
      <c r="G7" s="5">
        <f>B11*G5*3/1000000</f>
        <v>139.22999999999999</v>
      </c>
    </row>
    <row r="8" spans="1:7" ht="14.25" customHeight="1" x14ac:dyDescent="0.3">
      <c r="A8" s="6" t="s">
        <v>11</v>
      </c>
      <c r="B8" s="4">
        <f>B3*B7</f>
        <v>332500</v>
      </c>
      <c r="F8" s="5" t="s">
        <v>12</v>
      </c>
      <c r="G8" s="5">
        <f>G7/G6</f>
        <v>5.0555555555555555E-2</v>
      </c>
    </row>
    <row r="9" spans="1:7" ht="14.25" customHeight="1" x14ac:dyDescent="0.3">
      <c r="A9" s="3" t="s">
        <v>13</v>
      </c>
      <c r="B9" s="4">
        <v>40</v>
      </c>
      <c r="F9" s="5" t="s">
        <v>14</v>
      </c>
      <c r="G9" s="5">
        <f>B30*G5</f>
        <v>408</v>
      </c>
    </row>
    <row r="10" spans="1:7" ht="14.25" customHeight="1" x14ac:dyDescent="0.3">
      <c r="A10" s="6" t="s">
        <v>15</v>
      </c>
      <c r="B10" s="4">
        <f>B9*B3</f>
        <v>140000</v>
      </c>
    </row>
    <row r="11" spans="1:7" ht="14.25" customHeight="1" x14ac:dyDescent="0.3">
      <c r="A11" s="6" t="s">
        <v>16</v>
      </c>
      <c r="B11" s="7">
        <f>B10+B8+B6</f>
        <v>910000</v>
      </c>
    </row>
    <row r="12" spans="1:7" ht="14.25" customHeight="1" x14ac:dyDescent="0.3">
      <c r="A12" s="6" t="s">
        <v>6</v>
      </c>
      <c r="B12" s="7">
        <v>51</v>
      </c>
    </row>
    <row r="13" spans="1:7" ht="14.25" customHeight="1" x14ac:dyDescent="0.3">
      <c r="A13" s="8" t="s">
        <v>17</v>
      </c>
      <c r="B13" s="9">
        <f>B12*B11*3/1000000</f>
        <v>139.22999999999999</v>
      </c>
    </row>
    <row r="14" spans="1:7" ht="14.25" customHeight="1" x14ac:dyDescent="0.3">
      <c r="A14" s="10"/>
      <c r="B14" s="10"/>
      <c r="C14" s="10"/>
    </row>
    <row r="15" spans="1:7" ht="14.25" customHeight="1" x14ac:dyDescent="0.3">
      <c r="A15" s="91" t="s">
        <v>18</v>
      </c>
      <c r="B15" s="90"/>
    </row>
    <row r="16" spans="1:7" ht="14.25" customHeight="1" x14ac:dyDescent="0.3">
      <c r="A16" s="11" t="s">
        <v>19</v>
      </c>
      <c r="B16" s="12">
        <v>1200</v>
      </c>
    </row>
    <row r="17" spans="1:3" ht="14.25" customHeight="1" x14ac:dyDescent="0.3">
      <c r="A17" s="3" t="s">
        <v>20</v>
      </c>
      <c r="B17" s="4">
        <v>500</v>
      </c>
    </row>
    <row r="18" spans="1:3" ht="14.25" customHeight="1" x14ac:dyDescent="0.3">
      <c r="A18" s="3" t="s">
        <v>21</v>
      </c>
      <c r="B18" s="4">
        <f>B16*B17</f>
        <v>600000</v>
      </c>
    </row>
    <row r="19" spans="1:3" ht="14.25" customHeight="1" x14ac:dyDescent="0.3">
      <c r="A19" s="3" t="s">
        <v>22</v>
      </c>
      <c r="B19" s="7">
        <f>B18*B12*90/1000000</f>
        <v>2754</v>
      </c>
    </row>
    <row r="20" spans="1:3" ht="14.25" customHeight="1" x14ac:dyDescent="0.3">
      <c r="A20" s="13" t="s">
        <v>23</v>
      </c>
      <c r="B20" s="14">
        <f>B13/B19</f>
        <v>5.0555555555555555E-2</v>
      </c>
    </row>
    <row r="21" spans="1:3" ht="14.25" customHeight="1" x14ac:dyDescent="0.3">
      <c r="A21" s="10"/>
      <c r="C21" s="15"/>
    </row>
    <row r="22" spans="1:3" ht="14.25" customHeight="1" x14ac:dyDescent="0.3">
      <c r="A22" s="92" t="s">
        <v>14</v>
      </c>
      <c r="B22" s="93"/>
    </row>
    <row r="23" spans="1:3" ht="14.25" customHeight="1" x14ac:dyDescent="0.3">
      <c r="A23" s="6" t="s">
        <v>24</v>
      </c>
      <c r="B23" s="16" t="s">
        <v>25</v>
      </c>
    </row>
    <row r="24" spans="1:3" ht="14.25" customHeight="1" x14ac:dyDescent="0.3">
      <c r="A24" s="3" t="s">
        <v>26</v>
      </c>
      <c r="B24" s="17"/>
    </row>
    <row r="25" spans="1:3" ht="14.25" customHeight="1" x14ac:dyDescent="0.3">
      <c r="A25" s="3" t="s">
        <v>27</v>
      </c>
      <c r="B25" s="4">
        <v>3</v>
      </c>
    </row>
    <row r="26" spans="1:3" ht="14.25" customHeight="1" x14ac:dyDescent="0.3">
      <c r="A26" s="3" t="s">
        <v>28</v>
      </c>
      <c r="B26" s="4">
        <v>1</v>
      </c>
    </row>
    <row r="27" spans="1:3" ht="14.25" customHeight="1" x14ac:dyDescent="0.3">
      <c r="A27" s="3" t="s">
        <v>29</v>
      </c>
      <c r="B27" s="4">
        <v>3</v>
      </c>
    </row>
    <row r="28" spans="1:3" ht="14.25" customHeight="1" x14ac:dyDescent="0.3">
      <c r="A28" s="3" t="s">
        <v>30</v>
      </c>
      <c r="B28" s="4">
        <v>1</v>
      </c>
    </row>
    <row r="29" spans="1:3" ht="14.25" customHeight="1" x14ac:dyDescent="0.3">
      <c r="A29" s="3" t="s">
        <v>31</v>
      </c>
      <c r="B29" s="4">
        <v>8</v>
      </c>
    </row>
    <row r="30" spans="1:3" ht="14.25" customHeight="1" x14ac:dyDescent="0.3">
      <c r="A30" s="6" t="s">
        <v>32</v>
      </c>
      <c r="B30" s="7">
        <f>B29</f>
        <v>8</v>
      </c>
    </row>
    <row r="31" spans="1:3" ht="14.25" customHeight="1" x14ac:dyDescent="0.3">
      <c r="A31" s="3" t="s">
        <v>33</v>
      </c>
      <c r="B31" s="4">
        <v>51</v>
      </c>
    </row>
    <row r="32" spans="1:3" ht="14.25" customHeight="1" x14ac:dyDescent="0.3">
      <c r="A32" s="8" t="s">
        <v>34</v>
      </c>
      <c r="B32" s="9">
        <f>B31*B30</f>
        <v>408</v>
      </c>
    </row>
    <row r="33" spans="1:4" ht="14.25" customHeight="1" x14ac:dyDescent="0.3"/>
    <row r="34" spans="1:4" ht="14.25" customHeight="1" x14ac:dyDescent="0.3">
      <c r="A34" s="92" t="s">
        <v>35</v>
      </c>
      <c r="B34" s="94"/>
      <c r="C34" s="94"/>
      <c r="D34" s="95"/>
    </row>
    <row r="35" spans="1:4" ht="14.25" customHeight="1" x14ac:dyDescent="0.3">
      <c r="A35" s="6" t="s">
        <v>36</v>
      </c>
      <c r="B35" s="18" t="s">
        <v>37</v>
      </c>
      <c r="C35" s="19" t="s">
        <v>38</v>
      </c>
      <c r="D35" s="16" t="s">
        <v>39</v>
      </c>
    </row>
    <row r="36" spans="1:4" ht="14.25" customHeight="1" x14ac:dyDescent="0.3">
      <c r="A36" s="3" t="s">
        <v>40</v>
      </c>
      <c r="B36" s="20">
        <f>0.12*B17</f>
        <v>60</v>
      </c>
      <c r="C36" s="21">
        <f t="shared" ref="C36:C38" si="0">$B36*$B$16*$B$12*90/1000000</f>
        <v>330.48</v>
      </c>
      <c r="D36" s="17" t="s">
        <v>41</v>
      </c>
    </row>
    <row r="37" spans="1:4" ht="14.25" customHeight="1" x14ac:dyDescent="0.3">
      <c r="A37" s="3" t="s">
        <v>42</v>
      </c>
      <c r="B37" s="20">
        <f>0.035*B17</f>
        <v>17.5</v>
      </c>
      <c r="C37" s="21">
        <f t="shared" si="0"/>
        <v>96.39</v>
      </c>
      <c r="D37" s="17" t="s">
        <v>43</v>
      </c>
    </row>
    <row r="38" spans="1:4" ht="14.25" customHeight="1" x14ac:dyDescent="0.3">
      <c r="A38" s="3" t="s">
        <v>44</v>
      </c>
      <c r="B38" s="20">
        <f>B17*0.03</f>
        <v>15</v>
      </c>
      <c r="C38" s="21">
        <f t="shared" si="0"/>
        <v>82.62</v>
      </c>
      <c r="D38" s="17" t="s">
        <v>45</v>
      </c>
    </row>
    <row r="39" spans="1:4" ht="14.25" customHeight="1" x14ac:dyDescent="0.3">
      <c r="A39" s="3" t="s">
        <v>32</v>
      </c>
      <c r="B39" s="20">
        <f t="shared" ref="B39:C39" si="1">SUM(B36:B38)</f>
        <v>92.5</v>
      </c>
      <c r="C39" s="21">
        <f t="shared" si="1"/>
        <v>509.49</v>
      </c>
      <c r="D39" s="17"/>
    </row>
    <row r="40" spans="1:4" ht="14.25" customHeight="1" x14ac:dyDescent="0.3">
      <c r="A40" s="3" t="s">
        <v>46</v>
      </c>
      <c r="B40" s="20"/>
      <c r="C40" s="21"/>
      <c r="D40" s="17"/>
    </row>
    <row r="41" spans="1:4" ht="14.25" customHeight="1" x14ac:dyDescent="0.3">
      <c r="A41" s="3" t="s">
        <v>47</v>
      </c>
      <c r="B41" s="20">
        <f>$B$17*0.003</f>
        <v>1.5</v>
      </c>
      <c r="C41" s="22">
        <f t="shared" ref="C41:C45" si="2">$B41*$B$16*$B$12*90/1000000</f>
        <v>8.2620000000000005</v>
      </c>
      <c r="D41" s="23" t="s">
        <v>48</v>
      </c>
    </row>
    <row r="42" spans="1:4" ht="14.25" customHeight="1" x14ac:dyDescent="0.3">
      <c r="A42" s="3" t="s">
        <v>49</v>
      </c>
      <c r="B42" s="20">
        <f>$B$17*0.05</f>
        <v>25</v>
      </c>
      <c r="C42" s="22">
        <f t="shared" si="2"/>
        <v>137.69999999999999</v>
      </c>
      <c r="D42" s="17" t="s">
        <v>50</v>
      </c>
    </row>
    <row r="43" spans="1:4" ht="14.25" customHeight="1" x14ac:dyDescent="0.3">
      <c r="A43" s="3" t="s">
        <v>51</v>
      </c>
      <c r="B43" s="20">
        <f>$B$17*0.03</f>
        <v>15</v>
      </c>
      <c r="C43" s="22">
        <f t="shared" si="2"/>
        <v>82.62</v>
      </c>
      <c r="D43" s="24" t="s">
        <v>52</v>
      </c>
    </row>
    <row r="44" spans="1:4" ht="14.25" customHeight="1" x14ac:dyDescent="0.3">
      <c r="A44" s="3" t="s">
        <v>53</v>
      </c>
      <c r="B44" s="20">
        <f>$B$17*0.069</f>
        <v>34.5</v>
      </c>
      <c r="C44" s="22">
        <f t="shared" si="2"/>
        <v>190.02600000000001</v>
      </c>
      <c r="D44" s="23" t="s">
        <v>54</v>
      </c>
    </row>
    <row r="45" spans="1:4" ht="14.25" customHeight="1" x14ac:dyDescent="0.3">
      <c r="A45" s="3" t="s">
        <v>55</v>
      </c>
      <c r="B45" s="20">
        <f>$B$17*0.021</f>
        <v>10.5</v>
      </c>
      <c r="C45" s="22">
        <f t="shared" si="2"/>
        <v>57.834000000000003</v>
      </c>
      <c r="D45" s="23" t="s">
        <v>56</v>
      </c>
    </row>
    <row r="46" spans="1:4" ht="14.25" customHeight="1" x14ac:dyDescent="0.3">
      <c r="A46" s="3" t="s">
        <v>32</v>
      </c>
      <c r="B46" s="20">
        <f t="shared" ref="B46:C46" si="3">SUM(B41:B45)</f>
        <v>86.5</v>
      </c>
      <c r="C46" s="21">
        <f t="shared" si="3"/>
        <v>476.44200000000001</v>
      </c>
      <c r="D46" s="17"/>
    </row>
    <row r="47" spans="1:4" ht="14.25" customHeight="1" x14ac:dyDescent="0.3">
      <c r="A47" s="13" t="s">
        <v>57</v>
      </c>
      <c r="B47" s="25">
        <f t="shared" ref="B47:C47" si="4">B39-B46</f>
        <v>6</v>
      </c>
      <c r="C47" s="22">
        <f t="shared" si="4"/>
        <v>33.048000000000002</v>
      </c>
      <c r="D47" s="26"/>
    </row>
    <row r="48" spans="1:4" ht="14.25" customHeight="1" x14ac:dyDescent="0.3"/>
    <row r="49" spans="1:3" ht="14.25" customHeight="1" x14ac:dyDescent="0.3">
      <c r="A49" s="96" t="s">
        <v>58</v>
      </c>
      <c r="B49" s="97"/>
      <c r="C49" s="27">
        <f>G9/C47</f>
        <v>12.345679012345679</v>
      </c>
    </row>
    <row r="50" spans="1:3" ht="14.25" customHeight="1" x14ac:dyDescent="0.3"/>
    <row r="51" spans="1:3" ht="14.25" customHeight="1" x14ac:dyDescent="0.3"/>
    <row r="52" spans="1:3" ht="14.25" customHeight="1" x14ac:dyDescent="0.3"/>
    <row r="53" spans="1:3" ht="14.25" customHeight="1" x14ac:dyDescent="0.3"/>
    <row r="54" spans="1:3" ht="14.25" customHeight="1" x14ac:dyDescent="0.3"/>
    <row r="55" spans="1:3" ht="14.25" customHeight="1" x14ac:dyDescent="0.3"/>
    <row r="56" spans="1:3" ht="14.25" customHeight="1" x14ac:dyDescent="0.3"/>
    <row r="57" spans="1:3" ht="14.25" customHeight="1" x14ac:dyDescent="0.3"/>
    <row r="58" spans="1:3" ht="14.25" customHeight="1" x14ac:dyDescent="0.3"/>
    <row r="59" spans="1:3" ht="14.25" customHeight="1" x14ac:dyDescent="0.3"/>
    <row r="60" spans="1:3" ht="14.25" customHeight="1" x14ac:dyDescent="0.3"/>
    <row r="61" spans="1:3" ht="14.25" customHeight="1" x14ac:dyDescent="0.3"/>
    <row r="62" spans="1:3" ht="14.25" customHeight="1" x14ac:dyDescent="0.3"/>
    <row r="63" spans="1:3" ht="14.25" customHeight="1" x14ac:dyDescent="0.3"/>
    <row r="64" spans="1: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">
    <mergeCell ref="A1:B1"/>
    <mergeCell ref="A15:B15"/>
    <mergeCell ref="A22:B22"/>
    <mergeCell ref="A34:D34"/>
    <mergeCell ref="A49:B4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4.44140625" defaultRowHeight="15" customHeight="1" x14ac:dyDescent="0.3"/>
  <cols>
    <col min="1" max="1" width="8.6640625" customWidth="1"/>
    <col min="2" max="3" width="12.44140625" customWidth="1"/>
    <col min="4" max="4" width="8.44140625" customWidth="1"/>
    <col min="5" max="6" width="20.109375" customWidth="1"/>
    <col min="7" max="7" width="6.109375" customWidth="1"/>
    <col min="8" max="8" width="8.109375" customWidth="1"/>
    <col min="9" max="9" width="8" customWidth="1"/>
    <col min="10" max="26" width="8.6640625" customWidth="1"/>
  </cols>
  <sheetData>
    <row r="1" spans="1:11" ht="14.25" customHeight="1" x14ac:dyDescent="0.3">
      <c r="A1" s="28" t="s">
        <v>59</v>
      </c>
      <c r="B1" s="29" t="s">
        <v>60</v>
      </c>
      <c r="C1" s="29"/>
      <c r="D1" s="30" t="s">
        <v>61</v>
      </c>
      <c r="E1" s="31" t="s">
        <v>62</v>
      </c>
      <c r="F1" s="31"/>
      <c r="G1" s="30" t="s">
        <v>63</v>
      </c>
      <c r="H1" s="30" t="s">
        <v>64</v>
      </c>
      <c r="I1" s="30" t="s">
        <v>65</v>
      </c>
    </row>
    <row r="2" spans="1:11" ht="14.25" customHeight="1" x14ac:dyDescent="0.3">
      <c r="A2" s="32">
        <v>2</v>
      </c>
      <c r="B2" s="33" t="s">
        <v>66</v>
      </c>
      <c r="C2" s="33">
        <v>54</v>
      </c>
      <c r="D2" s="34">
        <v>4646732</v>
      </c>
      <c r="E2" s="35">
        <v>175</v>
      </c>
      <c r="F2" s="35"/>
      <c r="G2" s="36">
        <v>17000</v>
      </c>
      <c r="H2" s="37" t="s">
        <v>67</v>
      </c>
      <c r="I2" s="38">
        <f>E2/4</f>
        <v>43.75</v>
      </c>
      <c r="K2" s="5">
        <v>910</v>
      </c>
    </row>
    <row r="3" spans="1:11" ht="14.25" customHeight="1" x14ac:dyDescent="0.3">
      <c r="A3" s="39">
        <v>12</v>
      </c>
      <c r="B3" s="33" t="s">
        <v>68</v>
      </c>
      <c r="C3" s="33">
        <v>35</v>
      </c>
      <c r="D3" s="34">
        <v>3038252</v>
      </c>
      <c r="E3" s="34">
        <v>3710</v>
      </c>
      <c r="F3" s="34"/>
      <c r="G3" s="40">
        <v>823</v>
      </c>
      <c r="H3" s="37" t="s">
        <v>69</v>
      </c>
      <c r="I3" s="38">
        <f t="shared" ref="I3:I17" si="0">E3/9</f>
        <v>412.22222222222223</v>
      </c>
      <c r="J3" s="5">
        <v>456</v>
      </c>
    </row>
    <row r="4" spans="1:11" ht="14.25" customHeight="1" x14ac:dyDescent="0.3">
      <c r="A4" s="41">
        <v>3</v>
      </c>
      <c r="B4" s="42" t="s">
        <v>70</v>
      </c>
      <c r="C4" s="42">
        <v>40</v>
      </c>
      <c r="D4" s="43">
        <v>3458045</v>
      </c>
      <c r="E4" s="43">
        <v>4732</v>
      </c>
      <c r="F4" s="43"/>
      <c r="G4" s="44">
        <v>748</v>
      </c>
      <c r="H4" s="37" t="s">
        <v>69</v>
      </c>
      <c r="I4" s="38">
        <f t="shared" si="0"/>
        <v>525.77777777777783</v>
      </c>
      <c r="J4" s="5">
        <v>506</v>
      </c>
    </row>
    <row r="5" spans="1:11" ht="14.25" customHeight="1" x14ac:dyDescent="0.3">
      <c r="A5" s="39">
        <v>18</v>
      </c>
      <c r="B5" s="33" t="s">
        <v>71</v>
      </c>
      <c r="C5" s="33">
        <v>40</v>
      </c>
      <c r="D5" s="34">
        <v>3482056</v>
      </c>
      <c r="E5" s="34">
        <v>5237</v>
      </c>
      <c r="F5" s="34"/>
      <c r="G5" s="40">
        <v>663</v>
      </c>
      <c r="H5" s="37" t="s">
        <v>69</v>
      </c>
      <c r="I5" s="38">
        <f t="shared" si="0"/>
        <v>581.88888888888891</v>
      </c>
      <c r="J5" s="5">
        <v>345</v>
      </c>
    </row>
    <row r="6" spans="1:11" ht="14.25" customHeight="1" x14ac:dyDescent="0.3">
      <c r="A6" s="32">
        <v>24</v>
      </c>
      <c r="B6" s="33" t="s">
        <v>72</v>
      </c>
      <c r="C6" s="33">
        <v>32</v>
      </c>
      <c r="D6" s="34">
        <v>2722290</v>
      </c>
      <c r="E6" s="34">
        <v>4509</v>
      </c>
      <c r="F6" s="34"/>
      <c r="G6" s="40">
        <v>602</v>
      </c>
      <c r="H6" s="37" t="s">
        <v>69</v>
      </c>
      <c r="I6" s="38">
        <f t="shared" si="0"/>
        <v>501</v>
      </c>
      <c r="J6" s="5">
        <v>332</v>
      </c>
    </row>
    <row r="7" spans="1:11" ht="14.25" customHeight="1" x14ac:dyDescent="0.3">
      <c r="A7" s="45">
        <v>9</v>
      </c>
      <c r="B7" s="42" t="s">
        <v>73</v>
      </c>
      <c r="C7" s="42">
        <v>22</v>
      </c>
      <c r="D7" s="43">
        <v>1870374</v>
      </c>
      <c r="E7" s="43">
        <v>1684</v>
      </c>
      <c r="F7" s="43"/>
      <c r="G7" s="46">
        <v>1106</v>
      </c>
      <c r="H7" s="37"/>
      <c r="I7" s="38">
        <f t="shared" si="0"/>
        <v>187.11111111111111</v>
      </c>
      <c r="J7" s="5">
        <v>707</v>
      </c>
    </row>
    <row r="8" spans="1:11" ht="14.25" customHeight="1" x14ac:dyDescent="0.3">
      <c r="A8" s="41">
        <v>27</v>
      </c>
      <c r="B8" s="42" t="s">
        <v>74</v>
      </c>
      <c r="C8" s="42">
        <v>43</v>
      </c>
      <c r="D8" s="43">
        <v>3728104</v>
      </c>
      <c r="E8" s="43">
        <v>3394</v>
      </c>
      <c r="F8" s="43"/>
      <c r="G8" s="46">
        <v>1049</v>
      </c>
      <c r="H8" s="37"/>
      <c r="I8" s="38">
        <f t="shared" si="0"/>
        <v>377.11111111111109</v>
      </c>
      <c r="J8" s="5">
        <v>45</v>
      </c>
    </row>
    <row r="9" spans="1:11" ht="14.25" customHeight="1" x14ac:dyDescent="0.3">
      <c r="A9" s="39">
        <v>30</v>
      </c>
      <c r="B9" s="33" t="s">
        <v>75</v>
      </c>
      <c r="C9" s="33">
        <v>46</v>
      </c>
      <c r="D9" s="34">
        <v>3936331</v>
      </c>
      <c r="E9" s="34">
        <v>6075</v>
      </c>
      <c r="F9" s="34"/>
      <c r="G9" s="40">
        <v>776</v>
      </c>
      <c r="H9" s="37"/>
      <c r="I9" s="38">
        <f t="shared" si="0"/>
        <v>675</v>
      </c>
      <c r="J9" s="5">
        <v>138</v>
      </c>
    </row>
    <row r="10" spans="1:11" ht="14.25" customHeight="1" x14ac:dyDescent="0.3">
      <c r="A10" s="32">
        <v>8</v>
      </c>
      <c r="B10" s="33" t="s">
        <v>76</v>
      </c>
      <c r="C10" s="33">
        <v>46</v>
      </c>
      <c r="D10" s="34">
        <v>3998252</v>
      </c>
      <c r="E10" s="34">
        <v>4483</v>
      </c>
      <c r="F10" s="34"/>
      <c r="G10" s="40">
        <v>704</v>
      </c>
      <c r="H10" s="37"/>
      <c r="I10" s="38">
        <f t="shared" si="0"/>
        <v>498.11111111111109</v>
      </c>
      <c r="J10" s="5">
        <v>72</v>
      </c>
    </row>
    <row r="11" spans="1:11" ht="14.25" customHeight="1" x14ac:dyDescent="0.3">
      <c r="A11" s="39">
        <v>4</v>
      </c>
      <c r="B11" s="33" t="s">
        <v>77</v>
      </c>
      <c r="C11" s="33">
        <v>30</v>
      </c>
      <c r="D11" s="34">
        <v>2605914</v>
      </c>
      <c r="E11" s="34">
        <v>3703</v>
      </c>
      <c r="F11" s="34"/>
      <c r="G11" s="40">
        <v>702</v>
      </c>
      <c r="H11" s="37"/>
      <c r="I11" s="38">
        <f t="shared" si="0"/>
        <v>411.44444444444446</v>
      </c>
      <c r="J11" s="5">
        <v>189</v>
      </c>
    </row>
    <row r="12" spans="1:11" ht="14.25" customHeight="1" x14ac:dyDescent="0.3">
      <c r="A12" s="32">
        <v>20</v>
      </c>
      <c r="B12" s="33" t="s">
        <v>78</v>
      </c>
      <c r="C12" s="33">
        <v>28</v>
      </c>
      <c r="D12" s="34">
        <v>2405890</v>
      </c>
      <c r="E12" s="34">
        <v>3411</v>
      </c>
      <c r="F12" s="34"/>
      <c r="G12" s="40">
        <v>691</v>
      </c>
      <c r="H12" s="37"/>
      <c r="I12" s="38">
        <f t="shared" si="0"/>
        <v>379</v>
      </c>
      <c r="J12" s="5">
        <v>344</v>
      </c>
    </row>
    <row r="13" spans="1:11" ht="14.25" customHeight="1" x14ac:dyDescent="0.3">
      <c r="A13" s="45">
        <v>13</v>
      </c>
      <c r="B13" s="42" t="s">
        <v>79</v>
      </c>
      <c r="C13" s="42">
        <v>18</v>
      </c>
      <c r="D13" s="43">
        <v>1616450</v>
      </c>
      <c r="E13" s="43">
        <v>2569</v>
      </c>
      <c r="F13" s="43"/>
      <c r="G13" s="44">
        <v>668</v>
      </c>
      <c r="H13" s="37"/>
      <c r="I13" s="38">
        <f t="shared" si="0"/>
        <v>285.44444444444446</v>
      </c>
      <c r="J13" s="5">
        <v>317</v>
      </c>
    </row>
    <row r="14" spans="1:11" ht="14.25" customHeight="1" x14ac:dyDescent="0.3">
      <c r="A14" s="41">
        <v>31</v>
      </c>
      <c r="B14" s="42" t="s">
        <v>80</v>
      </c>
      <c r="C14" s="42">
        <v>40</v>
      </c>
      <c r="D14" s="43">
        <v>3458873</v>
      </c>
      <c r="E14" s="43">
        <v>7194</v>
      </c>
      <c r="F14" s="43"/>
      <c r="G14" s="44">
        <v>562</v>
      </c>
      <c r="H14" s="37"/>
      <c r="I14" s="38">
        <f t="shared" si="0"/>
        <v>799.33333333333337</v>
      </c>
      <c r="J14" s="5">
        <v>167</v>
      </c>
    </row>
    <row r="15" spans="1:11" ht="14.25" customHeight="1" x14ac:dyDescent="0.3">
      <c r="A15" s="45">
        <v>29</v>
      </c>
      <c r="B15" s="42" t="s">
        <v>81</v>
      </c>
      <c r="C15" s="42">
        <v>15</v>
      </c>
      <c r="D15" s="43">
        <v>1264277</v>
      </c>
      <c r="E15" s="43">
        <v>2274</v>
      </c>
      <c r="F15" s="43"/>
      <c r="G15" s="44">
        <v>533</v>
      </c>
      <c r="H15" s="37"/>
      <c r="I15" s="38">
        <f t="shared" si="0"/>
        <v>252.66666666666666</v>
      </c>
    </row>
    <row r="16" spans="1:11" ht="14.25" customHeight="1" x14ac:dyDescent="0.3">
      <c r="A16" s="32">
        <v>14</v>
      </c>
      <c r="B16" s="33" t="s">
        <v>82</v>
      </c>
      <c r="C16" s="33">
        <v>20</v>
      </c>
      <c r="D16" s="34">
        <v>1726601</v>
      </c>
      <c r="E16" s="34">
        <v>3420</v>
      </c>
      <c r="F16" s="34"/>
      <c r="G16" s="40">
        <v>506</v>
      </c>
      <c r="H16" s="37"/>
      <c r="I16" s="38">
        <f t="shared" si="0"/>
        <v>380</v>
      </c>
    </row>
    <row r="17" spans="1:9" ht="14.25" customHeight="1" x14ac:dyDescent="0.3">
      <c r="A17" s="39">
        <v>26</v>
      </c>
      <c r="B17" s="33" t="s">
        <v>83</v>
      </c>
      <c r="C17" s="33">
        <v>28</v>
      </c>
      <c r="D17" s="34">
        <v>2479052</v>
      </c>
      <c r="E17" s="34">
        <v>5187</v>
      </c>
      <c r="F17" s="34"/>
      <c r="G17" s="40">
        <v>476</v>
      </c>
      <c r="H17" s="37"/>
      <c r="I17" s="38">
        <f t="shared" si="0"/>
        <v>576.33333333333337</v>
      </c>
    </row>
    <row r="18" spans="1:9" ht="14.25" customHeight="1" x14ac:dyDescent="0.3">
      <c r="A18" s="32">
        <v>32</v>
      </c>
      <c r="B18" s="47" t="s">
        <v>84</v>
      </c>
      <c r="C18" s="47">
        <v>22</v>
      </c>
      <c r="D18" s="48">
        <v>1942288</v>
      </c>
      <c r="E18" s="48">
        <v>4241</v>
      </c>
      <c r="F18" s="48"/>
      <c r="G18" s="49">
        <v>454</v>
      </c>
    </row>
    <row r="19" spans="1:9" ht="14.25" customHeight="1" x14ac:dyDescent="0.3">
      <c r="A19" s="39">
        <v>22</v>
      </c>
      <c r="B19" s="50" t="s">
        <v>85</v>
      </c>
      <c r="C19" s="50">
        <v>14</v>
      </c>
      <c r="D19" s="51">
        <v>1245899</v>
      </c>
      <c r="E19" s="51">
        <v>2868</v>
      </c>
      <c r="F19" s="51"/>
      <c r="G19" s="52">
        <v>433</v>
      </c>
    </row>
    <row r="20" spans="1:9" ht="14.25" customHeight="1" x14ac:dyDescent="0.3">
      <c r="A20" s="41">
        <v>25</v>
      </c>
      <c r="B20" s="53" t="s">
        <v>86</v>
      </c>
      <c r="C20" s="53">
        <v>36</v>
      </c>
      <c r="D20" s="54">
        <v>3077233</v>
      </c>
      <c r="E20" s="54">
        <v>6693</v>
      </c>
      <c r="F20" s="54"/>
      <c r="G20" s="55">
        <v>433</v>
      </c>
    </row>
    <row r="21" spans="1:9" ht="14.25" customHeight="1" x14ac:dyDescent="0.3">
      <c r="A21" s="39">
        <v>28</v>
      </c>
      <c r="B21" s="50" t="s">
        <v>87</v>
      </c>
      <c r="C21" s="50">
        <v>28</v>
      </c>
      <c r="D21" s="51">
        <v>2464875</v>
      </c>
      <c r="E21" s="51">
        <v>6188</v>
      </c>
      <c r="F21" s="51"/>
      <c r="G21" s="52">
        <v>399</v>
      </c>
    </row>
    <row r="22" spans="1:9" ht="14.25" customHeight="1" x14ac:dyDescent="0.3">
      <c r="A22" s="41">
        <v>7</v>
      </c>
      <c r="B22" s="53" t="s">
        <v>88</v>
      </c>
      <c r="C22" s="53">
        <v>26</v>
      </c>
      <c r="D22" s="54">
        <v>2251744</v>
      </c>
      <c r="E22" s="54">
        <v>5760</v>
      </c>
      <c r="F22" s="54"/>
      <c r="G22" s="55">
        <v>397</v>
      </c>
    </row>
    <row r="23" spans="1:9" ht="14.25" customHeight="1" x14ac:dyDescent="0.3">
      <c r="A23" s="45">
        <v>1</v>
      </c>
      <c r="B23" s="56" t="s">
        <v>89</v>
      </c>
      <c r="C23" s="56">
        <v>9</v>
      </c>
      <c r="D23" s="57">
        <v>754894</v>
      </c>
      <c r="E23" s="57">
        <v>1940</v>
      </c>
      <c r="F23" s="57"/>
      <c r="G23" s="58">
        <v>387</v>
      </c>
    </row>
    <row r="24" spans="1:9" ht="14.25" customHeight="1" x14ac:dyDescent="0.3">
      <c r="A24" s="41">
        <v>23</v>
      </c>
      <c r="B24" s="53" t="s">
        <v>90</v>
      </c>
      <c r="C24" s="53">
        <v>20</v>
      </c>
      <c r="D24" s="54">
        <v>1750176</v>
      </c>
      <c r="E24" s="54">
        <v>4745</v>
      </c>
      <c r="F24" s="54"/>
      <c r="G24" s="55">
        <v>378</v>
      </c>
    </row>
    <row r="25" spans="1:9" ht="14.25" customHeight="1" x14ac:dyDescent="0.3">
      <c r="A25" s="39">
        <v>10</v>
      </c>
      <c r="B25" s="50" t="s">
        <v>91</v>
      </c>
      <c r="C25" s="50">
        <v>12</v>
      </c>
      <c r="D25" s="51">
        <v>1064493</v>
      </c>
      <c r="E25" s="51">
        <v>2904</v>
      </c>
      <c r="F25" s="51"/>
      <c r="G25" s="52">
        <v>371</v>
      </c>
    </row>
    <row r="26" spans="1:9" ht="14.25" customHeight="1" x14ac:dyDescent="0.3">
      <c r="A26" s="41">
        <v>11</v>
      </c>
      <c r="B26" s="53" t="s">
        <v>92</v>
      </c>
      <c r="C26" s="53">
        <v>22</v>
      </c>
      <c r="D26" s="54">
        <v>1879809</v>
      </c>
      <c r="E26" s="54">
        <v>5129</v>
      </c>
      <c r="F26" s="54"/>
      <c r="G26" s="55">
        <v>370</v>
      </c>
    </row>
    <row r="27" spans="1:9" ht="14.25" customHeight="1" x14ac:dyDescent="0.3">
      <c r="A27" s="39">
        <v>6</v>
      </c>
      <c r="B27" s="50" t="s">
        <v>93</v>
      </c>
      <c r="C27" s="50">
        <v>25</v>
      </c>
      <c r="D27" s="51">
        <v>2159775</v>
      </c>
      <c r="E27" s="51">
        <v>6036</v>
      </c>
      <c r="F27" s="51"/>
      <c r="G27" s="52">
        <v>357</v>
      </c>
    </row>
    <row r="28" spans="1:9" ht="14.25" customHeight="1" x14ac:dyDescent="0.3">
      <c r="A28" s="32">
        <v>16</v>
      </c>
      <c r="B28" s="47" t="s">
        <v>94</v>
      </c>
      <c r="C28" s="47">
        <v>18</v>
      </c>
      <c r="D28" s="48">
        <v>1618345</v>
      </c>
      <c r="E28" s="48">
        <v>4644</v>
      </c>
      <c r="F28" s="48"/>
      <c r="G28" s="49">
        <v>348</v>
      </c>
    </row>
    <row r="29" spans="1:9" ht="14.25" customHeight="1" x14ac:dyDescent="0.3">
      <c r="A29" s="45">
        <v>5</v>
      </c>
      <c r="B29" s="56" t="s">
        <v>95</v>
      </c>
      <c r="C29" s="56">
        <v>17</v>
      </c>
      <c r="D29" s="57">
        <v>1506843</v>
      </c>
      <c r="E29" s="57">
        <v>4497</v>
      </c>
      <c r="F29" s="57"/>
      <c r="G29" s="58">
        <v>332</v>
      </c>
    </row>
    <row r="30" spans="1:9" ht="14.25" customHeight="1" x14ac:dyDescent="0.3">
      <c r="A30" s="41">
        <v>19</v>
      </c>
      <c r="B30" s="53" t="s">
        <v>96</v>
      </c>
      <c r="C30" s="53">
        <v>15</v>
      </c>
      <c r="D30" s="54">
        <v>1339101</v>
      </c>
      <c r="E30" s="54">
        <v>4233</v>
      </c>
      <c r="F30" s="54"/>
      <c r="G30" s="55">
        <v>324</v>
      </c>
    </row>
    <row r="31" spans="1:9" ht="14.25" customHeight="1" x14ac:dyDescent="0.3">
      <c r="A31" s="45">
        <v>15</v>
      </c>
      <c r="B31" s="56" t="s">
        <v>97</v>
      </c>
      <c r="C31" s="56">
        <v>7</v>
      </c>
      <c r="D31" s="57">
        <v>565223</v>
      </c>
      <c r="E31" s="57">
        <v>1756</v>
      </c>
      <c r="F31" s="57"/>
      <c r="G31" s="58">
        <v>323</v>
      </c>
    </row>
    <row r="32" spans="1:9" ht="14.25" customHeight="1" x14ac:dyDescent="0.3">
      <c r="A32" s="41">
        <v>17</v>
      </c>
      <c r="B32" s="53" t="s">
        <v>98</v>
      </c>
      <c r="C32" s="53">
        <v>15</v>
      </c>
      <c r="D32" s="54">
        <v>1353445</v>
      </c>
      <c r="E32" s="54">
        <v>4104</v>
      </c>
      <c r="F32" s="54"/>
      <c r="G32" s="55">
        <v>320</v>
      </c>
    </row>
    <row r="33" spans="1:7" ht="14.25" customHeight="1" x14ac:dyDescent="0.3">
      <c r="A33" s="45">
        <v>21</v>
      </c>
      <c r="B33" s="56" t="s">
        <v>99</v>
      </c>
      <c r="C33" s="56">
        <v>8</v>
      </c>
      <c r="D33" s="57">
        <v>735394</v>
      </c>
      <c r="E33" s="57">
        <v>2565</v>
      </c>
      <c r="F33" s="57"/>
      <c r="G33" s="58">
        <v>288</v>
      </c>
    </row>
    <row r="34" spans="1:7" ht="14.25" customHeight="1" x14ac:dyDescent="0.3"/>
    <row r="35" spans="1:7" ht="14.25" customHeight="1" x14ac:dyDescent="0.3"/>
    <row r="36" spans="1:7" ht="14.25" customHeight="1" x14ac:dyDescent="0.3"/>
    <row r="37" spans="1:7" ht="14.25" customHeight="1" x14ac:dyDescent="0.3"/>
    <row r="38" spans="1:7" ht="14.25" customHeight="1" x14ac:dyDescent="0.3"/>
    <row r="39" spans="1:7" ht="14.25" customHeight="1" x14ac:dyDescent="0.3"/>
    <row r="40" spans="1:7" ht="14.25" customHeight="1" x14ac:dyDescent="0.3"/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R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/>
  </sheetViews>
  <sheetFormatPr defaultColWidth="14.44140625" defaultRowHeight="15" customHeight="1" x14ac:dyDescent="0.3"/>
  <cols>
    <col min="1" max="1" width="16.109375" customWidth="1"/>
    <col min="2" max="2" width="8.44140625" customWidth="1"/>
    <col min="3" max="3" width="9.33203125" customWidth="1"/>
    <col min="4" max="4" width="8.109375" customWidth="1"/>
    <col min="5" max="5" width="8.6640625" customWidth="1"/>
    <col min="6" max="6" width="9.5546875" customWidth="1"/>
    <col min="7" max="7" width="10.88671875" customWidth="1"/>
    <col min="8" max="26" width="8.6640625" customWidth="1"/>
  </cols>
  <sheetData>
    <row r="1" spans="1:14" ht="41.25" customHeight="1" x14ac:dyDescent="0.3">
      <c r="A1" s="59" t="s">
        <v>100</v>
      </c>
      <c r="B1" s="60" t="s">
        <v>101</v>
      </c>
      <c r="C1" s="61" t="s">
        <v>102</v>
      </c>
      <c r="D1" s="61" t="s">
        <v>103</v>
      </c>
      <c r="E1" s="60" t="s">
        <v>104</v>
      </c>
      <c r="F1" s="62" t="s">
        <v>105</v>
      </c>
      <c r="G1" s="63" t="s">
        <v>106</v>
      </c>
      <c r="H1" s="64" t="s">
        <v>107</v>
      </c>
      <c r="I1" s="64" t="s">
        <v>108</v>
      </c>
      <c r="J1" s="64" t="s">
        <v>109</v>
      </c>
      <c r="K1" s="64" t="s">
        <v>110</v>
      </c>
    </row>
    <row r="2" spans="1:14" ht="14.25" customHeight="1" x14ac:dyDescent="0.3">
      <c r="A2" s="65" t="s">
        <v>111</v>
      </c>
      <c r="B2" s="66">
        <v>140</v>
      </c>
      <c r="C2" s="66">
        <v>22</v>
      </c>
      <c r="D2" s="66">
        <v>9</v>
      </c>
      <c r="E2" s="67">
        <f t="shared" ref="E2:E5" si="0">(C2*D2)/B2</f>
        <v>1.4142857142857144</v>
      </c>
      <c r="F2" s="68">
        <f>(E3-E2)/E3</f>
        <v>0.66899696048632207</v>
      </c>
      <c r="G2" s="69">
        <v>600</v>
      </c>
      <c r="H2" s="70">
        <v>1100000</v>
      </c>
      <c r="I2" s="70">
        <v>250</v>
      </c>
      <c r="J2" s="71">
        <f>E3-E2</f>
        <v>2.8584415584415579</v>
      </c>
      <c r="K2" s="72">
        <f>J2*I2*365</f>
        <v>260832.79220779214</v>
      </c>
    </row>
    <row r="3" spans="1:14" ht="14.25" customHeight="1" x14ac:dyDescent="0.3">
      <c r="A3" s="73" t="s">
        <v>112</v>
      </c>
      <c r="B3" s="20">
        <v>22</v>
      </c>
      <c r="C3" s="20">
        <v>1</v>
      </c>
      <c r="D3" s="20">
        <v>94</v>
      </c>
      <c r="E3" s="22">
        <f t="shared" si="0"/>
        <v>4.2727272727272725</v>
      </c>
      <c r="F3" s="74">
        <v>0</v>
      </c>
      <c r="G3" s="75">
        <v>750</v>
      </c>
    </row>
    <row r="4" spans="1:14" ht="14.25" customHeight="1" x14ac:dyDescent="0.3">
      <c r="A4" s="76" t="s">
        <v>113</v>
      </c>
      <c r="B4" s="25">
        <v>30</v>
      </c>
      <c r="C4" s="25">
        <v>1</v>
      </c>
      <c r="D4" s="25">
        <v>89</v>
      </c>
      <c r="E4" s="77">
        <f t="shared" si="0"/>
        <v>2.9666666666666668</v>
      </c>
      <c r="F4" s="14">
        <f>(E3-E4)/E3</f>
        <v>0.30567375886524817</v>
      </c>
      <c r="G4" s="78">
        <v>600</v>
      </c>
    </row>
    <row r="5" spans="1:14" ht="14.25" customHeight="1" x14ac:dyDescent="0.3">
      <c r="A5" s="73" t="s">
        <v>111</v>
      </c>
      <c r="B5" s="20">
        <v>145</v>
      </c>
      <c r="C5" s="20">
        <v>24</v>
      </c>
      <c r="D5" s="20">
        <v>9</v>
      </c>
      <c r="E5" s="22">
        <f t="shared" si="0"/>
        <v>1.4896551724137932</v>
      </c>
      <c r="F5" s="74">
        <f>(E3-E5)/E3</f>
        <v>0.65135730007336745</v>
      </c>
      <c r="G5" s="79">
        <v>1000</v>
      </c>
    </row>
    <row r="6" spans="1:14" ht="14.25" customHeight="1" x14ac:dyDescent="0.3"/>
    <row r="7" spans="1:14" ht="14.25" customHeight="1" x14ac:dyDescent="0.3"/>
    <row r="8" spans="1:14" ht="14.25" customHeight="1" x14ac:dyDescent="0.3">
      <c r="A8" s="80" t="s">
        <v>114</v>
      </c>
      <c r="B8" s="81">
        <v>0.05</v>
      </c>
      <c r="C8" s="70">
        <v>1</v>
      </c>
      <c r="D8" s="70">
        <v>2</v>
      </c>
      <c r="E8" s="70">
        <v>3</v>
      </c>
      <c r="F8" s="70">
        <v>4</v>
      </c>
      <c r="G8" s="70">
        <v>5</v>
      </c>
      <c r="H8" s="70">
        <v>6</v>
      </c>
      <c r="I8" s="70">
        <v>7</v>
      </c>
      <c r="J8" s="70">
        <v>8</v>
      </c>
      <c r="K8" s="70">
        <v>9</v>
      </c>
      <c r="L8" s="70">
        <v>10</v>
      </c>
      <c r="M8" s="70">
        <v>11</v>
      </c>
      <c r="N8" s="70">
        <v>12</v>
      </c>
    </row>
    <row r="9" spans="1:14" ht="14.25" customHeight="1" x14ac:dyDescent="0.3">
      <c r="B9" s="5" t="s">
        <v>115</v>
      </c>
      <c r="C9" s="5" t="s">
        <v>116</v>
      </c>
      <c r="D9" s="5" t="s">
        <v>117</v>
      </c>
      <c r="E9" s="5" t="s">
        <v>118</v>
      </c>
      <c r="F9" s="5" t="s">
        <v>119</v>
      </c>
      <c r="G9" s="5" t="s">
        <v>120</v>
      </c>
      <c r="H9" s="5" t="s">
        <v>121</v>
      </c>
      <c r="I9" s="5" t="s">
        <v>122</v>
      </c>
      <c r="J9" s="5" t="s">
        <v>123</v>
      </c>
      <c r="K9" s="5" t="s">
        <v>124</v>
      </c>
      <c r="L9" s="5" t="s">
        <v>125</v>
      </c>
      <c r="M9" s="5" t="s">
        <v>126</v>
      </c>
      <c r="N9" s="5" t="s">
        <v>127</v>
      </c>
    </row>
    <row r="10" spans="1:14" ht="14.25" customHeight="1" x14ac:dyDescent="0.3">
      <c r="A10" s="5" t="s">
        <v>128</v>
      </c>
      <c r="B10" s="70">
        <v>1100000</v>
      </c>
    </row>
    <row r="11" spans="1:14" ht="14.25" customHeight="1" x14ac:dyDescent="0.3">
      <c r="A11" s="5" t="s">
        <v>129</v>
      </c>
      <c r="C11" s="72">
        <f>K2</f>
        <v>260832.79220779214</v>
      </c>
      <c r="D11" s="72">
        <f t="shared" ref="D11:N11" si="1">$C$11</f>
        <v>260832.79220779214</v>
      </c>
      <c r="E11" s="72">
        <f t="shared" si="1"/>
        <v>260832.79220779214</v>
      </c>
      <c r="F11" s="72">
        <f t="shared" si="1"/>
        <v>260832.79220779214</v>
      </c>
      <c r="G11" s="72">
        <f t="shared" si="1"/>
        <v>260832.79220779214</v>
      </c>
      <c r="H11" s="72">
        <f t="shared" si="1"/>
        <v>260832.79220779214</v>
      </c>
      <c r="I11" s="72">
        <f t="shared" si="1"/>
        <v>260832.79220779214</v>
      </c>
      <c r="J11" s="72">
        <f t="shared" si="1"/>
        <v>260832.79220779214</v>
      </c>
      <c r="K11" s="72">
        <f t="shared" si="1"/>
        <v>260832.79220779214</v>
      </c>
      <c r="L11" s="72">
        <f t="shared" si="1"/>
        <v>260832.79220779214</v>
      </c>
      <c r="M11" s="72">
        <f t="shared" si="1"/>
        <v>260832.79220779214</v>
      </c>
      <c r="N11" s="72">
        <f t="shared" si="1"/>
        <v>260832.79220779214</v>
      </c>
    </row>
    <row r="12" spans="1:14" ht="14.25" customHeight="1" x14ac:dyDescent="0.3">
      <c r="A12" s="82" t="s">
        <v>130</v>
      </c>
      <c r="C12" s="5">
        <f t="shared" ref="C12:N12" si="2">C$11*(1-$B$8)^C$8</f>
        <v>247791.15259740251</v>
      </c>
      <c r="D12" s="5">
        <f t="shared" si="2"/>
        <v>235401.59496753241</v>
      </c>
      <c r="E12" s="5">
        <f t="shared" si="2"/>
        <v>223631.51521915576</v>
      </c>
      <c r="F12" s="5">
        <f t="shared" si="2"/>
        <v>212449.939458198</v>
      </c>
      <c r="G12" s="5">
        <f t="shared" si="2"/>
        <v>201827.44248528811</v>
      </c>
      <c r="H12" s="5">
        <f t="shared" si="2"/>
        <v>191736.07036102368</v>
      </c>
      <c r="I12" s="5">
        <f t="shared" si="2"/>
        <v>182149.26684297249</v>
      </c>
      <c r="J12" s="5">
        <f t="shared" si="2"/>
        <v>173041.80350082388</v>
      </c>
      <c r="K12" s="5">
        <f t="shared" si="2"/>
        <v>164389.71332578268</v>
      </c>
      <c r="L12" s="5">
        <f t="shared" si="2"/>
        <v>156170.22765949354</v>
      </c>
      <c r="M12" s="5">
        <f t="shared" si="2"/>
        <v>148361.71627651886</v>
      </c>
      <c r="N12" s="5">
        <f t="shared" si="2"/>
        <v>140943.6304626929</v>
      </c>
    </row>
    <row r="13" spans="1:14" ht="14.25" customHeight="1" x14ac:dyDescent="0.3">
      <c r="A13" s="37" t="s">
        <v>131</v>
      </c>
      <c r="B13" s="37">
        <f>SUM(C12:N12)-B10</f>
        <v>1177894.0731568849</v>
      </c>
    </row>
    <row r="14" spans="1:14" ht="14.25" customHeight="1" x14ac:dyDescent="0.3">
      <c r="A14" s="5" t="s">
        <v>132</v>
      </c>
      <c r="B14" s="5">
        <v>0</v>
      </c>
      <c r="C14" s="70">
        <v>1</v>
      </c>
      <c r="D14" s="70">
        <v>2</v>
      </c>
      <c r="E14" s="70">
        <v>3</v>
      </c>
      <c r="F14" s="70">
        <v>4</v>
      </c>
      <c r="G14" s="70">
        <v>5</v>
      </c>
      <c r="H14" s="70">
        <v>6</v>
      </c>
      <c r="I14" s="70">
        <v>7</v>
      </c>
      <c r="J14" s="70">
        <v>8</v>
      </c>
      <c r="K14" s="70">
        <v>9</v>
      </c>
      <c r="L14" s="70">
        <v>10</v>
      </c>
      <c r="M14" s="70">
        <v>11</v>
      </c>
      <c r="N14" s="70">
        <v>12</v>
      </c>
    </row>
    <row r="15" spans="1:14" ht="14.25" customHeight="1" x14ac:dyDescent="0.3">
      <c r="A15" s="5" t="s">
        <v>133</v>
      </c>
      <c r="B15" s="5">
        <v>-1100000</v>
      </c>
      <c r="C15" s="72">
        <f t="shared" ref="C15:N15" si="3">C$11</f>
        <v>260832.79220779214</v>
      </c>
      <c r="D15" s="72">
        <f t="shared" si="3"/>
        <v>260832.79220779214</v>
      </c>
      <c r="E15" s="72">
        <f t="shared" si="3"/>
        <v>260832.79220779214</v>
      </c>
      <c r="F15" s="72">
        <f t="shared" si="3"/>
        <v>260832.79220779214</v>
      </c>
      <c r="G15" s="72">
        <f t="shared" si="3"/>
        <v>260832.79220779214</v>
      </c>
      <c r="H15" s="72">
        <f t="shared" si="3"/>
        <v>260832.79220779214</v>
      </c>
      <c r="I15" s="72">
        <f t="shared" si="3"/>
        <v>260832.79220779214</v>
      </c>
      <c r="J15" s="72">
        <f t="shared" si="3"/>
        <v>260832.79220779214</v>
      </c>
      <c r="K15" s="72">
        <f t="shared" si="3"/>
        <v>260832.79220779214</v>
      </c>
      <c r="L15" s="72">
        <f t="shared" si="3"/>
        <v>260832.79220779214</v>
      </c>
      <c r="M15" s="72">
        <f t="shared" si="3"/>
        <v>260832.79220779214</v>
      </c>
      <c r="N15" s="72">
        <f t="shared" si="3"/>
        <v>260832.79220779214</v>
      </c>
    </row>
    <row r="16" spans="1:14" ht="14.25" customHeight="1" x14ac:dyDescent="0.3">
      <c r="A16" s="5" t="s">
        <v>134</v>
      </c>
      <c r="C16" s="72">
        <f>C15</f>
        <v>260832.79220779214</v>
      </c>
      <c r="D16" s="72">
        <f>SUM(C15:D15)</f>
        <v>521665.58441558428</v>
      </c>
      <c r="E16" s="72">
        <f>SUM(C15:E15)</f>
        <v>782498.37662337639</v>
      </c>
      <c r="F16" s="72">
        <f>SUM(C15:F15)</f>
        <v>1043331.1688311686</v>
      </c>
      <c r="G16" s="72">
        <f>SUM(C15:G15)</f>
        <v>1304163.9610389606</v>
      </c>
      <c r="H16" s="72">
        <f t="shared" ref="H16:N16" si="4">G16+H15</f>
        <v>1564996.7532467528</v>
      </c>
      <c r="I16" s="72">
        <f t="shared" si="4"/>
        <v>1825829.5454545449</v>
      </c>
      <c r="J16" s="72">
        <f t="shared" si="4"/>
        <v>2086662.3376623371</v>
      </c>
      <c r="K16" s="72">
        <f t="shared" si="4"/>
        <v>2347495.1298701293</v>
      </c>
      <c r="L16" s="72">
        <f t="shared" si="4"/>
        <v>2608327.9220779212</v>
      </c>
      <c r="M16" s="72">
        <f t="shared" si="4"/>
        <v>2869160.7142857132</v>
      </c>
      <c r="N16" s="72">
        <f t="shared" si="4"/>
        <v>3129993.5064935051</v>
      </c>
    </row>
    <row r="17" spans="1:2" ht="14.25" customHeight="1" x14ac:dyDescent="0.3">
      <c r="A17" s="83" t="s">
        <v>135</v>
      </c>
      <c r="B17" s="84">
        <f>IRR(B15:N15)</f>
        <v>0.21397625156541156</v>
      </c>
    </row>
    <row r="18" spans="1:2" ht="14.25" customHeight="1" x14ac:dyDescent="0.3">
      <c r="A18" s="8" t="s">
        <v>136</v>
      </c>
      <c r="B18" s="85">
        <f>F14+(F16-B10)/E15</f>
        <v>3.782738854692449</v>
      </c>
    </row>
    <row r="19" spans="1:2" ht="14.25" customHeight="1" x14ac:dyDescent="0.3"/>
    <row r="20" spans="1:2" ht="14.25" customHeight="1" x14ac:dyDescent="0.3"/>
    <row r="21" spans="1:2" ht="14.25" customHeight="1" x14ac:dyDescent="0.3"/>
    <row r="22" spans="1:2" ht="14.25" customHeight="1" x14ac:dyDescent="0.3"/>
    <row r="23" spans="1:2" ht="14.25" customHeight="1" x14ac:dyDescent="0.3"/>
    <row r="24" spans="1:2" ht="14.25" customHeight="1" x14ac:dyDescent="0.3"/>
    <row r="25" spans="1:2" ht="14.25" customHeight="1" x14ac:dyDescent="0.3"/>
    <row r="26" spans="1:2" ht="14.25" customHeight="1" x14ac:dyDescent="0.3"/>
    <row r="27" spans="1:2" ht="14.25" customHeight="1" x14ac:dyDescent="0.3"/>
    <row r="28" spans="1:2" ht="14.25" customHeight="1" x14ac:dyDescent="0.3"/>
    <row r="29" spans="1:2" ht="14.25" customHeight="1" x14ac:dyDescent="0.3"/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defaultColWidth="14.44140625" defaultRowHeight="15" customHeight="1" x14ac:dyDescent="0.3"/>
  <cols>
    <col min="1" max="1" width="6.6640625" customWidth="1"/>
    <col min="2" max="10" width="8.6640625" customWidth="1"/>
    <col min="11" max="11" width="9.5546875" customWidth="1"/>
    <col min="12" max="26" width="8.6640625" customWidth="1"/>
  </cols>
  <sheetData>
    <row r="1" spans="1:15" ht="14.25" customHeight="1" x14ac:dyDescent="0.3">
      <c r="A1" s="29" t="s">
        <v>137</v>
      </c>
      <c r="B1" s="29" t="s">
        <v>138</v>
      </c>
      <c r="C1" s="29" t="s">
        <v>61</v>
      </c>
      <c r="D1" s="29" t="s">
        <v>139</v>
      </c>
      <c r="E1" s="29" t="s">
        <v>140</v>
      </c>
      <c r="F1" s="29" t="s">
        <v>141</v>
      </c>
    </row>
    <row r="2" spans="1:15" ht="14.25" customHeight="1" x14ac:dyDescent="0.3">
      <c r="A2" s="37">
        <v>1</v>
      </c>
      <c r="B2" s="33" t="s">
        <v>142</v>
      </c>
      <c r="C2" s="37">
        <v>9</v>
      </c>
      <c r="D2" s="37">
        <v>64</v>
      </c>
      <c r="E2" s="38">
        <f t="shared" ref="E2:E10" si="0">(C2*100000)/D2</f>
        <v>14062.5</v>
      </c>
      <c r="F2" s="37"/>
    </row>
    <row r="3" spans="1:15" ht="14.25" customHeight="1" x14ac:dyDescent="0.3">
      <c r="A3" s="37">
        <v>2</v>
      </c>
      <c r="B3" s="33" t="s">
        <v>68</v>
      </c>
      <c r="C3" s="37">
        <v>11</v>
      </c>
      <c r="D3" s="37">
        <v>115</v>
      </c>
      <c r="E3" s="38">
        <f t="shared" si="0"/>
        <v>9565.217391304348</v>
      </c>
      <c r="F3" s="37">
        <f>VLOOKUP(B:B,Sheet1!B:J,9,0)</f>
        <v>456</v>
      </c>
    </row>
    <row r="4" spans="1:15" ht="14.25" customHeight="1" x14ac:dyDescent="0.3">
      <c r="A4" s="37">
        <v>3</v>
      </c>
      <c r="B4" s="33" t="s">
        <v>72</v>
      </c>
      <c r="C4" s="37">
        <v>10</v>
      </c>
      <c r="D4" s="37">
        <v>115</v>
      </c>
      <c r="E4" s="38">
        <f t="shared" si="0"/>
        <v>8695.652173913044</v>
      </c>
      <c r="F4" s="37">
        <f>VLOOKUP(B:B,Sheet1!B:J,9,0)</f>
        <v>332</v>
      </c>
      <c r="K4" s="98" t="s">
        <v>143</v>
      </c>
      <c r="L4" s="99"/>
      <c r="M4" s="99"/>
      <c r="N4" s="99"/>
      <c r="O4" s="100"/>
    </row>
    <row r="5" spans="1:15" ht="14.25" customHeight="1" x14ac:dyDescent="0.3">
      <c r="A5" s="37">
        <v>4</v>
      </c>
      <c r="B5" s="33" t="s">
        <v>66</v>
      </c>
      <c r="C5" s="37">
        <v>54</v>
      </c>
      <c r="D5" s="37">
        <v>910</v>
      </c>
      <c r="E5" s="38">
        <f t="shared" si="0"/>
        <v>5934.065934065934</v>
      </c>
      <c r="F5" s="37">
        <f>VLOOKUP(B:B,Sheet1!B:J,9,0)</f>
        <v>0</v>
      </c>
      <c r="K5" s="86" t="s">
        <v>144</v>
      </c>
      <c r="L5" s="86" t="s">
        <v>145</v>
      </c>
      <c r="M5" s="86" t="s">
        <v>146</v>
      </c>
      <c r="N5" s="86" t="s">
        <v>147</v>
      </c>
      <c r="O5" s="86" t="s">
        <v>148</v>
      </c>
    </row>
    <row r="6" spans="1:15" ht="14.25" customHeight="1" x14ac:dyDescent="0.3">
      <c r="A6" s="37">
        <v>5</v>
      </c>
      <c r="B6" s="33" t="s">
        <v>71</v>
      </c>
      <c r="C6" s="37">
        <v>9.5</v>
      </c>
      <c r="D6" s="37">
        <v>165</v>
      </c>
      <c r="E6" s="38">
        <f t="shared" si="0"/>
        <v>5757.575757575758</v>
      </c>
      <c r="F6" s="37">
        <f>VLOOKUP(B:B,Sheet1!B:J,9,0)</f>
        <v>345</v>
      </c>
      <c r="K6" s="86" t="s">
        <v>149</v>
      </c>
      <c r="L6" s="87">
        <v>0.45</v>
      </c>
      <c r="M6" s="87">
        <v>7.0000000000000007E-2</v>
      </c>
      <c r="N6" s="87">
        <v>0.27</v>
      </c>
      <c r="O6" s="87">
        <v>0.21</v>
      </c>
    </row>
    <row r="7" spans="1:15" ht="14.25" customHeight="1" x14ac:dyDescent="0.3">
      <c r="A7" s="37">
        <v>6</v>
      </c>
      <c r="B7" s="33" t="s">
        <v>75</v>
      </c>
      <c r="C7" s="37">
        <v>2</v>
      </c>
      <c r="D7" s="37">
        <v>52</v>
      </c>
      <c r="E7" s="38">
        <f t="shared" si="0"/>
        <v>3846.1538461538462</v>
      </c>
      <c r="F7" s="37">
        <f>VLOOKUP(B:B,Sheet1!B:J,9,0)</f>
        <v>138</v>
      </c>
      <c r="K7" s="86" t="s">
        <v>150</v>
      </c>
      <c r="L7" s="88" t="s">
        <v>29</v>
      </c>
      <c r="M7" s="88" t="s">
        <v>29</v>
      </c>
      <c r="N7" s="88" t="s">
        <v>151</v>
      </c>
      <c r="O7" s="88" t="s">
        <v>151</v>
      </c>
    </row>
    <row r="8" spans="1:15" ht="14.25" customHeight="1" x14ac:dyDescent="0.3">
      <c r="A8" s="37">
        <v>7</v>
      </c>
      <c r="B8" s="33" t="s">
        <v>83</v>
      </c>
      <c r="C8" s="37">
        <v>5</v>
      </c>
      <c r="D8" s="37">
        <v>172</v>
      </c>
      <c r="E8" s="38">
        <f t="shared" si="0"/>
        <v>2906.9767441860463</v>
      </c>
      <c r="F8" s="37">
        <f>VLOOKUP(B:B,Sheet1!B:J,9,0)</f>
        <v>0</v>
      </c>
      <c r="K8" s="86" t="s">
        <v>152</v>
      </c>
      <c r="L8" s="88" t="s">
        <v>153</v>
      </c>
      <c r="M8" s="88" t="s">
        <v>154</v>
      </c>
      <c r="N8" s="88" t="s">
        <v>153</v>
      </c>
      <c r="O8" s="88" t="s">
        <v>155</v>
      </c>
    </row>
    <row r="9" spans="1:15" ht="14.25" customHeight="1" x14ac:dyDescent="0.3">
      <c r="A9" s="37">
        <v>8</v>
      </c>
      <c r="B9" s="42" t="s">
        <v>70</v>
      </c>
      <c r="C9" s="37">
        <v>12</v>
      </c>
      <c r="D9" s="37">
        <v>440</v>
      </c>
      <c r="E9" s="38">
        <f t="shared" si="0"/>
        <v>2727.2727272727275</v>
      </c>
      <c r="F9" s="37">
        <f>VLOOKUP(B:B,Sheet1!B:J,9,0)</f>
        <v>506</v>
      </c>
      <c r="K9" s="86" t="s">
        <v>33</v>
      </c>
      <c r="L9" s="88">
        <v>451</v>
      </c>
      <c r="M9" s="88">
        <v>350</v>
      </c>
      <c r="N9" s="88" t="s">
        <v>156</v>
      </c>
      <c r="O9" s="88">
        <v>330</v>
      </c>
    </row>
    <row r="10" spans="1:15" ht="14.25" customHeight="1" x14ac:dyDescent="0.3">
      <c r="A10" s="37">
        <v>9</v>
      </c>
      <c r="B10" s="42" t="s">
        <v>88</v>
      </c>
      <c r="C10" s="37">
        <v>2</v>
      </c>
      <c r="D10" s="37">
        <v>86</v>
      </c>
      <c r="E10" s="38">
        <f t="shared" si="0"/>
        <v>2325.5813953488373</v>
      </c>
      <c r="F10" s="37">
        <f>VLOOKUP(B:B,Sheet1!B:J,9,0)</f>
        <v>0</v>
      </c>
      <c r="K10" s="86" t="s">
        <v>157</v>
      </c>
      <c r="L10" s="88">
        <v>635</v>
      </c>
      <c r="M10" s="88">
        <v>425</v>
      </c>
      <c r="N10" s="88" t="s">
        <v>156</v>
      </c>
      <c r="O10" s="88" t="s">
        <v>156</v>
      </c>
    </row>
    <row r="11" spans="1:15" ht="14.25" customHeight="1" x14ac:dyDescent="0.3"/>
    <row r="12" spans="1:15" ht="14.25" customHeight="1" x14ac:dyDescent="0.3"/>
    <row r="13" spans="1:15" ht="14.25" customHeight="1" x14ac:dyDescent="0.3"/>
    <row r="14" spans="1:15" ht="14.25" customHeight="1" x14ac:dyDescent="0.3"/>
    <row r="15" spans="1:15" ht="14.25" customHeight="1" x14ac:dyDescent="0.3"/>
    <row r="16" spans="1:1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G1" xr:uid="{00000000-0009-0000-0000-000003000000}"/>
  <mergeCells count="1">
    <mergeCell ref="K4:O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9.88671875" customWidth="1"/>
    <col min="3" max="26" width="8.6640625" customWidth="1"/>
  </cols>
  <sheetData>
    <row r="1" spans="2:4" ht="14.25" customHeight="1" x14ac:dyDescent="0.3"/>
    <row r="2" spans="2:4" ht="14.25" customHeight="1" x14ac:dyDescent="0.3">
      <c r="C2" s="5" t="s">
        <v>158</v>
      </c>
      <c r="D2" s="5" t="s">
        <v>159</v>
      </c>
    </row>
    <row r="3" spans="2:4" ht="14.25" customHeight="1" x14ac:dyDescent="0.3">
      <c r="B3" s="5" t="s">
        <v>33</v>
      </c>
      <c r="C3" s="5">
        <v>38</v>
      </c>
      <c r="D3" s="5">
        <v>13</v>
      </c>
    </row>
    <row r="4" spans="2:4" ht="14.25" customHeight="1" x14ac:dyDescent="0.3">
      <c r="B4" s="5" t="s">
        <v>160</v>
      </c>
      <c r="C4" s="5">
        <v>3500</v>
      </c>
      <c r="D4" s="5">
        <v>3500</v>
      </c>
    </row>
    <row r="5" spans="2:4" ht="14.25" customHeight="1" x14ac:dyDescent="0.3">
      <c r="B5" s="5" t="s">
        <v>161</v>
      </c>
      <c r="C5" s="5">
        <v>175000</v>
      </c>
      <c r="D5" s="72">
        <f>(C5/C3)*D3</f>
        <v>59868.421052631573</v>
      </c>
    </row>
    <row r="6" spans="2:4" ht="14.25" customHeight="1" x14ac:dyDescent="0.3">
      <c r="B6" s="5" t="s">
        <v>162</v>
      </c>
      <c r="C6" s="5">
        <v>1000</v>
      </c>
      <c r="D6" s="5">
        <v>600</v>
      </c>
    </row>
    <row r="7" spans="2:4" ht="14.25" customHeight="1" x14ac:dyDescent="0.3">
      <c r="B7" s="5" t="s">
        <v>163</v>
      </c>
      <c r="C7" s="5">
        <v>2</v>
      </c>
      <c r="D7" s="5">
        <v>2</v>
      </c>
    </row>
    <row r="8" spans="2:4" ht="14.25" customHeight="1" x14ac:dyDescent="0.3">
      <c r="B8" s="5" t="s">
        <v>164</v>
      </c>
      <c r="C8" s="5">
        <f>C3/2</f>
        <v>19</v>
      </c>
      <c r="D8" s="5">
        <f>D3/1</f>
        <v>13</v>
      </c>
    </row>
    <row r="9" spans="2:4" ht="14.25" customHeight="1" x14ac:dyDescent="0.3"/>
    <row r="10" spans="2:4" ht="14.25" customHeight="1" x14ac:dyDescent="0.3"/>
    <row r="11" spans="2:4" ht="14.25" customHeight="1" x14ac:dyDescent="0.3"/>
    <row r="12" spans="2:4" ht="14.25" customHeight="1" x14ac:dyDescent="0.3"/>
    <row r="13" spans="2:4" ht="14.25" customHeight="1" x14ac:dyDescent="0.3"/>
    <row r="14" spans="2:4" ht="14.25" customHeight="1" x14ac:dyDescent="0.3"/>
    <row r="15" spans="2:4" ht="14.25" customHeight="1" x14ac:dyDescent="0.3"/>
    <row r="16" spans="2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 eco</vt:lpstr>
      <vt:lpstr>Sheet1</vt:lpstr>
      <vt:lpstr>Sheet2</vt:lpstr>
      <vt:lpstr>Sheet3</vt:lpstr>
      <vt:lpstr>vehicle 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Alumni Mech 19 SHIVAM MISHRA</cp:lastModifiedBy>
  <dcterms:modified xsi:type="dcterms:W3CDTF">2024-11-11T08:44:14Z</dcterms:modified>
</cp:coreProperties>
</file>