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dhartha\Downloads\Tasks\"/>
    </mc:Choice>
  </mc:AlternateContent>
  <xr:revisionPtr revIDLastSave="0" documentId="13_ncr:1_{1DF7E4AC-D0BF-474F-B54A-355B9589918E}" xr6:coauthVersionLast="47" xr6:coauthVersionMax="47" xr10:uidLastSave="{00000000-0000-0000-0000-000000000000}"/>
  <bookViews>
    <workbookView xWindow="6284" yWindow="1191" windowWidth="18851" windowHeight="9766" activeTab="1" xr2:uid="{00000000-000D-0000-FFFF-FFFF00000000}"/>
  </bookViews>
  <sheets>
    <sheet name="1(f)" sheetId="3" r:id="rId1"/>
    <sheet name="1(d)" sheetId="4" r:id="rId2"/>
    <sheet name="1(c)" sheetId="2" r:id="rId3"/>
    <sheet name="1(b)" sheetId="6" r:id="rId4"/>
    <sheet name="1(a)" sheetId="7" r:id="rId5"/>
  </sheets>
  <definedNames>
    <definedName name="solver_adj" localSheetId="2" hidden="1">'1(c)'!$B$8</definedName>
    <definedName name="solver_adj" localSheetId="1" hidden="1">'1(d)'!$B$28</definedName>
    <definedName name="solver_adj" localSheetId="0" hidden="1">'1(f)'!$B$8</definedName>
    <definedName name="solver_eng" localSheetId="4" hidden="1">0</definedName>
    <definedName name="solver_eng" localSheetId="3" hidden="1">0</definedName>
    <definedName name="solver_eng" localSheetId="2" hidden="1">0</definedName>
    <definedName name="solver_eng" localSheetId="1" hidden="1">0</definedName>
    <definedName name="solver_eng" localSheetId="0" hidden="1">0</definedName>
    <definedName name="solver_opt" localSheetId="2" hidden="1">'1(c)'!$B$15</definedName>
    <definedName name="solver_opt" localSheetId="1" hidden="1">'1(d)'!$B$35</definedName>
    <definedName name="solver_opt" localSheetId="0" hidden="1">'1(f)'!$B$15</definedName>
    <definedName name="solver_rxv" localSheetId="2" hidden="1">1</definedName>
    <definedName name="solver_rxv" localSheetId="1" hidden="1">1</definedName>
    <definedName name="solver_rxv" localSheetId="0" hidden="1">1</definedName>
    <definedName name="solver_typ" localSheetId="2" hidden="1">3</definedName>
    <definedName name="solver_typ" localSheetId="1" hidden="1">3</definedName>
    <definedName name="solver_typ" localSheetId="0" hidden="1">3</definedName>
    <definedName name="solver_val" localSheetId="2" hidden="1">9.754562677</definedName>
    <definedName name="solver_val" localSheetId="1" hidden="1">9.491189961</definedName>
    <definedName name="solver_val" localSheetId="0" hidden="1">9.754562677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6" l="1"/>
  <c r="E14" i="4"/>
  <c r="B16" i="6"/>
  <c r="B15" i="6"/>
  <c r="B25" i="7"/>
  <c r="B16" i="7"/>
  <c r="E20" i="7"/>
  <c r="E8" i="4"/>
  <c r="E9" i="4"/>
  <c r="B19" i="7"/>
  <c r="B20" i="7" s="1"/>
  <c r="B8" i="4"/>
  <c r="I4" i="6"/>
  <c r="E22" i="6"/>
  <c r="E20" i="6"/>
  <c r="E19" i="6" s="1"/>
  <c r="B20" i="6"/>
  <c r="B19" i="6"/>
  <c r="B13" i="6"/>
  <c r="B11" i="6"/>
  <c r="E10" i="6"/>
  <c r="B23" i="6" s="1"/>
  <c r="B22" i="6" s="1"/>
  <c r="B9" i="6"/>
  <c r="B8" i="6"/>
  <c r="B7" i="6"/>
  <c r="E5" i="6"/>
  <c r="E3" i="6"/>
  <c r="E6" i="6" s="1"/>
  <c r="E9" i="6" s="1"/>
  <c r="E2" i="6"/>
  <c r="E10" i="7"/>
  <c r="B23" i="7"/>
  <c r="B22" i="7" s="1"/>
  <c r="E22" i="7"/>
  <c r="E19" i="7"/>
  <c r="B9" i="7"/>
  <c r="B15" i="7"/>
  <c r="B8" i="7"/>
  <c r="B7" i="7"/>
  <c r="B13" i="7" s="1"/>
  <c r="E3" i="7"/>
  <c r="E2" i="7"/>
  <c r="E5" i="7"/>
  <c r="E6" i="7" s="1"/>
  <c r="E9" i="7" s="1"/>
  <c r="B11" i="7"/>
  <c r="B31" i="4"/>
  <c r="B34" i="4" s="1"/>
  <c r="B30" i="4"/>
  <c r="B33" i="4" s="1"/>
  <c r="B7" i="4"/>
  <c r="F21" i="3"/>
  <c r="B23" i="3" s="1"/>
  <c r="B24" i="3" s="1"/>
  <c r="B11" i="3"/>
  <c r="B14" i="3" s="1"/>
  <c r="B10" i="3"/>
  <c r="B17" i="3" s="1"/>
  <c r="D14" i="3" s="1"/>
  <c r="B11" i="2"/>
  <c r="B18" i="2" s="1"/>
  <c r="D13" i="2" s="1"/>
  <c r="B10" i="2"/>
  <c r="B17" i="2" s="1"/>
  <c r="D14" i="2" s="1"/>
  <c r="I7" i="6" l="1"/>
  <c r="I9" i="6"/>
  <c r="B24" i="7"/>
  <c r="E13" i="4"/>
  <c r="B21" i="4" s="1"/>
  <c r="B35" i="4"/>
  <c r="B37" i="4"/>
  <c r="D34" i="4" s="1"/>
  <c r="B38" i="4"/>
  <c r="D33" i="4" s="1"/>
  <c r="B9" i="4"/>
  <c r="B10" i="4"/>
  <c r="B13" i="4"/>
  <c r="B18" i="3"/>
  <c r="D13" i="3" s="1"/>
  <c r="B13" i="3"/>
  <c r="B15" i="3" s="1"/>
  <c r="D15" i="2"/>
  <c r="E23" i="2" s="1"/>
  <c r="B13" i="2"/>
  <c r="B14" i="2"/>
  <c r="B15" i="2" l="1"/>
  <c r="D35" i="4"/>
  <c r="E43" i="4" s="1"/>
  <c r="B42" i="4" s="1"/>
  <c r="B14" i="4"/>
  <c r="B15" i="4" s="1"/>
  <c r="B11" i="4"/>
  <c r="B12" i="4" s="1"/>
  <c r="D15" i="3"/>
  <c r="B22" i="3"/>
  <c r="B21" i="3" s="1"/>
  <c r="B22" i="2"/>
  <c r="B43" i="4" l="1"/>
  <c r="B44" i="4" s="1"/>
  <c r="C42" i="4"/>
  <c r="D42" i="4" s="1"/>
  <c r="B41" i="4"/>
  <c r="B16" i="4"/>
  <c r="C25" i="3"/>
  <c r="C21" i="3"/>
  <c r="C22" i="3"/>
  <c r="D22" i="3" s="1"/>
  <c r="B21" i="2"/>
  <c r="C25" i="2" s="1"/>
  <c r="C22" i="2"/>
  <c r="D22" i="2" s="1"/>
  <c r="C21" i="2" l="1"/>
  <c r="B17" i="4"/>
  <c r="C45" i="4"/>
  <c r="C41" i="4"/>
  <c r="D21" i="3"/>
  <c r="B25" i="3" s="1"/>
  <c r="B26" i="3" s="1"/>
  <c r="B27" i="3" s="1"/>
  <c r="D21" i="2"/>
  <c r="B25" i="2" s="1"/>
  <c r="D41" i="4" l="1"/>
  <c r="B45" i="4" s="1"/>
</calcChain>
</file>

<file path=xl/sharedStrings.xml><?xml version="1.0" encoding="utf-8"?>
<sst xmlns="http://schemas.openxmlformats.org/spreadsheetml/2006/main" count="216" uniqueCount="101">
  <si>
    <t>Total ΔV required (km/s)</t>
  </si>
  <si>
    <t>Liftoff mass (kg)</t>
  </si>
  <si>
    <t>g0 (m/s^2)</t>
  </si>
  <si>
    <t>Isp1 (s)</t>
  </si>
  <si>
    <t>Isp2 (s)</t>
  </si>
  <si>
    <t>ε1 (Stage 1 structural fraction)</t>
  </si>
  <si>
    <t>ε2 (Stage 2 structural fraction)</t>
  </si>
  <si>
    <t>η (Staging parameter guess)</t>
  </si>
  <si>
    <t>Total ΔV (calc)</t>
  </si>
  <si>
    <t>n1</t>
  </si>
  <si>
    <t>n2</t>
  </si>
  <si>
    <t>Stage</t>
  </si>
  <si>
    <t>Structural (kg)</t>
  </si>
  <si>
    <t>Propellant (kg)</t>
  </si>
  <si>
    <t>Payload (kg)</t>
  </si>
  <si>
    <t>Stage 1</t>
  </si>
  <si>
    <t>Stage 2</t>
  </si>
  <si>
    <t>Payload</t>
  </si>
  <si>
    <t>Mass Check (should equal liftoff mass)</t>
  </si>
  <si>
    <t>P1</t>
  </si>
  <si>
    <t>P2</t>
  </si>
  <si>
    <t>A</t>
  </si>
  <si>
    <t xml:space="preserve">(Solved in 1.a) </t>
  </si>
  <si>
    <t>Given</t>
  </si>
  <si>
    <t>Solved using Excel Solver</t>
  </si>
  <si>
    <t>Isp1 * g0 / 1000</t>
  </si>
  <si>
    <t>Isp2 * g0 / 1000</t>
  </si>
  <si>
    <t>Ve1 (Exhaust Velocity Stage 1) (km/s)</t>
  </si>
  <si>
    <t>Ve2 (Exhaust Velocity Stage 2) (km/s)</t>
  </si>
  <si>
    <t>Stage 1 Delta-V (ΔV1)</t>
  </si>
  <si>
    <t>Stage 2 Delta-V (ΔV2)</t>
  </si>
  <si>
    <t>Stages Masss (W/O Mpl)</t>
  </si>
  <si>
    <t>Old Payload (kg)</t>
  </si>
  <si>
    <t>New Payload (kg)</t>
  </si>
  <si>
    <t>Difference (kg)</t>
  </si>
  <si>
    <t>NEW liftoff mass (kg)</t>
  </si>
  <si>
    <t>Earth Radius (km)</t>
  </si>
  <si>
    <t>mu (km^3/s^2)</t>
  </si>
  <si>
    <t>Initial Orbit (r1, km)</t>
  </si>
  <si>
    <t>Final Orbit (r2, km)</t>
  </si>
  <si>
    <t>Semi-major Axis (a, km)</t>
  </si>
  <si>
    <t>vc1 (km/s)</t>
  </si>
  <si>
    <t>vt1 (km/s)</t>
  </si>
  <si>
    <t>Δv1 (km/s)</t>
  </si>
  <si>
    <t>vc2 (km/s)</t>
  </si>
  <si>
    <t>vt2 (km/s)</t>
  </si>
  <si>
    <t>Δv2 (km/s)</t>
  </si>
  <si>
    <t>Direct Ascent ΔV (km/s)</t>
  </si>
  <si>
    <t>ΔV saved</t>
  </si>
  <si>
    <t>Initial Altitude (h1, km)</t>
  </si>
  <si>
    <t>Initial Altitude (h2, km)</t>
  </si>
  <si>
    <t>Total ΔV (km/s) for HT</t>
  </si>
  <si>
    <t>Gravity losses @ 250 km</t>
  </si>
  <si>
    <t>Drag losses @ 250 km</t>
  </si>
  <si>
    <t>Thrust losses @ 250 km</t>
  </si>
  <si>
    <t>Steering losses @ 250 km</t>
  </si>
  <si>
    <t>Total losses @ 250 km</t>
  </si>
  <si>
    <t>Gravity losses @ 400 km</t>
  </si>
  <si>
    <t>New Total ΔV @ 250 km</t>
  </si>
  <si>
    <t>this will used in payload increment  in 1.(d) 2</t>
  </si>
  <si>
    <t>Payload Difference (kg)</t>
  </si>
  <si>
    <t xml:space="preserve">percentage increase </t>
  </si>
  <si>
    <t xml:space="preserve"> = vc1 + losses + total ΔV for HT- Vgain </t>
  </si>
  <si>
    <t>velocity gain  (Az=72.7 deg , i= 22 deg)</t>
  </si>
  <si>
    <t>PART -1</t>
  </si>
  <si>
    <t>PART -2</t>
  </si>
  <si>
    <t xml:space="preserve">(Solved ABOVE) </t>
  </si>
  <si>
    <t>Launch Azimuth</t>
  </si>
  <si>
    <t>SDSC latitude</t>
  </si>
  <si>
    <t>SDSC longitude</t>
  </si>
  <si>
    <t>Target Inclination (deg)</t>
  </si>
  <si>
    <t>Altitude of orbit (km)</t>
  </si>
  <si>
    <t>Orbital velocity</t>
  </si>
  <si>
    <t>Velocity Gain</t>
  </si>
  <si>
    <t xml:space="preserve">Velocity Losses </t>
  </si>
  <si>
    <t>Theortical Gravity Losses (km/s)</t>
  </si>
  <si>
    <t>Actual Gravity Losses (km/s)</t>
  </si>
  <si>
    <t>Drag Losses (km/s)</t>
  </si>
  <si>
    <t>diameter (m)</t>
  </si>
  <si>
    <t>Drag Estimation Factor (KD)</t>
  </si>
  <si>
    <t>T/W0</t>
  </si>
  <si>
    <t>Stage 1 Thrust (N)</t>
  </si>
  <si>
    <t>Weight (N)</t>
  </si>
  <si>
    <t>Surface Area (m^2)</t>
  </si>
  <si>
    <t>x</t>
  </si>
  <si>
    <t>y</t>
  </si>
  <si>
    <t>Earth Angular Velocity (we, rad/s)</t>
  </si>
  <si>
    <t>Earth rotation speed at equator (m/s)</t>
  </si>
  <si>
    <t>Earth rotational speed at launch site (m/s)</t>
  </si>
  <si>
    <t>Cd (assumed)</t>
  </si>
  <si>
    <t>Proplusion drag (km/s)</t>
  </si>
  <si>
    <t>PD Estimation Factor (Ka)</t>
  </si>
  <si>
    <t>Steering Drag (km/s)</t>
  </si>
  <si>
    <t>�V required including all losses</t>
  </si>
  <si>
    <t>Total Velocity losses (km/s)</t>
  </si>
  <si>
    <t>for Retrograde Orbit</t>
  </si>
  <si>
    <t>additional ΔV required for a retrograde orbit</t>
  </si>
  <si>
    <t>ΔV required including all losses</t>
  </si>
  <si>
    <t xml:space="preserve">prograde total ΔV required </t>
  </si>
  <si>
    <t>Total ΔV losses (km/s)</t>
  </si>
  <si>
    <t>ΔV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</si>
</sst>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0" xfId="0" applyFill="1"/>
    <xf numFmtId="0" fontId="0" fillId="0" borderId="0" xfId="0" quotePrefix="1"/>
    <xf numFmtId="0" fontId="0" fillId="5" borderId="0" xfId="0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01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C92832-6E21-413E-AE53-DB5E402345E1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3241745433243189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42C6-59A4-486D-A288-9F2EC252CB06}">
  <dimension ref="A1:F27"/>
  <sheetViews>
    <sheetView topLeftCell="A16" workbookViewId="0">
      <selection activeCell="C13" sqref="C12:C13"/>
    </sheetView>
  </sheetViews>
  <sheetFormatPr defaultRowHeight="15.05" x14ac:dyDescent="0.3"/>
  <cols>
    <col min="1" max="1" width="31.21875" bestFit="1" customWidth="1"/>
    <col min="2" max="2" width="20.33203125" style="2" bestFit="1" customWidth="1"/>
    <col min="3" max="3" width="22" style="2" customWidth="1"/>
    <col min="4" max="5" width="22" customWidth="1"/>
    <col min="6" max="6" width="24.21875" customWidth="1"/>
  </cols>
  <sheetData>
    <row r="1" spans="1:5" x14ac:dyDescent="0.3">
      <c r="A1" t="s">
        <v>0</v>
      </c>
      <c r="B1" s="4">
        <v>9.7545626772827454</v>
      </c>
      <c r="C1" s="7" t="s">
        <v>22</v>
      </c>
    </row>
    <row r="2" spans="1:5" x14ac:dyDescent="0.3">
      <c r="A2" t="s">
        <v>1</v>
      </c>
      <c r="B2" s="4">
        <v>672470</v>
      </c>
      <c r="C2" s="7" t="s">
        <v>23</v>
      </c>
    </row>
    <row r="3" spans="1:5" x14ac:dyDescent="0.3">
      <c r="A3" t="s">
        <v>2</v>
      </c>
      <c r="B3" s="4">
        <v>9.8066499999999994</v>
      </c>
      <c r="C3" s="7" t="s">
        <v>23</v>
      </c>
    </row>
    <row r="4" spans="1:5" x14ac:dyDescent="0.3">
      <c r="A4" t="s">
        <v>3</v>
      </c>
      <c r="B4" s="4">
        <v>278</v>
      </c>
      <c r="C4" s="7" t="s">
        <v>23</v>
      </c>
    </row>
    <row r="5" spans="1:5" x14ac:dyDescent="0.3">
      <c r="A5" t="s">
        <v>4</v>
      </c>
      <c r="B5" s="4">
        <v>302</v>
      </c>
      <c r="C5" s="7" t="s">
        <v>23</v>
      </c>
    </row>
    <row r="6" spans="1:5" x14ac:dyDescent="0.3">
      <c r="A6" t="s">
        <v>5</v>
      </c>
      <c r="B6" s="4">
        <v>5.1299999999999998E-2</v>
      </c>
      <c r="C6" s="7" t="s">
        <v>23</v>
      </c>
    </row>
    <row r="7" spans="1:5" x14ac:dyDescent="0.3">
      <c r="A7" t="s">
        <v>6</v>
      </c>
      <c r="B7" s="4">
        <v>4.0399999999999998E-2</v>
      </c>
      <c r="C7" s="7" t="s">
        <v>23</v>
      </c>
    </row>
    <row r="8" spans="1:5" x14ac:dyDescent="0.3">
      <c r="A8" t="s">
        <v>7</v>
      </c>
      <c r="B8" s="4">
        <v>0.47110828150884437</v>
      </c>
      <c r="C8" s="7" t="s">
        <v>24</v>
      </c>
      <c r="E8">
        <v>0.49294855725786102</v>
      </c>
    </row>
    <row r="9" spans="1:5" x14ac:dyDescent="0.3">
      <c r="B9" s="4"/>
      <c r="C9" s="7"/>
    </row>
    <row r="10" spans="1:5" x14ac:dyDescent="0.3">
      <c r="A10" t="s">
        <v>27</v>
      </c>
      <c r="B10" s="4">
        <f>B4*B3/1000</f>
        <v>2.7262486999999997</v>
      </c>
      <c r="C10" s="7" t="s">
        <v>25</v>
      </c>
    </row>
    <row r="11" spans="1:5" x14ac:dyDescent="0.3">
      <c r="A11" t="s">
        <v>28</v>
      </c>
      <c r="B11" s="4">
        <f>B5*B3/1000</f>
        <v>2.9616083</v>
      </c>
      <c r="C11" s="7" t="s">
        <v>26</v>
      </c>
    </row>
    <row r="12" spans="1:5" x14ac:dyDescent="0.3">
      <c r="B12" s="4"/>
    </row>
    <row r="13" spans="1:5" x14ac:dyDescent="0.3">
      <c r="A13" t="s">
        <v>29</v>
      </c>
      <c r="B13" s="4">
        <f>B10*LN((B10*B8 - 1)/(B10*B6*B8))</f>
        <v>3.9865531362444226</v>
      </c>
      <c r="C13" s="2" t="s">
        <v>20</v>
      </c>
      <c r="D13" s="5">
        <f xml:space="preserve"> (1- B18*B7) /(B18 -1)</f>
        <v>0.11921955800003806</v>
      </c>
    </row>
    <row r="14" spans="1:5" x14ac:dyDescent="0.3">
      <c r="A14" t="s">
        <v>30</v>
      </c>
      <c r="B14" s="4">
        <f>B11*LN((B11*B8 - 1)/(B11*B7*B8))</f>
        <v>5.7680095982770148</v>
      </c>
      <c r="C14" s="2" t="s">
        <v>19</v>
      </c>
      <c r="D14" s="5">
        <f xml:space="preserve"> (1- B17*B6) /(B17 -1)</f>
        <v>0.23481403489547056</v>
      </c>
    </row>
    <row r="15" spans="1:5" x14ac:dyDescent="0.3">
      <c r="A15" t="s">
        <v>8</v>
      </c>
      <c r="B15" s="4">
        <f>B13 + B14</f>
        <v>9.7545627345214374</v>
      </c>
      <c r="C15" s="2" t="s">
        <v>21</v>
      </c>
      <c r="D15" s="5">
        <f>((1+ (1/D13))/D14) + (1/D13) + 1</f>
        <v>49.367972230604252</v>
      </c>
    </row>
    <row r="16" spans="1:5" x14ac:dyDescent="0.3">
      <c r="B16" s="4"/>
    </row>
    <row r="17" spans="1:6" x14ac:dyDescent="0.3">
      <c r="A17" t="s">
        <v>9</v>
      </c>
      <c r="B17" s="4">
        <f>(B10*B8 - 1)/(B10*B6*B8)</f>
        <v>4.3158107757510038</v>
      </c>
    </row>
    <row r="18" spans="1:6" x14ac:dyDescent="0.3">
      <c r="A18" t="s">
        <v>10</v>
      </c>
      <c r="B18" s="4">
        <f>(B11*B8 - 1)/(B11*B7*B8)</f>
        <v>7.0117946198032399</v>
      </c>
    </row>
    <row r="20" spans="1:6" x14ac:dyDescent="0.3">
      <c r="A20" t="s">
        <v>11</v>
      </c>
      <c r="B20" s="1" t="s">
        <v>31</v>
      </c>
      <c r="C20" s="2" t="s">
        <v>12</v>
      </c>
      <c r="D20" t="s">
        <v>13</v>
      </c>
      <c r="E20" t="s">
        <v>32</v>
      </c>
      <c r="F20" s="3" t="s">
        <v>33</v>
      </c>
    </row>
    <row r="21" spans="1:6" x14ac:dyDescent="0.3">
      <c r="A21" t="s">
        <v>15</v>
      </c>
      <c r="B21" s="4">
        <f>(F21+B22)/D14</f>
        <v>762428.97587896639</v>
      </c>
      <c r="C21" s="4">
        <f>B6*B21</f>
        <v>39112.606462590971</v>
      </c>
      <c r="D21" s="5">
        <f>B21 - C21</f>
        <v>723316.36941637541</v>
      </c>
      <c r="E21" s="5">
        <v>13621.584392358884</v>
      </c>
      <c r="F21" s="6">
        <f>1.4*E21</f>
        <v>19070.218149302436</v>
      </c>
    </row>
    <row r="22" spans="1:6" x14ac:dyDescent="0.3">
      <c r="A22" t="s">
        <v>16</v>
      </c>
      <c r="B22" s="4">
        <f>F21/D13</f>
        <v>159958.80599805905</v>
      </c>
      <c r="C22" s="4">
        <f>B7*B22</f>
        <v>6462.3357623215852</v>
      </c>
      <c r="D22" s="5">
        <f>B22 - C22</f>
        <v>153496.47023573745</v>
      </c>
      <c r="E22" s="5"/>
      <c r="F22" s="5"/>
    </row>
    <row r="23" spans="1:6" x14ac:dyDescent="0.3">
      <c r="A23" t="s">
        <v>60</v>
      </c>
      <c r="B23" s="4">
        <f>-E21+F21</f>
        <v>5448.6337569435527</v>
      </c>
    </row>
    <row r="24" spans="1:6" x14ac:dyDescent="0.3">
      <c r="A24" t="s">
        <v>61</v>
      </c>
      <c r="B24" s="4">
        <f>B23*100/E21</f>
        <v>39.999999999999993</v>
      </c>
    </row>
    <row r="25" spans="1:6" x14ac:dyDescent="0.3">
      <c r="A25" t="s">
        <v>35</v>
      </c>
      <c r="B25" s="11">
        <f>C21 + D21 + C22 + D22 + E21</f>
        <v>936009.36626938439</v>
      </c>
      <c r="C25" s="2">
        <f>B21+B22+E21</f>
        <v>936009.36626938439</v>
      </c>
    </row>
    <row r="26" spans="1:6" x14ac:dyDescent="0.3">
      <c r="A26" t="s">
        <v>34</v>
      </c>
      <c r="B26" s="11">
        <f>B25-B2</f>
        <v>263539.36626938439</v>
      </c>
    </row>
    <row r="27" spans="1:6" x14ac:dyDescent="0.3">
      <c r="A27" t="s">
        <v>61</v>
      </c>
      <c r="B27" s="2">
        <f>B26*100/B2</f>
        <v>39.189758096180412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EE41-507B-4EC6-B642-D14EB30780BE}">
  <dimension ref="A1:H45"/>
  <sheetViews>
    <sheetView tabSelected="1" topLeftCell="A31" workbookViewId="0">
      <selection activeCell="G37" sqref="G37"/>
    </sheetView>
  </sheetViews>
  <sheetFormatPr defaultRowHeight="15.05" x14ac:dyDescent="0.3"/>
  <cols>
    <col min="1" max="1" width="25.88671875" style="1" customWidth="1"/>
    <col min="2" max="2" width="17.5546875" customWidth="1"/>
    <col min="3" max="3" width="20.33203125" bestFit="1" customWidth="1"/>
    <col min="4" max="4" width="31" style="2" bestFit="1" customWidth="1"/>
    <col min="5" max="5" width="17.88671875" style="2" customWidth="1"/>
    <col min="7" max="7" width="17.6640625" customWidth="1"/>
  </cols>
  <sheetData>
    <row r="1" spans="1:8" x14ac:dyDescent="0.3">
      <c r="A1" s="19" t="s">
        <v>64</v>
      </c>
      <c r="B1" s="19"/>
      <c r="C1" s="19"/>
      <c r="D1" s="19"/>
      <c r="E1" s="19"/>
      <c r="F1" s="19"/>
      <c r="G1" s="19"/>
      <c r="H1" s="12"/>
    </row>
    <row r="2" spans="1:8" x14ac:dyDescent="0.3">
      <c r="A2" s="1" t="s">
        <v>47</v>
      </c>
      <c r="B2" s="2">
        <v>9.7545626772827454</v>
      </c>
    </row>
    <row r="3" spans="1:8" x14ac:dyDescent="0.3">
      <c r="A3" s="1" t="s">
        <v>36</v>
      </c>
      <c r="B3">
        <v>6378.1369999999997</v>
      </c>
    </row>
    <row r="4" spans="1:8" x14ac:dyDescent="0.3">
      <c r="A4" s="1" t="s">
        <v>49</v>
      </c>
      <c r="B4">
        <v>250</v>
      </c>
    </row>
    <row r="5" spans="1:8" x14ac:dyDescent="0.3">
      <c r="A5" s="1" t="s">
        <v>50</v>
      </c>
      <c r="B5">
        <v>400</v>
      </c>
    </row>
    <row r="6" spans="1:8" x14ac:dyDescent="0.3">
      <c r="A6" s="1" t="s">
        <v>37</v>
      </c>
      <c r="B6">
        <v>398600.44179999997</v>
      </c>
    </row>
    <row r="7" spans="1:8" x14ac:dyDescent="0.3">
      <c r="A7" s="1" t="s">
        <v>38</v>
      </c>
      <c r="B7">
        <f>B3+B4</f>
        <v>6628.1369999999997</v>
      </c>
      <c r="D7" s="2" t="s">
        <v>63</v>
      </c>
      <c r="E7" s="9">
        <v>0.43123420981768512</v>
      </c>
    </row>
    <row r="8" spans="1:8" x14ac:dyDescent="0.3">
      <c r="A8" s="1" t="s">
        <v>39</v>
      </c>
      <c r="B8">
        <f>B5+B3</f>
        <v>6778.1369999999997</v>
      </c>
      <c r="D8" s="2" t="s">
        <v>57</v>
      </c>
      <c r="E8" s="2">
        <f>(SQRT((2*9.80665*B5*1000)/(1+(B5/B3))) * 0.8 )/1000</f>
        <v>2.1736372534206581</v>
      </c>
    </row>
    <row r="9" spans="1:8" x14ac:dyDescent="0.3">
      <c r="A9" s="1" t="s">
        <v>40</v>
      </c>
      <c r="B9">
        <f>(B7+B8)/2</f>
        <v>6703.1369999999997</v>
      </c>
      <c r="D9" s="2" t="s">
        <v>52</v>
      </c>
      <c r="E9" s="8">
        <f>SQRT((2*9.80665*B4/1000)/(1+(B4/B3))) * 0.8</f>
        <v>1.7377468520715629</v>
      </c>
    </row>
    <row r="10" spans="1:8" x14ac:dyDescent="0.3">
      <c r="A10" s="1" t="s">
        <v>41</v>
      </c>
      <c r="B10" s="9">
        <f>SQRT(B6/B7)</f>
        <v>7.7548454973726946</v>
      </c>
      <c r="D10" s="2" t="s">
        <v>53</v>
      </c>
      <c r="E10" s="2">
        <v>2.7699999999999999E-2</v>
      </c>
    </row>
    <row r="11" spans="1:8" x14ac:dyDescent="0.3">
      <c r="A11" s="1" t="s">
        <v>42</v>
      </c>
      <c r="B11">
        <f>SQRT(B6*(2/B7 - 1/B9))</f>
        <v>7.7981084922102779</v>
      </c>
      <c r="D11" s="2" t="s">
        <v>54</v>
      </c>
      <c r="E11" s="2">
        <v>7.2847200000000001E-2</v>
      </c>
    </row>
    <row r="12" spans="1:8" x14ac:dyDescent="0.3">
      <c r="A12" s="1" t="s">
        <v>43</v>
      </c>
      <c r="B12">
        <f>B11-B10</f>
        <v>4.3262994837583335E-2</v>
      </c>
      <c r="D12" s="2" t="s">
        <v>55</v>
      </c>
      <c r="E12" s="2">
        <v>0.24299999999999999</v>
      </c>
    </row>
    <row r="13" spans="1:8" x14ac:dyDescent="0.3">
      <c r="A13" s="1" t="s">
        <v>44</v>
      </c>
      <c r="B13" s="9">
        <f>SQRT(B6/B8)</f>
        <v>7.6685581754070551</v>
      </c>
      <c r="D13" s="2" t="s">
        <v>56</v>
      </c>
      <c r="E13" s="2">
        <f>SUM(E9:E12)</f>
        <v>2.0812940520715628</v>
      </c>
    </row>
    <row r="14" spans="1:8" x14ac:dyDescent="0.3">
      <c r="A14" s="1" t="s">
        <v>45</v>
      </c>
      <c r="B14">
        <f>SQRT(B6*(2/B8 - 1/B9))</f>
        <v>7.6255365489415663</v>
      </c>
      <c r="D14" s="10" t="s">
        <v>58</v>
      </c>
      <c r="E14" s="10">
        <f>B10+E13+B16-E7</f>
        <v>9.4911899609296455</v>
      </c>
      <c r="G14" s="18" t="s">
        <v>62</v>
      </c>
    </row>
    <row r="15" spans="1:8" x14ac:dyDescent="0.3">
      <c r="A15" s="1" t="s">
        <v>46</v>
      </c>
      <c r="B15">
        <f>B13-B14</f>
        <v>4.3021626465488794E-2</v>
      </c>
      <c r="G15" s="18"/>
    </row>
    <row r="16" spans="1:8" x14ac:dyDescent="0.3">
      <c r="A16" s="1" t="s">
        <v>51</v>
      </c>
      <c r="B16">
        <f>B12+B15</f>
        <v>8.6284621303072129E-2</v>
      </c>
      <c r="G16" s="2"/>
    </row>
    <row r="17" spans="1:8" x14ac:dyDescent="0.3">
      <c r="A17" s="1" t="s">
        <v>48</v>
      </c>
      <c r="B17" s="9">
        <f>B2-E14</f>
        <v>0.26337271635309989</v>
      </c>
      <c r="C17" s="17" t="s">
        <v>59</v>
      </c>
      <c r="D17" s="17"/>
      <c r="E17" s="17"/>
      <c r="F17" s="17"/>
      <c r="G17" s="17"/>
    </row>
    <row r="18" spans="1:8" ht="15.75" customHeight="1" x14ac:dyDescent="0.3"/>
    <row r="19" spans="1:8" x14ac:dyDescent="0.3">
      <c r="A19" s="19" t="s">
        <v>65</v>
      </c>
      <c r="B19" s="19"/>
      <c r="C19" s="19"/>
      <c r="D19" s="19"/>
      <c r="E19" s="19"/>
      <c r="F19" s="19"/>
      <c r="G19" s="19"/>
      <c r="H19" s="19"/>
    </row>
    <row r="21" spans="1:8" x14ac:dyDescent="0.3">
      <c r="A21" t="s">
        <v>0</v>
      </c>
      <c r="B21" s="2">
        <f>E14</f>
        <v>9.4911899609296455</v>
      </c>
      <c r="C21" s="2" t="s">
        <v>66</v>
      </c>
      <c r="D21"/>
      <c r="E21"/>
    </row>
    <row r="22" spans="1:8" x14ac:dyDescent="0.3">
      <c r="A22" t="s">
        <v>1</v>
      </c>
      <c r="B22" s="2">
        <v>672470</v>
      </c>
      <c r="C22" s="2" t="s">
        <v>23</v>
      </c>
      <c r="D22"/>
      <c r="E22"/>
    </row>
    <row r="23" spans="1:8" x14ac:dyDescent="0.3">
      <c r="A23" t="s">
        <v>2</v>
      </c>
      <c r="B23" s="2">
        <v>9.8066499999999994</v>
      </c>
      <c r="C23" s="2" t="s">
        <v>23</v>
      </c>
      <c r="D23"/>
      <c r="E23"/>
    </row>
    <row r="24" spans="1:8" x14ac:dyDescent="0.3">
      <c r="A24" t="s">
        <v>3</v>
      </c>
      <c r="B24" s="2">
        <v>278</v>
      </c>
      <c r="C24" s="2" t="s">
        <v>23</v>
      </c>
      <c r="D24"/>
      <c r="E24"/>
    </row>
    <row r="25" spans="1:8" x14ac:dyDescent="0.3">
      <c r="A25" t="s">
        <v>4</v>
      </c>
      <c r="B25" s="2">
        <v>302</v>
      </c>
      <c r="C25" s="2" t="s">
        <v>23</v>
      </c>
      <c r="D25"/>
      <c r="E25"/>
    </row>
    <row r="26" spans="1:8" x14ac:dyDescent="0.3">
      <c r="A26" t="s">
        <v>5</v>
      </c>
      <c r="B26" s="2">
        <v>5.1299999999999998E-2</v>
      </c>
      <c r="C26" s="2" t="s">
        <v>23</v>
      </c>
      <c r="D26"/>
      <c r="E26"/>
    </row>
    <row r="27" spans="1:8" x14ac:dyDescent="0.3">
      <c r="A27" t="s">
        <v>6</v>
      </c>
      <c r="B27" s="2">
        <v>4.0399999999999998E-2</v>
      </c>
      <c r="C27" s="2" t="s">
        <v>23</v>
      </c>
      <c r="D27"/>
      <c r="E27"/>
    </row>
    <row r="28" spans="1:8" x14ac:dyDescent="0.3">
      <c r="A28" t="s">
        <v>7</v>
      </c>
      <c r="B28" s="2">
        <v>0.46411945201937521</v>
      </c>
      <c r="C28" s="2" t="s">
        <v>24</v>
      </c>
      <c r="D28"/>
      <c r="E28">
        <v>0.49294855725786102</v>
      </c>
    </row>
    <row r="29" spans="1:8" x14ac:dyDescent="0.3">
      <c r="A29"/>
      <c r="B29" s="2"/>
      <c r="C29" s="2"/>
      <c r="D29"/>
      <c r="E29"/>
    </row>
    <row r="30" spans="1:8" x14ac:dyDescent="0.3">
      <c r="A30" t="s">
        <v>27</v>
      </c>
      <c r="B30" s="2">
        <f>B24*B23/1000</f>
        <v>2.7262486999999997</v>
      </c>
      <c r="C30" t="s">
        <v>25</v>
      </c>
      <c r="D30"/>
      <c r="E30"/>
    </row>
    <row r="31" spans="1:8" x14ac:dyDescent="0.3">
      <c r="A31" t="s">
        <v>28</v>
      </c>
      <c r="B31" s="2">
        <f>B25*B23/1000</f>
        <v>2.9616083</v>
      </c>
      <c r="C31" t="s">
        <v>26</v>
      </c>
      <c r="D31"/>
      <c r="E31"/>
    </row>
    <row r="32" spans="1:8" x14ac:dyDescent="0.3">
      <c r="A32"/>
      <c r="B32" s="2"/>
      <c r="C32" s="2"/>
      <c r="D32"/>
      <c r="E32"/>
    </row>
    <row r="33" spans="1:5" x14ac:dyDescent="0.3">
      <c r="A33" t="s">
        <v>29</v>
      </c>
      <c r="B33" s="2">
        <f>B30*LN((B30*B28 - 1)/(B30*B26*B28))</f>
        <v>3.8382209668977483</v>
      </c>
      <c r="C33" s="2" t="s">
        <v>20</v>
      </c>
      <c r="D33">
        <f xml:space="preserve"> (1- B38*B27) /(B38 -1)</f>
        <v>0.12664235208311614</v>
      </c>
      <c r="E33"/>
    </row>
    <row r="34" spans="1:5" x14ac:dyDescent="0.3">
      <c r="A34" t="s">
        <v>30</v>
      </c>
      <c r="B34" s="2">
        <f>B31*LN((B31*B28 - 1)/(B31*B27*B28))</f>
        <v>5.6529690519711675</v>
      </c>
      <c r="C34" s="2" t="s">
        <v>19</v>
      </c>
      <c r="D34">
        <f xml:space="preserve"> (1- B37*B26) /(B37 -1)</f>
        <v>0.25599453430139002</v>
      </c>
      <c r="E34"/>
    </row>
    <row r="35" spans="1:5" x14ac:dyDescent="0.3">
      <c r="A35" t="s">
        <v>8</v>
      </c>
      <c r="B35" s="2">
        <f>B33 + B34</f>
        <v>9.4911900188689167</v>
      </c>
      <c r="C35" s="2" t="s">
        <v>21</v>
      </c>
      <c r="D35">
        <f>((1+ (1/D33))/D34) + (1/D33) + 1</f>
        <v>43.647981207685653</v>
      </c>
      <c r="E35"/>
    </row>
    <row r="36" spans="1:5" x14ac:dyDescent="0.3">
      <c r="A36"/>
      <c r="B36" s="2"/>
      <c r="C36" s="2"/>
      <c r="D36"/>
      <c r="E36"/>
    </row>
    <row r="37" spans="1:5" x14ac:dyDescent="0.3">
      <c r="A37" t="s">
        <v>9</v>
      </c>
      <c r="B37" s="2">
        <f>(B30*B28 - 1)/(B30*B26*B28)</f>
        <v>4.0872661049985641</v>
      </c>
      <c r="C37" s="2"/>
      <c r="D37"/>
      <c r="E37"/>
    </row>
    <row r="38" spans="1:5" x14ac:dyDescent="0.3">
      <c r="A38" t="s">
        <v>10</v>
      </c>
      <c r="B38" s="2">
        <f>(B31*B28 - 1)/(B31*B27*B28)</f>
        <v>6.7446509105818073</v>
      </c>
      <c r="C38" s="2"/>
      <c r="D38"/>
      <c r="E38"/>
    </row>
    <row r="39" spans="1:5" x14ac:dyDescent="0.3">
      <c r="A39"/>
      <c r="B39" s="2"/>
      <c r="C39" s="2"/>
      <c r="D39"/>
      <c r="E39"/>
    </row>
    <row r="40" spans="1:5" x14ac:dyDescent="0.3">
      <c r="A40" t="s">
        <v>11</v>
      </c>
      <c r="B40" s="1" t="s">
        <v>31</v>
      </c>
      <c r="C40" s="2" t="s">
        <v>12</v>
      </c>
      <c r="D40" t="s">
        <v>13</v>
      </c>
      <c r="E40" t="s">
        <v>32</v>
      </c>
    </row>
    <row r="41" spans="1:5" x14ac:dyDescent="0.3">
      <c r="A41" t="s">
        <v>15</v>
      </c>
      <c r="B41" s="2">
        <f>(E43+B42)/D34</f>
        <v>535408.38087646756</v>
      </c>
      <c r="C41" s="2">
        <f>B26*B41</f>
        <v>27466.449938962785</v>
      </c>
      <c r="D41">
        <f>B41 - C41</f>
        <v>507941.9309375048</v>
      </c>
      <c r="E41" s="5">
        <v>13621.584392358884</v>
      </c>
    </row>
    <row r="42" spans="1:5" x14ac:dyDescent="0.3">
      <c r="A42" t="s">
        <v>16</v>
      </c>
      <c r="B42" s="2">
        <f>E43/D33</f>
        <v>121654.95010027908</v>
      </c>
      <c r="C42" s="2">
        <f>B27*B42</f>
        <v>4914.8599840512743</v>
      </c>
      <c r="D42">
        <f>B42 - C42</f>
        <v>116740.0901162278</v>
      </c>
      <c r="E42" t="s">
        <v>33</v>
      </c>
    </row>
    <row r="43" spans="1:5" x14ac:dyDescent="0.3">
      <c r="A43" t="s">
        <v>60</v>
      </c>
      <c r="B43" s="15">
        <f>E43-E41</f>
        <v>1785.0846308945838</v>
      </c>
      <c r="C43" s="2"/>
      <c r="D43"/>
      <c r="E43" s="16">
        <f>B22/D35</f>
        <v>15406.669023253467</v>
      </c>
    </row>
    <row r="44" spans="1:5" x14ac:dyDescent="0.3">
      <c r="A44" t="s">
        <v>61</v>
      </c>
      <c r="B44" s="15">
        <f>B43*100/E41</f>
        <v>13.104823781702947</v>
      </c>
      <c r="C44" s="2"/>
      <c r="D44"/>
      <c r="E44"/>
    </row>
    <row r="45" spans="1:5" x14ac:dyDescent="0.3">
      <c r="A45" t="s">
        <v>18</v>
      </c>
      <c r="B45" s="2">
        <f>C41 + D41 + C42 + D42 + E43</f>
        <v>672470.00000000023</v>
      </c>
      <c r="C45" s="2">
        <f>B41+B42+E43</f>
        <v>672470.00000000012</v>
      </c>
      <c r="D45"/>
      <c r="E45"/>
    </row>
  </sheetData>
  <mergeCells count="4">
    <mergeCell ref="C17:G17"/>
    <mergeCell ref="G14:G15"/>
    <mergeCell ref="A1:G1"/>
    <mergeCell ref="A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E8D4-0ADE-4AA2-9C99-173C2FA6C555}">
  <dimension ref="A1:E25"/>
  <sheetViews>
    <sheetView topLeftCell="A12" workbookViewId="0">
      <selection sqref="A1:E25"/>
    </sheetView>
  </sheetViews>
  <sheetFormatPr defaultRowHeight="15.05" x14ac:dyDescent="0.3"/>
  <cols>
    <col min="1" max="1" width="31.21875" bestFit="1" customWidth="1"/>
    <col min="2" max="3" width="22" style="2" customWidth="1"/>
    <col min="4" max="5" width="22" customWidth="1"/>
  </cols>
  <sheetData>
    <row r="1" spans="1:5" x14ac:dyDescent="0.3">
      <c r="A1" t="s">
        <v>0</v>
      </c>
      <c r="B1" s="2">
        <v>9.7545626772827454</v>
      </c>
      <c r="C1" s="2" t="s">
        <v>22</v>
      </c>
    </row>
    <row r="2" spans="1:5" x14ac:dyDescent="0.3">
      <c r="A2" t="s">
        <v>1</v>
      </c>
      <c r="B2" s="2">
        <v>672470</v>
      </c>
      <c r="C2" s="2" t="s">
        <v>23</v>
      </c>
    </row>
    <row r="3" spans="1:5" x14ac:dyDescent="0.3">
      <c r="A3" t="s">
        <v>2</v>
      </c>
      <c r="B3" s="2">
        <v>9.8066499999999994</v>
      </c>
      <c r="C3" s="2" t="s">
        <v>23</v>
      </c>
    </row>
    <row r="4" spans="1:5" x14ac:dyDescent="0.3">
      <c r="A4" t="s">
        <v>3</v>
      </c>
      <c r="B4" s="2">
        <v>278</v>
      </c>
      <c r="C4" s="2" t="s">
        <v>23</v>
      </c>
    </row>
    <row r="5" spans="1:5" x14ac:dyDescent="0.3">
      <c r="A5" t="s">
        <v>4</v>
      </c>
      <c r="B5" s="2">
        <v>302</v>
      </c>
      <c r="C5" s="2" t="s">
        <v>23</v>
      </c>
    </row>
    <row r="6" spans="1:5" x14ac:dyDescent="0.3">
      <c r="A6" t="s">
        <v>5</v>
      </c>
      <c r="B6" s="2">
        <v>5.1299999999999998E-2</v>
      </c>
      <c r="C6" s="2" t="s">
        <v>23</v>
      </c>
    </row>
    <row r="7" spans="1:5" x14ac:dyDescent="0.3">
      <c r="A7" t="s">
        <v>6</v>
      </c>
      <c r="B7" s="2">
        <v>4.0399999999999998E-2</v>
      </c>
      <c r="C7" s="2" t="s">
        <v>23</v>
      </c>
    </row>
    <row r="8" spans="1:5" x14ac:dyDescent="0.3">
      <c r="A8" t="s">
        <v>7</v>
      </c>
      <c r="B8" s="2">
        <v>0.47110828150720718</v>
      </c>
      <c r="C8" s="2" t="s">
        <v>24</v>
      </c>
      <c r="E8">
        <v>0.49294855725786102</v>
      </c>
    </row>
    <row r="10" spans="1:5" x14ac:dyDescent="0.3">
      <c r="A10" t="s">
        <v>27</v>
      </c>
      <c r="B10" s="2">
        <f>B4*B3/1000</f>
        <v>2.7262486999999997</v>
      </c>
      <c r="C10" t="s">
        <v>25</v>
      </c>
    </row>
    <row r="11" spans="1:5" x14ac:dyDescent="0.3">
      <c r="A11" t="s">
        <v>28</v>
      </c>
      <c r="B11" s="2">
        <f>B5*B3/1000</f>
        <v>2.9616083</v>
      </c>
      <c r="C11" t="s">
        <v>26</v>
      </c>
    </row>
    <row r="13" spans="1:5" x14ac:dyDescent="0.3">
      <c r="A13" t="s">
        <v>29</v>
      </c>
      <c r="B13" s="2">
        <f>B10*LN((B10*B8 - 1)/(B10*B6*B8))</f>
        <v>3.9865531362111035</v>
      </c>
      <c r="C13" s="2" t="s">
        <v>20</v>
      </c>
      <c r="D13">
        <f xml:space="preserve"> (1- B18*B7) /(B18 -1)</f>
        <v>0.11921955800167501</v>
      </c>
    </row>
    <row r="14" spans="1:5" x14ac:dyDescent="0.3">
      <c r="A14" t="s">
        <v>30</v>
      </c>
      <c r="B14" s="2">
        <f>B11*LN((B11*B8 - 1)/(B11*B7*B8))</f>
        <v>5.7680095982509743</v>
      </c>
      <c r="C14" s="2" t="s">
        <v>19</v>
      </c>
      <c r="D14">
        <f xml:space="preserve"> (1- B17*B6) /(B17 -1)</f>
        <v>0.23481403490002192</v>
      </c>
    </row>
    <row r="15" spans="1:5" x14ac:dyDescent="0.3">
      <c r="A15" t="s">
        <v>8</v>
      </c>
      <c r="B15" s="2">
        <f>B13 + B14</f>
        <v>9.7545627344620769</v>
      </c>
      <c r="C15" s="2" t="s">
        <v>21</v>
      </c>
      <c r="D15">
        <f>((1+ (1/D13))/D14) + (1/D13) + 1</f>
        <v>49.367972229223675</v>
      </c>
    </row>
    <row r="17" spans="1:5" x14ac:dyDescent="0.3">
      <c r="A17" t="s">
        <v>9</v>
      </c>
      <c r="B17" s="2">
        <f>(B10*B8 - 1)/(B10*B6*B8)</f>
        <v>4.3158107756982576</v>
      </c>
    </row>
    <row r="18" spans="1:5" x14ac:dyDescent="0.3">
      <c r="A18" t="s">
        <v>10</v>
      </c>
      <c r="B18" s="2">
        <f>(B11*B8 - 1)/(B11*B7*B8)</f>
        <v>7.011794619741587</v>
      </c>
    </row>
    <row r="20" spans="1:5" x14ac:dyDescent="0.3">
      <c r="A20" t="s">
        <v>11</v>
      </c>
      <c r="B20" s="1" t="s">
        <v>31</v>
      </c>
      <c r="C20" s="2" t="s">
        <v>12</v>
      </c>
      <c r="D20" s="2" t="s">
        <v>13</v>
      </c>
      <c r="E20" s="2" t="s">
        <v>14</v>
      </c>
    </row>
    <row r="21" spans="1:5" x14ac:dyDescent="0.3">
      <c r="A21" t="s">
        <v>15</v>
      </c>
      <c r="B21" s="2">
        <f>(E23+B22)/D14</f>
        <v>544592.12561059638</v>
      </c>
      <c r="C21" s="2">
        <f>B6*B21</f>
        <v>27937.576043823592</v>
      </c>
      <c r="D21">
        <f>B21 - C21</f>
        <v>516654.54956677277</v>
      </c>
    </row>
    <row r="22" spans="1:5" x14ac:dyDescent="0.3">
      <c r="A22" t="s">
        <v>16</v>
      </c>
      <c r="B22" s="2">
        <f>E23/D13</f>
        <v>114256.28999704481</v>
      </c>
      <c r="C22" s="2">
        <f>B7*B22</f>
        <v>4615.9541158806096</v>
      </c>
      <c r="D22">
        <f>B22 - C22</f>
        <v>109640.3358811642</v>
      </c>
    </row>
    <row r="23" spans="1:5" x14ac:dyDescent="0.3">
      <c r="A23" t="s">
        <v>17</v>
      </c>
      <c r="E23" s="9">
        <f>B2/D15</f>
        <v>13621.584392358884</v>
      </c>
    </row>
    <row r="25" spans="1:5" x14ac:dyDescent="0.3">
      <c r="A25" t="s">
        <v>18</v>
      </c>
      <c r="B25" s="2">
        <f>C21 + D21 + C22 + D22 + E23</f>
        <v>672470.00000000012</v>
      </c>
      <c r="C25" s="2">
        <f>B21+B22+E23</f>
        <v>672470.00000000012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6F70-9FA2-49B2-AEF2-B2538A7B6523}">
  <dimension ref="A1:L25"/>
  <sheetViews>
    <sheetView workbookViewId="0">
      <selection activeCell="I9" sqref="I9"/>
    </sheetView>
  </sheetViews>
  <sheetFormatPr defaultRowHeight="15.05" x14ac:dyDescent="0.3"/>
  <cols>
    <col min="1" max="1" width="34.33203125" bestFit="1" customWidth="1"/>
    <col min="2" max="2" width="12.5546875" bestFit="1" customWidth="1"/>
    <col min="4" max="4" width="20.88671875" bestFit="1" customWidth="1"/>
    <col min="8" max="8" width="25.21875" bestFit="1" customWidth="1"/>
  </cols>
  <sheetData>
    <row r="1" spans="1:12" x14ac:dyDescent="0.3">
      <c r="A1" t="s">
        <v>68</v>
      </c>
      <c r="B1">
        <v>13.74</v>
      </c>
      <c r="D1" t="s">
        <v>78</v>
      </c>
      <c r="E1">
        <v>6.5</v>
      </c>
    </row>
    <row r="2" spans="1:12" x14ac:dyDescent="0.3">
      <c r="A2" t="s">
        <v>69</v>
      </c>
      <c r="B2">
        <v>80.239999999999995</v>
      </c>
      <c r="D2" t="s">
        <v>83</v>
      </c>
      <c r="E2">
        <f>(PI()*E1*E1)/4</f>
        <v>33.183072403542191</v>
      </c>
      <c r="H2" s="20" t="s">
        <v>95</v>
      </c>
      <c r="I2" s="20"/>
      <c r="J2" s="20"/>
      <c r="K2" s="20"/>
      <c r="L2" s="20"/>
    </row>
    <row r="3" spans="1:12" x14ac:dyDescent="0.3">
      <c r="A3" t="s">
        <v>70</v>
      </c>
      <c r="B3">
        <v>22</v>
      </c>
      <c r="D3" t="s">
        <v>81</v>
      </c>
      <c r="E3">
        <f>8.2*10^(6)</f>
        <v>8199999.9999999991</v>
      </c>
    </row>
    <row r="4" spans="1:12" x14ac:dyDescent="0.3">
      <c r="A4" s="1" t="s">
        <v>36</v>
      </c>
      <c r="B4">
        <v>6378.1369999999997</v>
      </c>
      <c r="D4" t="s">
        <v>1</v>
      </c>
      <c r="E4" s="2">
        <v>672470</v>
      </c>
      <c r="H4" s="1" t="s">
        <v>67</v>
      </c>
      <c r="I4">
        <f>180-B11</f>
        <v>107.35052105169927</v>
      </c>
    </row>
    <row r="5" spans="1:12" x14ac:dyDescent="0.3">
      <c r="A5" t="s">
        <v>71</v>
      </c>
      <c r="B5">
        <v>400</v>
      </c>
      <c r="D5" t="s">
        <v>82</v>
      </c>
      <c r="E5">
        <f>E4*B10</f>
        <v>6594677.9254999999</v>
      </c>
      <c r="H5" t="s">
        <v>100</v>
      </c>
      <c r="I5" s="9">
        <f>B15*SIN(RADIANS(I4))</f>
        <v>0.43123420981768512</v>
      </c>
    </row>
    <row r="6" spans="1:12" x14ac:dyDescent="0.3">
      <c r="A6" s="1" t="s">
        <v>37</v>
      </c>
      <c r="B6">
        <v>398600.44179999997</v>
      </c>
      <c r="D6" t="s">
        <v>80</v>
      </c>
      <c r="E6">
        <f>E3/E5</f>
        <v>1.2434269107051632</v>
      </c>
    </row>
    <row r="7" spans="1:12" x14ac:dyDescent="0.3">
      <c r="A7" s="1" t="s">
        <v>38</v>
      </c>
      <c r="B7">
        <f>B4+B5</f>
        <v>6778.1369999999997</v>
      </c>
      <c r="D7" t="s">
        <v>89</v>
      </c>
      <c r="E7">
        <v>0.42</v>
      </c>
      <c r="H7" t="s">
        <v>97</v>
      </c>
      <c r="I7" s="9">
        <f>B13+B24+I5</f>
        <v>10.617031096918115</v>
      </c>
    </row>
    <row r="8" spans="1:12" x14ac:dyDescent="0.3">
      <c r="A8" s="1" t="s">
        <v>86</v>
      </c>
      <c r="B8">
        <f>(2*PI()+(2*PI()/365.26))/(60*60*24)</f>
        <v>7.2921148843226185E-5</v>
      </c>
    </row>
    <row r="9" spans="1:12" x14ac:dyDescent="0.3">
      <c r="A9" t="s">
        <v>87</v>
      </c>
      <c r="B9" s="13">
        <f>B8*B4</f>
        <v>0.46510107751948809</v>
      </c>
      <c r="D9" t="s">
        <v>84</v>
      </c>
      <c r="E9">
        <f>278*E6</f>
        <v>345.67268117603538</v>
      </c>
      <c r="H9" s="18" t="s">
        <v>96</v>
      </c>
      <c r="I9" s="9">
        <f>I7-B25</f>
        <v>0.8624684196353698</v>
      </c>
    </row>
    <row r="10" spans="1:12" x14ac:dyDescent="0.3">
      <c r="A10" t="s">
        <v>2</v>
      </c>
      <c r="B10">
        <v>9.8066499999999994</v>
      </c>
      <c r="D10" t="s">
        <v>85</v>
      </c>
      <c r="E10">
        <f>0.9*10^(6)</f>
        <v>900000</v>
      </c>
      <c r="H10" s="18"/>
    </row>
    <row r="11" spans="1:12" x14ac:dyDescent="0.3">
      <c r="A11" s="1" t="s">
        <v>67</v>
      </c>
      <c r="B11">
        <f>DEGREES(ASIN(COS(RADIANS(B3))/COS(RADIANS(B1))))</f>
        <v>72.649478948300725</v>
      </c>
    </row>
    <row r="13" spans="1:12" x14ac:dyDescent="0.3">
      <c r="A13" t="s">
        <v>72</v>
      </c>
      <c r="B13" s="14">
        <f>SQRT((B6/B7))</f>
        <v>7.6685581754070551</v>
      </c>
    </row>
    <row r="15" spans="1:12" x14ac:dyDescent="0.3">
      <c r="A15" t="s">
        <v>88</v>
      </c>
      <c r="B15">
        <f>B9*COS(RADIANS(B1))</f>
        <v>0.45179153068881711</v>
      </c>
    </row>
    <row r="16" spans="1:12" x14ac:dyDescent="0.3">
      <c r="A16" t="s">
        <v>73</v>
      </c>
      <c r="B16" s="9">
        <f>B15*SIN(RADIANS(B11))</f>
        <v>0.43123420981768512</v>
      </c>
    </row>
    <row r="18" spans="1:5" x14ac:dyDescent="0.3">
      <c r="A18" s="20" t="s">
        <v>74</v>
      </c>
      <c r="B18" s="20"/>
      <c r="C18" s="20"/>
      <c r="D18" s="20"/>
      <c r="E18" s="20"/>
    </row>
    <row r="19" spans="1:5" x14ac:dyDescent="0.3">
      <c r="A19" t="s">
        <v>75</v>
      </c>
      <c r="B19">
        <f>SQRT((2*B5/1000*B10)/(1+(B5/B4)))</f>
        <v>2.7170465667758221</v>
      </c>
      <c r="D19" t="s">
        <v>90</v>
      </c>
      <c r="E19">
        <f>E20*0.3048/1000</f>
        <v>0.39471600000000018</v>
      </c>
    </row>
    <row r="20" spans="1:5" x14ac:dyDescent="0.3">
      <c r="A20" t="s">
        <v>76</v>
      </c>
      <c r="B20">
        <f>B19*0.8</f>
        <v>2.1736372534206576</v>
      </c>
      <c r="D20" t="s">
        <v>91</v>
      </c>
      <c r="E20">
        <f>(1500-((0.9205-0.9)/0.05)*500)</f>
        <v>1295.0000000000005</v>
      </c>
    </row>
    <row r="22" spans="1:5" x14ac:dyDescent="0.3">
      <c r="A22" t="s">
        <v>77</v>
      </c>
      <c r="B22">
        <f>((B23*E7*E2)/E5)/1000</f>
        <v>2.7754258272718178E-2</v>
      </c>
      <c r="D22" t="s">
        <v>92</v>
      </c>
      <c r="E22">
        <f>243/1000</f>
        <v>0.24299999999999999</v>
      </c>
    </row>
    <row r="23" spans="1:5" x14ac:dyDescent="0.3">
      <c r="A23" t="s">
        <v>79</v>
      </c>
      <c r="B23">
        <f>E10*14.592</f>
        <v>13132800</v>
      </c>
    </row>
    <row r="24" spans="1:5" x14ac:dyDescent="0.3">
      <c r="A24" t="s">
        <v>99</v>
      </c>
      <c r="B24" s="14">
        <v>2.5172387116933757</v>
      </c>
    </row>
    <row r="25" spans="1:5" x14ac:dyDescent="0.3">
      <c r="A25" t="s">
        <v>98</v>
      </c>
      <c r="B25" s="12">
        <v>9.7545626772827454</v>
      </c>
    </row>
  </sheetData>
  <mergeCells count="3">
    <mergeCell ref="A18:E18"/>
    <mergeCell ref="H2:L2"/>
    <mergeCell ref="H9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8ACB-11EF-4994-B837-8FDDD6D27B8D}">
  <dimension ref="A1:E25"/>
  <sheetViews>
    <sheetView topLeftCell="A13" workbookViewId="0">
      <selection activeCell="B24" sqref="B24:B25"/>
    </sheetView>
  </sheetViews>
  <sheetFormatPr defaultRowHeight="15.05" x14ac:dyDescent="0.3"/>
  <cols>
    <col min="1" max="1" width="34.33203125" bestFit="1" customWidth="1"/>
    <col min="2" max="2" width="12.5546875" bestFit="1" customWidth="1"/>
    <col min="4" max="4" width="20.88671875" bestFit="1" customWidth="1"/>
  </cols>
  <sheetData>
    <row r="1" spans="1:5" x14ac:dyDescent="0.3">
      <c r="A1" t="s">
        <v>68</v>
      </c>
      <c r="B1">
        <v>13.74</v>
      </c>
      <c r="D1" t="s">
        <v>78</v>
      </c>
      <c r="E1">
        <v>6.5</v>
      </c>
    </row>
    <row r="2" spans="1:5" x14ac:dyDescent="0.3">
      <c r="A2" t="s">
        <v>69</v>
      </c>
      <c r="B2">
        <v>80.239999999999995</v>
      </c>
      <c r="D2" t="s">
        <v>83</v>
      </c>
      <c r="E2">
        <f>(PI()*E1*E1)/4</f>
        <v>33.183072403542191</v>
      </c>
    </row>
    <row r="3" spans="1:5" x14ac:dyDescent="0.3">
      <c r="A3" t="s">
        <v>70</v>
      </c>
      <c r="B3">
        <v>22</v>
      </c>
      <c r="D3" t="s">
        <v>81</v>
      </c>
      <c r="E3">
        <f>8.2*10^(6)</f>
        <v>8199999.9999999991</v>
      </c>
    </row>
    <row r="4" spans="1:5" x14ac:dyDescent="0.3">
      <c r="A4" s="1" t="s">
        <v>36</v>
      </c>
      <c r="B4">
        <v>6378.1369999999997</v>
      </c>
      <c r="D4" t="s">
        <v>1</v>
      </c>
      <c r="E4" s="2">
        <v>672470</v>
      </c>
    </row>
    <row r="5" spans="1:5" x14ac:dyDescent="0.3">
      <c r="A5" t="s">
        <v>71</v>
      </c>
      <c r="B5">
        <v>400</v>
      </c>
      <c r="D5" t="s">
        <v>82</v>
      </c>
      <c r="E5">
        <f>E4*B10</f>
        <v>6594677.9254999999</v>
      </c>
    </row>
    <row r="6" spans="1:5" x14ac:dyDescent="0.3">
      <c r="A6" s="1" t="s">
        <v>37</v>
      </c>
      <c r="B6">
        <v>398600.44179999997</v>
      </c>
      <c r="D6" t="s">
        <v>80</v>
      </c>
      <c r="E6">
        <f>E3/E5</f>
        <v>1.2434269107051632</v>
      </c>
    </row>
    <row r="7" spans="1:5" x14ac:dyDescent="0.3">
      <c r="A7" s="1" t="s">
        <v>38</v>
      </c>
      <c r="B7">
        <f>B4+B5</f>
        <v>6778.1369999999997</v>
      </c>
      <c r="D7" t="s">
        <v>89</v>
      </c>
      <c r="E7">
        <v>0.42</v>
      </c>
    </row>
    <row r="8" spans="1:5" x14ac:dyDescent="0.3">
      <c r="A8" s="1" t="s">
        <v>86</v>
      </c>
      <c r="B8">
        <f>(2*PI()+(2*PI()/365.26))/(60*60*24)</f>
        <v>7.2921148843226185E-5</v>
      </c>
    </row>
    <row r="9" spans="1:5" x14ac:dyDescent="0.3">
      <c r="A9" t="s">
        <v>87</v>
      </c>
      <c r="B9" s="13">
        <f>B8*B4</f>
        <v>0.46510107751948809</v>
      </c>
      <c r="D9" t="s">
        <v>84</v>
      </c>
      <c r="E9">
        <f>278*E6</f>
        <v>345.67268117603538</v>
      </c>
    </row>
    <row r="10" spans="1:5" x14ac:dyDescent="0.3">
      <c r="A10" t="s">
        <v>2</v>
      </c>
      <c r="B10">
        <v>9.8066499999999994</v>
      </c>
      <c r="D10" t="s">
        <v>85</v>
      </c>
      <c r="E10">
        <f>0.9*10^(6)</f>
        <v>900000</v>
      </c>
    </row>
    <row r="11" spans="1:5" x14ac:dyDescent="0.3">
      <c r="A11" s="1" t="s">
        <v>67</v>
      </c>
      <c r="B11" s="9">
        <f>DEGREES(ASIN(COS(RADIANS(B3))/COS(RADIANS(B1))))</f>
        <v>72.649478948300725</v>
      </c>
    </row>
    <row r="13" spans="1:5" x14ac:dyDescent="0.3">
      <c r="A13" t="s">
        <v>72</v>
      </c>
      <c r="B13" s="9">
        <f>SQRT((B6/B7))</f>
        <v>7.6685581754070551</v>
      </c>
    </row>
    <row r="15" spans="1:5" x14ac:dyDescent="0.3">
      <c r="A15" t="s">
        <v>88</v>
      </c>
      <c r="B15">
        <f>B9*COS(RADIANS(B1))</f>
        <v>0.45179153068881711</v>
      </c>
    </row>
    <row r="16" spans="1:5" x14ac:dyDescent="0.3">
      <c r="A16" t="s">
        <v>73</v>
      </c>
      <c r="B16" s="9">
        <f>B15*SIN(RADIANS(B11))</f>
        <v>0.43123420981768512</v>
      </c>
    </row>
    <row r="18" spans="1:5" x14ac:dyDescent="0.3">
      <c r="A18" s="20" t="s">
        <v>74</v>
      </c>
      <c r="B18" s="20"/>
      <c r="C18" s="20"/>
      <c r="D18" s="20"/>
      <c r="E18" s="20"/>
    </row>
    <row r="19" spans="1:5" x14ac:dyDescent="0.3">
      <c r="A19" t="s">
        <v>75</v>
      </c>
      <c r="B19">
        <f>SQRT((2*B5/1000*B10)/(1+(B5/B4)))</f>
        <v>2.7170465667758221</v>
      </c>
      <c r="D19" t="s">
        <v>90</v>
      </c>
      <c r="E19" s="9">
        <f>E20*0.3048/1000</f>
        <v>7.2847200000000001E-2</v>
      </c>
    </row>
    <row r="20" spans="1:5" x14ac:dyDescent="0.3">
      <c r="A20" t="s">
        <v>76</v>
      </c>
      <c r="B20" s="9">
        <f>B19*0.8</f>
        <v>2.1736372534206576</v>
      </c>
      <c r="D20" t="s">
        <v>91</v>
      </c>
      <c r="E20">
        <f>239</f>
        <v>239</v>
      </c>
    </row>
    <row r="22" spans="1:5" x14ac:dyDescent="0.3">
      <c r="A22" t="s">
        <v>77</v>
      </c>
      <c r="B22" s="9">
        <f>((B23*E7*E2)/E5)/1000</f>
        <v>2.7754258272718178E-2</v>
      </c>
      <c r="D22" t="s">
        <v>92</v>
      </c>
      <c r="E22" s="9">
        <f>243/1000</f>
        <v>0.24299999999999999</v>
      </c>
    </row>
    <row r="23" spans="1:5" x14ac:dyDescent="0.3">
      <c r="A23" t="s">
        <v>79</v>
      </c>
      <c r="B23">
        <f>E10*14.592</f>
        <v>13132800</v>
      </c>
    </row>
    <row r="24" spans="1:5" x14ac:dyDescent="0.3">
      <c r="A24" t="s">
        <v>94</v>
      </c>
      <c r="B24">
        <f>B20+B22+E19+E22</f>
        <v>2.5172387116933757</v>
      </c>
    </row>
    <row r="25" spans="1:5" x14ac:dyDescent="0.3">
      <c r="A25" t="s">
        <v>93</v>
      </c>
      <c r="B25" s="9">
        <f>B13-B16+B24</f>
        <v>9.7545626772827454</v>
      </c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1(f)</vt:lpstr>
      <vt:lpstr>1(d)</vt:lpstr>
      <vt:lpstr>1(c)</vt:lpstr>
      <vt:lpstr>1(b)</vt:lpstr>
      <vt:lpstr>1(a)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SIDHARTHA MAURYA</cp:lastModifiedBy>
  <dcterms:created xsi:type="dcterms:W3CDTF">2025-04-21T23:06:51Z</dcterms:created>
  <dcterms:modified xsi:type="dcterms:W3CDTF">2025-04-28T04:24:46Z</dcterms:modified>
</cp:coreProperties>
</file>