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574"/>
  </bookViews>
  <sheets>
    <sheet name="Pre- Analysis" sheetId="1" r:id="rId1"/>
    <sheet name="Geom &amp; Mesh" sheetId="2" r:id="rId2"/>
    <sheet name="Model Setup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3" l="1"/>
  <c r="H2" i="1"/>
  <c r="F2" i="1"/>
  <c r="H8" i="3"/>
  <c r="G8" i="3"/>
  <c r="F8" i="3"/>
  <c r="J8" i="3" s="1"/>
  <c r="E8" i="3"/>
  <c r="I8" i="3" s="1"/>
  <c r="D8" i="3"/>
  <c r="C8" i="3"/>
  <c r="H7" i="3"/>
  <c r="G7" i="3"/>
  <c r="F7" i="3"/>
  <c r="J7" i="3" s="1"/>
  <c r="E7" i="3"/>
  <c r="I7" i="3" s="1"/>
  <c r="D7" i="3"/>
  <c r="C7" i="3"/>
  <c r="H6" i="3"/>
  <c r="G6" i="3"/>
  <c r="F6" i="3"/>
  <c r="J6" i="3" s="1"/>
  <c r="E6" i="3"/>
  <c r="I6" i="3" s="1"/>
  <c r="D6" i="3"/>
  <c r="C6" i="3"/>
  <c r="B27" i="2" l="1"/>
  <c r="F21" i="2"/>
  <c r="B15" i="2" l="1"/>
  <c r="F7" i="2"/>
  <c r="F8" i="2" s="1"/>
  <c r="F5" i="2"/>
  <c r="F6" i="2" s="1"/>
  <c r="F9" i="2" s="1"/>
  <c r="F2" i="2"/>
  <c r="F3" i="2" s="1"/>
  <c r="B17" i="1"/>
  <c r="B14" i="1"/>
  <c r="F7" i="1"/>
  <c r="F8" i="1" s="1"/>
  <c r="I12" i="2" l="1"/>
  <c r="I13" i="2" s="1"/>
  <c r="F12" i="2"/>
  <c r="F13" i="2" s="1"/>
  <c r="F14" i="2" s="1"/>
  <c r="F16" i="2" s="1"/>
  <c r="F17" i="2" s="1"/>
  <c r="B22" i="2" s="1"/>
  <c r="B12" i="2"/>
  <c r="B13" i="2"/>
  <c r="B14" i="2"/>
  <c r="F5" i="1"/>
  <c r="F6" i="1" s="1"/>
  <c r="F3" i="1"/>
  <c r="I14" i="2" l="1"/>
  <c r="I16" i="2" s="1"/>
  <c r="I17" i="2" s="1"/>
  <c r="F9" i="1"/>
  <c r="B15" i="1" s="1"/>
  <c r="B16" i="1" s="1"/>
  <c r="F14" i="1" l="1"/>
  <c r="F18" i="1" s="1"/>
  <c r="F15" i="1"/>
  <c r="F19" i="1" s="1"/>
</calcChain>
</file>

<file path=xl/sharedStrings.xml><?xml version="1.0" encoding="utf-8"?>
<sst xmlns="http://schemas.openxmlformats.org/spreadsheetml/2006/main" count="201" uniqueCount="139">
  <si>
    <t>AOA</t>
  </si>
  <si>
    <t>Value</t>
  </si>
  <si>
    <t>Unit</t>
  </si>
  <si>
    <t>m/s</t>
  </si>
  <si>
    <t>mm</t>
  </si>
  <si>
    <t>deg</t>
  </si>
  <si>
    <t>kg /m^3</t>
  </si>
  <si>
    <t>kg /m-s</t>
  </si>
  <si>
    <t>Given Parameter</t>
  </si>
  <si>
    <t>Calculated Parameter</t>
  </si>
  <si>
    <t xml:space="preserve">Mean Chord </t>
  </si>
  <si>
    <t xml:space="preserve">Re no. </t>
  </si>
  <si>
    <t xml:space="preserve">Freestream vel, V </t>
  </si>
  <si>
    <t xml:space="preserve">Span length, b </t>
  </si>
  <si>
    <r>
      <t xml:space="preserve">Density, </t>
    </r>
    <r>
      <rPr>
        <sz val="12"/>
        <color theme="1"/>
        <rFont val="Calibri"/>
        <family val="2"/>
      </rPr>
      <t>ρ</t>
    </r>
  </si>
  <si>
    <r>
      <t xml:space="preserve">Dynamic Viscosity, </t>
    </r>
    <r>
      <rPr>
        <sz val="12"/>
        <color theme="1"/>
        <rFont val="Calibri"/>
        <family val="2"/>
      </rPr>
      <t>µ</t>
    </r>
  </si>
  <si>
    <t>Tip Chord, Ct</t>
  </si>
  <si>
    <t>Root Chord, Cr</t>
  </si>
  <si>
    <t xml:space="preserve">y+ </t>
  </si>
  <si>
    <t>Planform Area</t>
  </si>
  <si>
    <t>mm^2</t>
  </si>
  <si>
    <t>AR</t>
  </si>
  <si>
    <t>`-</t>
  </si>
  <si>
    <t>e</t>
  </si>
  <si>
    <t>Taper Ratio</t>
  </si>
  <si>
    <t>Expected CL and Cd for 3D tapered wing</t>
  </si>
  <si>
    <t>2-D Lift Slope, a0</t>
  </si>
  <si>
    <t>Classical Lifting line correction, a</t>
  </si>
  <si>
    <t>/rad</t>
  </si>
  <si>
    <t>/deg</t>
  </si>
  <si>
    <t>Wing Zero-Lift Angle (clark-Y)</t>
  </si>
  <si>
    <t>Parasite (zero-lift) drag, Cd0</t>
  </si>
  <si>
    <t>for Re = 6e5</t>
  </si>
  <si>
    <t xml:space="preserve">CL </t>
  </si>
  <si>
    <t>at 5 deg</t>
  </si>
  <si>
    <t>at 2.5 deg</t>
  </si>
  <si>
    <t>CD</t>
  </si>
  <si>
    <t>AOA 1</t>
  </si>
  <si>
    <t>AOA 2</t>
  </si>
  <si>
    <t>Cos (Taper Ratio)</t>
  </si>
  <si>
    <t xml:space="preserve">k </t>
  </si>
  <si>
    <t>Domain Geometry</t>
  </si>
  <si>
    <t>Downstream</t>
  </si>
  <si>
    <t>Upstream</t>
  </si>
  <si>
    <t>Top /Bottom</t>
  </si>
  <si>
    <t>Lateral Distance</t>
  </si>
  <si>
    <t>Mesh - 1</t>
  </si>
  <si>
    <t>Side Edge Sizing</t>
  </si>
  <si>
    <t>LE /TE Sizing</t>
  </si>
  <si>
    <t xml:space="preserve">Cf </t>
  </si>
  <si>
    <t>0.026 / Re_x ^ (1/7)</t>
  </si>
  <si>
    <t>t_wall</t>
  </si>
  <si>
    <t xml:space="preserve">0.5 * Cf * rho * U^2 </t>
  </si>
  <si>
    <t>U_friction</t>
  </si>
  <si>
    <t>(t_wall / rho)^0.5</t>
  </si>
  <si>
    <t xml:space="preserve"> Y+ </t>
  </si>
  <si>
    <t>desired</t>
  </si>
  <si>
    <t>Delta_s (m)</t>
  </si>
  <si>
    <t>(Y+ * μ  ) / ( U_fric *rho)</t>
  </si>
  <si>
    <t>Delta_s (mm)</t>
  </si>
  <si>
    <t>Before Simulation</t>
  </si>
  <si>
    <t>so we have Y+ less than 1 and we are gonna capture all the effects in boundary layer</t>
  </si>
  <si>
    <t>in Ansys (m)</t>
  </si>
  <si>
    <t>in Ansys (mm)</t>
  </si>
  <si>
    <t>1st Layer Height</t>
  </si>
  <si>
    <t>No of Elements</t>
  </si>
  <si>
    <t>No of Nodes</t>
  </si>
  <si>
    <t>Flow Type</t>
  </si>
  <si>
    <t>Correlation for Cf</t>
  </si>
  <si>
    <t>Internal Flow</t>
  </si>
  <si>
    <t>External Flow</t>
  </si>
  <si>
    <t>Flat Plate (laminar)</t>
  </si>
  <si>
    <t>Flat Plate (turbulent)</t>
  </si>
  <si>
    <t>First Layer Height Calculator</t>
  </si>
  <si>
    <t>No of Layers</t>
  </si>
  <si>
    <t>No of Unknowns</t>
  </si>
  <si>
    <t>No of Eqns to solve</t>
  </si>
  <si>
    <t>Overall Elements Size</t>
  </si>
  <si>
    <t>BOI Sizing</t>
  </si>
  <si>
    <r>
      <t>u,v,w,P,k,</t>
    </r>
    <r>
      <rPr>
        <sz val="11"/>
        <color theme="1"/>
        <rFont val="Calibri"/>
        <family val="2"/>
      </rPr>
      <t>ω</t>
    </r>
  </si>
  <si>
    <t xml:space="preserve">Mesh Quality </t>
  </si>
  <si>
    <t xml:space="preserve">Orthogonality </t>
  </si>
  <si>
    <t>min</t>
  </si>
  <si>
    <t xml:space="preserve"> no of elements less than 0.1</t>
  </si>
  <si>
    <t>Skewness</t>
  </si>
  <si>
    <t>Aspect Ratio in BL</t>
  </si>
  <si>
    <t>good for unstructure mesh</t>
  </si>
  <si>
    <t>max</t>
  </si>
  <si>
    <t>most</t>
  </si>
  <si>
    <t>avg</t>
  </si>
  <si>
    <t>E:\Projects\MRPKS\Geom &amp; Coordinates</t>
  </si>
  <si>
    <t>TW_CFD3_step</t>
  </si>
  <si>
    <t>Geometry Used</t>
  </si>
  <si>
    <t>Vx</t>
  </si>
  <si>
    <t>Vy</t>
  </si>
  <si>
    <t>V (m/s)</t>
  </si>
  <si>
    <t>Dx</t>
  </si>
  <si>
    <t>Dy</t>
  </si>
  <si>
    <t>Lx</t>
  </si>
  <si>
    <t>Ly</t>
  </si>
  <si>
    <t>mx</t>
  </si>
  <si>
    <t>my</t>
  </si>
  <si>
    <t>Boundary Conditions:</t>
  </si>
  <si>
    <t>Inlet</t>
  </si>
  <si>
    <t>Outlet</t>
  </si>
  <si>
    <t>Sym</t>
  </si>
  <si>
    <t>Wing</t>
  </si>
  <si>
    <t>25m/s</t>
  </si>
  <si>
    <t>P = 1 atm</t>
  </si>
  <si>
    <t>No slip wall</t>
  </si>
  <si>
    <t>Planform Area, S</t>
  </si>
  <si>
    <t>m^2</t>
  </si>
  <si>
    <t>m</t>
  </si>
  <si>
    <t>Model=</t>
  </si>
  <si>
    <t>k-w SST</t>
  </si>
  <si>
    <t>Material</t>
  </si>
  <si>
    <t xml:space="preserve">air </t>
  </si>
  <si>
    <r>
      <rPr>
        <sz val="12"/>
        <color theme="1"/>
        <rFont val="Calibri"/>
        <family val="2"/>
      </rPr>
      <t>µ</t>
    </r>
    <r>
      <rPr>
        <sz val="13.8"/>
        <color theme="1"/>
        <rFont val="Calibri"/>
        <family val="2"/>
      </rPr>
      <t>= 1.7894e-5</t>
    </r>
  </si>
  <si>
    <r>
      <rPr>
        <sz val="12"/>
        <color theme="1"/>
        <rFont val="Calibri"/>
        <family val="2"/>
      </rPr>
      <t>ρ</t>
    </r>
    <r>
      <rPr>
        <sz val="12"/>
        <color theme="1"/>
        <rFont val="Calibri"/>
        <family val="2"/>
        <scheme val="minor"/>
      </rPr>
      <t xml:space="preserve"> =1.225</t>
    </r>
  </si>
  <si>
    <t>Methods</t>
  </si>
  <si>
    <t xml:space="preserve"> Coupled</t>
  </si>
  <si>
    <t>Residual</t>
  </si>
  <si>
    <t>Second order Upwind</t>
  </si>
  <si>
    <t>Ref area</t>
  </si>
  <si>
    <t>Ref length</t>
  </si>
  <si>
    <t>No of Iterations</t>
  </si>
  <si>
    <t>Converged ?</t>
  </si>
  <si>
    <t>Expected CD</t>
  </si>
  <si>
    <t>Expected CL</t>
  </si>
  <si>
    <t>Simulation CL</t>
  </si>
  <si>
    <t>Simulation CD</t>
  </si>
  <si>
    <t xml:space="preserve">then Ref Ar= </t>
  </si>
  <si>
    <t xml:space="preserve">Sim. Area </t>
  </si>
  <si>
    <t>Simple , 1st Order Scheme</t>
  </si>
  <si>
    <t>Coupled , 2nd Order Scheme</t>
  </si>
  <si>
    <t>Net Mass Flow Rate</t>
  </si>
  <si>
    <t xml:space="preserve">Input </t>
  </si>
  <si>
    <t xml:space="preserve">Outout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</si>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</sst>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E+00"/>
    <numFmt numFmtId="165" formatCode="0.0000"/>
    <numFmt numFmtId="166" formatCode="0.0000000000"/>
    <numFmt numFmtId="168" formatCode="0.0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3.8"/>
      <color theme="1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5" borderId="0" xfId="0" applyFill="1" applyAlignment="1">
      <alignment horizontal="left" vertical="center"/>
    </xf>
    <xf numFmtId="11" fontId="4" fillId="0" borderId="0" xfId="0" applyNumberFormat="1" applyFont="1" applyAlignment="1">
      <alignment horizontal="left" vertical="center"/>
    </xf>
    <xf numFmtId="166" fontId="0" fillId="0" borderId="0" xfId="0" applyNumberFormat="1" applyAlignment="1">
      <alignment horizontal="left" vertical="center"/>
    </xf>
    <xf numFmtId="165" fontId="0" fillId="4" borderId="1" xfId="0" applyNumberFormat="1" applyFill="1" applyBorder="1" applyAlignment="1">
      <alignment horizontal="left" vertical="center"/>
    </xf>
    <xf numFmtId="165" fontId="0" fillId="7" borderId="0" xfId="0" applyNumberFormat="1" applyFill="1" applyAlignment="1">
      <alignment horizontal="left" vertical="center"/>
    </xf>
    <xf numFmtId="11" fontId="0" fillId="3" borderId="0" xfId="0" applyNumberForma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2" borderId="0" xfId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65" fontId="2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8" fontId="4" fillId="0" borderId="0" xfId="0" applyNumberFormat="1" applyFont="1" applyAlignment="1">
      <alignment horizontal="left" vertical="center"/>
    </xf>
    <xf numFmtId="11" fontId="3" fillId="0" borderId="0" xfId="0" applyNumberFormat="1" applyFont="1" applyAlignment="1">
      <alignment horizontal="left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12</xdr:row>
      <xdr:rowOff>0</xdr:rowOff>
    </xdr:from>
    <xdr:to>
      <xdr:col>13</xdr:col>
      <xdr:colOff>142875</xdr:colOff>
      <xdr:row>13</xdr:row>
      <xdr:rowOff>9525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0435" y="2377109"/>
          <a:ext cx="1310723" cy="2083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13</xdr:row>
      <xdr:rowOff>0</xdr:rowOff>
    </xdr:from>
    <xdr:to>
      <xdr:col>13</xdr:col>
      <xdr:colOff>85725</xdr:colOff>
      <xdr:row>14</xdr:row>
      <xdr:rowOff>9525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0" y="2590800"/>
          <a:ext cx="13049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14</xdr:row>
      <xdr:rowOff>0</xdr:rowOff>
    </xdr:from>
    <xdr:to>
      <xdr:col>13</xdr:col>
      <xdr:colOff>171450</xdr:colOff>
      <xdr:row>15</xdr:row>
      <xdr:rowOff>9525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0" y="2790825"/>
          <a:ext cx="1390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15</xdr:row>
      <xdr:rowOff>0</xdr:rowOff>
    </xdr:from>
    <xdr:to>
      <xdr:col>13</xdr:col>
      <xdr:colOff>114300</xdr:colOff>
      <xdr:row>16</xdr:row>
      <xdr:rowOff>19050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0" y="2990850"/>
          <a:ext cx="1333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="115" zoomScaleNormal="115" workbookViewId="0">
      <selection activeCell="L15" sqref="L15"/>
    </sheetView>
  </sheetViews>
  <sheetFormatPr defaultRowHeight="15" x14ac:dyDescent="0.25"/>
  <cols>
    <col min="1" max="1" width="36.85546875" style="2" bestFit="1" customWidth="1"/>
    <col min="2" max="2" width="13.7109375" style="2" bestFit="1" customWidth="1"/>
    <col min="3" max="4" width="9.140625" style="2"/>
    <col min="5" max="5" width="22.42578125" style="2" bestFit="1" customWidth="1"/>
    <col min="6" max="6" width="13.42578125" style="2" bestFit="1" customWidth="1"/>
    <col min="7" max="16384" width="9.140625" style="2"/>
  </cols>
  <sheetData>
    <row r="1" spans="1:9" ht="15.75" x14ac:dyDescent="0.25">
      <c r="A1" s="1" t="s">
        <v>8</v>
      </c>
      <c r="B1" s="1" t="s">
        <v>1</v>
      </c>
      <c r="C1" s="1" t="s">
        <v>2</v>
      </c>
      <c r="E1" s="1" t="s">
        <v>9</v>
      </c>
      <c r="F1" s="1" t="s">
        <v>1</v>
      </c>
      <c r="G1" s="1" t="s">
        <v>2</v>
      </c>
    </row>
    <row r="2" spans="1:9" ht="15.75" x14ac:dyDescent="0.25">
      <c r="A2" s="3" t="s">
        <v>12</v>
      </c>
      <c r="B2" s="3">
        <v>25</v>
      </c>
      <c r="C2" s="3" t="s">
        <v>3</v>
      </c>
      <c r="E2" s="2" t="s">
        <v>10</v>
      </c>
      <c r="F2" s="4">
        <f xml:space="preserve"> (2/3) * (B4*B4 +B4*B3+B3*B3) /(B3+B4)</f>
        <v>357.84037558685446</v>
      </c>
      <c r="G2" s="2" t="s">
        <v>4</v>
      </c>
      <c r="H2" s="2">
        <f>F2/1000</f>
        <v>0.35784037558685444</v>
      </c>
      <c r="I2" s="2" t="s">
        <v>112</v>
      </c>
    </row>
    <row r="3" spans="1:9" ht="15.75" x14ac:dyDescent="0.25">
      <c r="A3" s="3" t="s">
        <v>16</v>
      </c>
      <c r="B3" s="3">
        <v>300</v>
      </c>
      <c r="C3" s="3" t="s">
        <v>4</v>
      </c>
      <c r="E3" s="2" t="s">
        <v>11</v>
      </c>
      <c r="F3" s="5">
        <f>B8*B2*(F2/1000)/B9</f>
        <v>612432.18410346599</v>
      </c>
      <c r="G3" s="2" t="s">
        <v>22</v>
      </c>
    </row>
    <row r="4" spans="1:9" ht="15.75" x14ac:dyDescent="0.25">
      <c r="A4" s="3" t="s">
        <v>17</v>
      </c>
      <c r="B4" s="3">
        <v>410</v>
      </c>
      <c r="C4" s="3" t="s">
        <v>4</v>
      </c>
      <c r="E4" s="2" t="s">
        <v>18</v>
      </c>
      <c r="F4" s="4">
        <v>1.3274579999999999E-3</v>
      </c>
      <c r="G4" s="2" t="s">
        <v>4</v>
      </c>
    </row>
    <row r="5" spans="1:9" ht="15.75" x14ac:dyDescent="0.25">
      <c r="A5" s="3" t="s">
        <v>13</v>
      </c>
      <c r="B5" s="3">
        <v>1700</v>
      </c>
      <c r="C5" s="3" t="s">
        <v>4</v>
      </c>
      <c r="E5" s="2" t="s">
        <v>110</v>
      </c>
      <c r="F5" s="4">
        <f>(B3/1000+B4/1000) /2 *B5/1000</f>
        <v>0.60350000000000004</v>
      </c>
      <c r="G5" s="2" t="s">
        <v>111</v>
      </c>
    </row>
    <row r="6" spans="1:9" ht="15.75" x14ac:dyDescent="0.25">
      <c r="A6" s="3" t="s">
        <v>37</v>
      </c>
      <c r="B6" s="3">
        <v>2.5</v>
      </c>
      <c r="C6" s="3"/>
      <c r="E6" s="2" t="s">
        <v>21</v>
      </c>
      <c r="F6" s="4">
        <f xml:space="preserve"> B5/1000*B5/1000/F5</f>
        <v>4.788732394366197</v>
      </c>
      <c r="G6" s="2" t="s">
        <v>22</v>
      </c>
    </row>
    <row r="7" spans="1:9" ht="15.75" x14ac:dyDescent="0.25">
      <c r="A7" s="3" t="s">
        <v>38</v>
      </c>
      <c r="B7" s="6">
        <v>5</v>
      </c>
      <c r="C7" s="3" t="s">
        <v>5</v>
      </c>
      <c r="E7" s="2" t="s">
        <v>24</v>
      </c>
      <c r="F7" s="4">
        <f>B3/B4</f>
        <v>0.73170731707317072</v>
      </c>
      <c r="G7" s="2" t="s">
        <v>22</v>
      </c>
    </row>
    <row r="8" spans="1:9" ht="15.75" x14ac:dyDescent="0.25">
      <c r="A8" s="3" t="s">
        <v>14</v>
      </c>
      <c r="B8" s="3">
        <v>1.2250000000000001</v>
      </c>
      <c r="C8" s="3" t="s">
        <v>6</v>
      </c>
      <c r="E8" s="2" t="s">
        <v>39</v>
      </c>
      <c r="F8" s="4">
        <f>COS(F7*PI()/180)</f>
        <v>0.99991845569547733</v>
      </c>
      <c r="G8" s="2" t="s">
        <v>5</v>
      </c>
    </row>
    <row r="9" spans="1:9" ht="15.75" x14ac:dyDescent="0.25">
      <c r="A9" s="3" t="s">
        <v>15</v>
      </c>
      <c r="B9" s="7">
        <v>1.7893999999999998E-5</v>
      </c>
      <c r="C9" s="3" t="s">
        <v>7</v>
      </c>
      <c r="E9" s="2" t="s">
        <v>23</v>
      </c>
      <c r="F9" s="4">
        <f>(1.78*(1-0.045*(F6^0.68))-0.64 )/F8</f>
        <v>0.90770271001927827</v>
      </c>
      <c r="G9" s="2" t="s">
        <v>22</v>
      </c>
    </row>
    <row r="12" spans="1:9" x14ac:dyDescent="0.25">
      <c r="A12" s="8" t="s">
        <v>25</v>
      </c>
    </row>
    <row r="13" spans="1:9" x14ac:dyDescent="0.25">
      <c r="E13" s="21" t="s">
        <v>33</v>
      </c>
      <c r="F13" s="21"/>
    </row>
    <row r="14" spans="1:9" x14ac:dyDescent="0.25">
      <c r="A14" s="2" t="s">
        <v>26</v>
      </c>
      <c r="B14" s="4">
        <f>2*PI()</f>
        <v>6.2831853071795862</v>
      </c>
      <c r="C14" s="2" t="s">
        <v>28</v>
      </c>
      <c r="E14" s="12" t="s">
        <v>35</v>
      </c>
      <c r="F14" s="12">
        <f>B16*(B6-B18)</f>
        <v>0.45581383074991949</v>
      </c>
    </row>
    <row r="15" spans="1:9" x14ac:dyDescent="0.25">
      <c r="A15" s="20" t="s">
        <v>27</v>
      </c>
      <c r="B15" s="4">
        <f xml:space="preserve"> B14/(1+B14/(PI()*F6*F9))</f>
        <v>4.3032144909640486</v>
      </c>
      <c r="C15" s="2" t="s">
        <v>28</v>
      </c>
      <c r="E15" s="12" t="s">
        <v>34</v>
      </c>
      <c r="F15" s="12">
        <f>B16*(B7-B18)</f>
        <v>0.64357698396705543</v>
      </c>
    </row>
    <row r="16" spans="1:9" x14ac:dyDescent="0.25">
      <c r="A16" s="20"/>
      <c r="B16" s="4">
        <f>B15*PI()/180</f>
        <v>7.5105261286854422E-2</v>
      </c>
      <c r="C16" s="2" t="s">
        <v>29</v>
      </c>
    </row>
    <row r="17" spans="1:6" x14ac:dyDescent="0.25">
      <c r="A17" s="2" t="s">
        <v>40</v>
      </c>
      <c r="B17" s="2">
        <f>1/( PI()*F9*F6)</f>
        <v>7.3229476067273785E-2</v>
      </c>
      <c r="E17" s="22" t="s">
        <v>36</v>
      </c>
      <c r="F17" s="22"/>
    </row>
    <row r="18" spans="1:6" x14ac:dyDescent="0.25">
      <c r="A18" s="9" t="s">
        <v>30</v>
      </c>
      <c r="B18" s="9">
        <v>-3.569</v>
      </c>
      <c r="C18" s="2" t="s">
        <v>5</v>
      </c>
      <c r="E18" s="12" t="s">
        <v>35</v>
      </c>
      <c r="F18" s="12">
        <f>B19+B17*F14*F14</f>
        <v>2.4214613507685667E-2</v>
      </c>
    </row>
    <row r="19" spans="1:6" x14ac:dyDescent="0.25">
      <c r="A19" s="9" t="s">
        <v>31</v>
      </c>
      <c r="B19" s="9">
        <v>8.9999999999999993E-3</v>
      </c>
      <c r="C19" s="2" t="s">
        <v>32</v>
      </c>
      <c r="E19" s="12" t="s">
        <v>34</v>
      </c>
      <c r="F19" s="12">
        <f>B19+B17*F15*F15</f>
        <v>3.933101440181784E-2</v>
      </c>
    </row>
  </sheetData>
  <mergeCells count="3">
    <mergeCell ref="A15:A16"/>
    <mergeCell ref="E13:F13"/>
    <mergeCell ref="E17:F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4" zoomScale="115" zoomScaleNormal="115" workbookViewId="0">
      <selection activeCell="B22" sqref="B22"/>
    </sheetView>
  </sheetViews>
  <sheetFormatPr defaultRowHeight="15" x14ac:dyDescent="0.25"/>
  <cols>
    <col min="1" max="1" width="20.5703125" style="2" bestFit="1" customWidth="1"/>
    <col min="2" max="2" width="9.140625" style="2"/>
    <col min="3" max="3" width="11.28515625" style="2" bestFit="1" customWidth="1"/>
    <col min="4" max="4" width="9.140625" style="2"/>
    <col min="5" max="5" width="22.42578125" style="2" bestFit="1" customWidth="1"/>
    <col min="6" max="6" width="14" style="2" bestFit="1" customWidth="1"/>
    <col min="7" max="7" width="21.85546875" style="2" bestFit="1" customWidth="1"/>
    <col min="8" max="8" width="9.140625" style="2"/>
    <col min="9" max="9" width="14" style="2" bestFit="1" customWidth="1"/>
    <col min="10" max="10" width="9.140625" style="2"/>
    <col min="11" max="11" width="19.85546875" style="2" bestFit="1" customWidth="1"/>
    <col min="12" max="12" width="8.28515625" style="2" customWidth="1"/>
    <col min="13" max="16384" width="9.140625" style="2"/>
  </cols>
  <sheetData>
    <row r="1" spans="1:12" ht="15.75" x14ac:dyDescent="0.25">
      <c r="A1" s="1" t="s">
        <v>8</v>
      </c>
      <c r="B1" s="1" t="s">
        <v>1</v>
      </c>
      <c r="C1" s="1" t="s">
        <v>2</v>
      </c>
      <c r="E1" s="1" t="s">
        <v>9</v>
      </c>
      <c r="F1" s="1" t="s">
        <v>1</v>
      </c>
      <c r="G1" s="1" t="s">
        <v>2</v>
      </c>
      <c r="I1" s="8" t="s">
        <v>92</v>
      </c>
    </row>
    <row r="2" spans="1:12" ht="15.75" x14ac:dyDescent="0.25">
      <c r="A2" s="3" t="s">
        <v>12</v>
      </c>
      <c r="B2" s="3">
        <v>25</v>
      </c>
      <c r="C2" s="3" t="s">
        <v>3</v>
      </c>
      <c r="E2" s="2" t="s">
        <v>10</v>
      </c>
      <c r="F2" s="4">
        <f xml:space="preserve"> (2/3) * (B4*B4 +B4*B3+B3*B3) /(B3+B4)</f>
        <v>357.84037558685446</v>
      </c>
      <c r="G2" s="2" t="s">
        <v>4</v>
      </c>
      <c r="I2" s="2" t="s">
        <v>90</v>
      </c>
    </row>
    <row r="3" spans="1:12" ht="15.75" x14ac:dyDescent="0.25">
      <c r="A3" s="3" t="s">
        <v>16</v>
      </c>
      <c r="B3" s="3">
        <v>300</v>
      </c>
      <c r="C3" s="3" t="s">
        <v>4</v>
      </c>
      <c r="E3" s="2" t="s">
        <v>11</v>
      </c>
      <c r="F3" s="5">
        <f>B8*B2*(F2/1000)/B9</f>
        <v>612432.18410346599</v>
      </c>
      <c r="G3" s="2" t="s">
        <v>22</v>
      </c>
      <c r="I3" s="2" t="s">
        <v>91</v>
      </c>
    </row>
    <row r="4" spans="1:12" ht="15.75" x14ac:dyDescent="0.25">
      <c r="A4" s="3" t="s">
        <v>17</v>
      </c>
      <c r="B4" s="3">
        <v>410</v>
      </c>
      <c r="C4" s="3" t="s">
        <v>4</v>
      </c>
      <c r="E4" s="2" t="s">
        <v>18</v>
      </c>
      <c r="F4" s="4">
        <v>1.3274579999999999E-2</v>
      </c>
      <c r="G4" s="2" t="s">
        <v>4</v>
      </c>
    </row>
    <row r="5" spans="1:12" ht="15.75" x14ac:dyDescent="0.25">
      <c r="A5" s="3" t="s">
        <v>13</v>
      </c>
      <c r="B5" s="3">
        <v>1700</v>
      </c>
      <c r="C5" s="3" t="s">
        <v>4</v>
      </c>
      <c r="E5" s="2" t="s">
        <v>19</v>
      </c>
      <c r="F5" s="4">
        <f>(B3/1000+B4/1000) /2 *B5/1000</f>
        <v>0.60350000000000004</v>
      </c>
      <c r="G5" s="2" t="s">
        <v>20</v>
      </c>
    </row>
    <row r="6" spans="1:12" ht="15.75" x14ac:dyDescent="0.25">
      <c r="A6" s="3" t="s">
        <v>37</v>
      </c>
      <c r="B6" s="3">
        <v>2.5</v>
      </c>
      <c r="C6" s="3"/>
      <c r="E6" s="2" t="s">
        <v>21</v>
      </c>
      <c r="F6" s="4">
        <f xml:space="preserve"> B5/1000*B5/1000/F5</f>
        <v>4.788732394366197</v>
      </c>
      <c r="G6" s="2" t="s">
        <v>22</v>
      </c>
    </row>
    <row r="7" spans="1:12" ht="15.75" x14ac:dyDescent="0.25">
      <c r="A7" s="3" t="s">
        <v>38</v>
      </c>
      <c r="B7" s="6">
        <v>5</v>
      </c>
      <c r="C7" s="3" t="s">
        <v>5</v>
      </c>
      <c r="E7" s="2" t="s">
        <v>24</v>
      </c>
      <c r="F7" s="4">
        <f>B3/B4</f>
        <v>0.73170731707317072</v>
      </c>
      <c r="G7" s="2" t="s">
        <v>22</v>
      </c>
    </row>
    <row r="8" spans="1:12" ht="15.75" x14ac:dyDescent="0.25">
      <c r="A8" s="3" t="s">
        <v>14</v>
      </c>
      <c r="B8" s="3">
        <v>1.2250000000000001</v>
      </c>
      <c r="C8" s="3" t="s">
        <v>6</v>
      </c>
      <c r="E8" s="2" t="s">
        <v>39</v>
      </c>
      <c r="F8" s="4">
        <f>COS(F7*PI()/180)</f>
        <v>0.99991845569547733</v>
      </c>
      <c r="G8" s="2" t="s">
        <v>5</v>
      </c>
    </row>
    <row r="9" spans="1:12" ht="15.75" x14ac:dyDescent="0.25">
      <c r="A9" s="3" t="s">
        <v>15</v>
      </c>
      <c r="B9" s="10">
        <v>1.7893999999999998E-5</v>
      </c>
      <c r="C9" s="3" t="s">
        <v>7</v>
      </c>
      <c r="E9" s="2" t="s">
        <v>23</v>
      </c>
      <c r="F9" s="4">
        <f>(1.78*(1-0.045*(F6^0.68))-0.64 )/F8</f>
        <v>0.90770271001927827</v>
      </c>
      <c r="G9" s="2" t="s">
        <v>22</v>
      </c>
    </row>
    <row r="11" spans="1:12" ht="15.75" x14ac:dyDescent="0.25">
      <c r="A11" s="25" t="s">
        <v>41</v>
      </c>
      <c r="B11" s="25"/>
      <c r="C11" s="25"/>
      <c r="D11" s="25"/>
      <c r="E11" s="24" t="s">
        <v>73</v>
      </c>
      <c r="F11" s="24"/>
      <c r="G11" s="24"/>
    </row>
    <row r="12" spans="1:12" ht="15.75" x14ac:dyDescent="0.25">
      <c r="A12" s="3" t="s">
        <v>43</v>
      </c>
      <c r="B12" s="2">
        <f>3*F2</f>
        <v>1073.5211267605634</v>
      </c>
      <c r="C12" s="3" t="s">
        <v>4</v>
      </c>
      <c r="E12" s="2" t="s">
        <v>49</v>
      </c>
      <c r="F12" s="2">
        <f xml:space="preserve"> 0.026 /(F3 ^(1/7))</f>
        <v>3.8748132467015853E-3</v>
      </c>
      <c r="G12" s="2" t="s">
        <v>50</v>
      </c>
      <c r="I12" s="5">
        <f xml:space="preserve"> 0.0576* F3^(-0.2)</f>
        <v>4.008767624863325E-3</v>
      </c>
      <c r="K12" s="2" t="s">
        <v>67</v>
      </c>
      <c r="L12" s="2" t="s">
        <v>68</v>
      </c>
    </row>
    <row r="13" spans="1:12" ht="15.75" x14ac:dyDescent="0.25">
      <c r="A13" s="2" t="s">
        <v>42</v>
      </c>
      <c r="B13" s="2">
        <f>7*F2</f>
        <v>2504.8826291079813</v>
      </c>
      <c r="C13" s="3" t="s">
        <v>4</v>
      </c>
      <c r="E13" s="2" t="s">
        <v>51</v>
      </c>
      <c r="F13" s="2">
        <f>F12*B8*B2*B2 / 2</f>
        <v>1.4833269460029508</v>
      </c>
      <c r="G13" s="2" t="s">
        <v>52</v>
      </c>
      <c r="I13" s="5">
        <f>I12*B2*B2*B8 / 2</f>
        <v>1.5346063563929917</v>
      </c>
      <c r="K13" s="2" t="s">
        <v>69</v>
      </c>
    </row>
    <row r="14" spans="1:12" ht="15.75" x14ac:dyDescent="0.25">
      <c r="A14" s="2" t="s">
        <v>44</v>
      </c>
      <c r="B14" s="2">
        <f>3.5*F2</f>
        <v>1252.4413145539907</v>
      </c>
      <c r="C14" s="3" t="s">
        <v>4</v>
      </c>
      <c r="E14" s="2" t="s">
        <v>53</v>
      </c>
      <c r="F14" s="2">
        <f>(F13/B8)^0.5</f>
        <v>1.1003995363477057</v>
      </c>
      <c r="G14" s="2" t="s">
        <v>54</v>
      </c>
      <c r="I14" s="2">
        <f>(I13/B8)^0.5</f>
        <v>1.1192586308667845</v>
      </c>
      <c r="K14" s="2" t="s">
        <v>70</v>
      </c>
    </row>
    <row r="15" spans="1:12" ht="15.75" x14ac:dyDescent="0.25">
      <c r="A15" s="2" t="s">
        <v>45</v>
      </c>
      <c r="B15" s="2">
        <f>B5*1.5</f>
        <v>2550</v>
      </c>
      <c r="C15" s="3" t="s">
        <v>4</v>
      </c>
      <c r="E15" s="2" t="s">
        <v>55</v>
      </c>
      <c r="F15" s="2">
        <v>1</v>
      </c>
      <c r="G15" s="2" t="s">
        <v>56</v>
      </c>
      <c r="I15" s="2">
        <v>1</v>
      </c>
      <c r="K15" s="2" t="s">
        <v>71</v>
      </c>
    </row>
    <row r="16" spans="1:12" x14ac:dyDescent="0.25">
      <c r="E16" s="2" t="s">
        <v>57</v>
      </c>
      <c r="F16" s="11">
        <f>(F15*B9)/(F14*B8)</f>
        <v>1.3274584781504179E-5</v>
      </c>
      <c r="G16" s="2" t="s">
        <v>58</v>
      </c>
      <c r="I16" s="11">
        <f>(I15*B9)/(I14*B8)</f>
        <v>1.3050912931056141E-5</v>
      </c>
      <c r="K16" s="2" t="s">
        <v>72</v>
      </c>
    </row>
    <row r="17" spans="1:9" x14ac:dyDescent="0.25">
      <c r="A17" s="8" t="s">
        <v>46</v>
      </c>
      <c r="E17" s="2" t="s">
        <v>59</v>
      </c>
      <c r="F17" s="4">
        <f>F16*1000</f>
        <v>1.327458478150418E-2</v>
      </c>
      <c r="I17" s="4">
        <f>I16*1000</f>
        <v>1.3050912931056141E-2</v>
      </c>
    </row>
    <row r="18" spans="1:9" ht="15.75" x14ac:dyDescent="0.25">
      <c r="A18" s="2" t="s">
        <v>77</v>
      </c>
      <c r="B18" s="2">
        <v>150</v>
      </c>
      <c r="C18" s="3" t="s">
        <v>4</v>
      </c>
    </row>
    <row r="19" spans="1:9" ht="15.75" x14ac:dyDescent="0.25">
      <c r="A19" s="2" t="s">
        <v>78</v>
      </c>
      <c r="B19" s="2">
        <v>25</v>
      </c>
      <c r="C19" s="3" t="s">
        <v>4</v>
      </c>
      <c r="E19" s="8" t="s">
        <v>60</v>
      </c>
    </row>
    <row r="20" spans="1:9" ht="15.75" customHeight="1" x14ac:dyDescent="0.25">
      <c r="A20" s="2" t="s">
        <v>47</v>
      </c>
      <c r="B20" s="2">
        <v>2</v>
      </c>
      <c r="C20" s="3" t="s">
        <v>4</v>
      </c>
      <c r="E20" s="2" t="s">
        <v>62</v>
      </c>
      <c r="F20" s="2">
        <v>1.1585E-6</v>
      </c>
      <c r="G20" s="23" t="s">
        <v>61</v>
      </c>
      <c r="H20" s="23"/>
    </row>
    <row r="21" spans="1:9" ht="15.75" x14ac:dyDescent="0.25">
      <c r="A21" s="2" t="s">
        <v>48</v>
      </c>
      <c r="B21" s="2">
        <v>5</v>
      </c>
      <c r="C21" s="3" t="s">
        <v>4</v>
      </c>
      <c r="E21" s="2" t="s">
        <v>63</v>
      </c>
      <c r="F21" s="2">
        <f>F20*1000</f>
        <v>1.1585E-3</v>
      </c>
      <c r="G21" s="23"/>
      <c r="H21" s="23"/>
    </row>
    <row r="22" spans="1:9" ht="15.75" x14ac:dyDescent="0.25">
      <c r="A22" s="2" t="s">
        <v>64</v>
      </c>
      <c r="B22" s="13">
        <f>F17</f>
        <v>1.327458478150418E-2</v>
      </c>
      <c r="C22" s="3" t="s">
        <v>4</v>
      </c>
      <c r="G22" s="23"/>
      <c r="H22" s="23"/>
    </row>
    <row r="23" spans="1:9" x14ac:dyDescent="0.25">
      <c r="A23" s="2" t="s">
        <v>74</v>
      </c>
      <c r="B23" s="2">
        <v>15</v>
      </c>
    </row>
    <row r="24" spans="1:9" x14ac:dyDescent="0.25">
      <c r="A24" s="2" t="s">
        <v>66</v>
      </c>
      <c r="B24" s="2">
        <v>686966</v>
      </c>
    </row>
    <row r="25" spans="1:9" x14ac:dyDescent="0.25">
      <c r="A25" s="2" t="s">
        <v>65</v>
      </c>
      <c r="B25" s="5">
        <v>2312694</v>
      </c>
    </row>
    <row r="26" spans="1:9" ht="15" customHeight="1" x14ac:dyDescent="0.25">
      <c r="A26" s="2" t="s">
        <v>75</v>
      </c>
      <c r="B26" s="2">
        <v>6</v>
      </c>
      <c r="C26" s="2" t="s">
        <v>79</v>
      </c>
    </row>
    <row r="27" spans="1:9" x14ac:dyDescent="0.25">
      <c r="A27" s="2" t="s">
        <v>76</v>
      </c>
      <c r="B27" s="14">
        <f>B26*B25</f>
        <v>13876164</v>
      </c>
    </row>
    <row r="29" spans="1:9" x14ac:dyDescent="0.25">
      <c r="A29" s="8" t="s">
        <v>80</v>
      </c>
    </row>
    <row r="30" spans="1:9" x14ac:dyDescent="0.25">
      <c r="A30" s="20" t="s">
        <v>81</v>
      </c>
      <c r="B30" s="2">
        <v>4.561E-3</v>
      </c>
      <c r="C30" s="2" t="s">
        <v>82</v>
      </c>
    </row>
    <row r="31" spans="1:9" x14ac:dyDescent="0.25">
      <c r="A31" s="20"/>
      <c r="B31" s="2">
        <v>9546</v>
      </c>
      <c r="C31" s="2" t="s">
        <v>83</v>
      </c>
    </row>
    <row r="32" spans="1:9" x14ac:dyDescent="0.25">
      <c r="A32" s="2" t="s">
        <v>84</v>
      </c>
      <c r="B32" s="2">
        <v>0.98</v>
      </c>
      <c r="C32" s="2" t="s">
        <v>86</v>
      </c>
    </row>
    <row r="33" spans="1:4" x14ac:dyDescent="0.25">
      <c r="A33" s="20" t="s">
        <v>85</v>
      </c>
      <c r="B33" s="2">
        <v>3127.1000009999998</v>
      </c>
      <c r="C33" s="2" t="s">
        <v>87</v>
      </c>
      <c r="D33" s="2">
        <v>2</v>
      </c>
    </row>
    <row r="34" spans="1:4" x14ac:dyDescent="0.25">
      <c r="A34" s="20"/>
      <c r="B34" s="2">
        <v>1.17</v>
      </c>
      <c r="C34" s="2" t="s">
        <v>82</v>
      </c>
      <c r="D34" s="2">
        <v>1</v>
      </c>
    </row>
    <row r="35" spans="1:4" x14ac:dyDescent="0.25">
      <c r="A35" s="20"/>
      <c r="B35" s="2">
        <v>157</v>
      </c>
      <c r="C35" s="2" t="s">
        <v>88</v>
      </c>
      <c r="D35" s="5">
        <v>1472184</v>
      </c>
    </row>
    <row r="36" spans="1:4" x14ac:dyDescent="0.25">
      <c r="B36" s="2">
        <v>470</v>
      </c>
      <c r="C36" s="2" t="s">
        <v>89</v>
      </c>
      <c r="D36" s="2">
        <v>69527</v>
      </c>
    </row>
  </sheetData>
  <mergeCells count="5">
    <mergeCell ref="A33:A35"/>
    <mergeCell ref="G20:H22"/>
    <mergeCell ref="E11:G11"/>
    <mergeCell ref="A11:D11"/>
    <mergeCell ref="A30:A3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zoomScale="115" zoomScaleNormal="115" workbookViewId="0">
      <selection activeCell="H18" sqref="H18"/>
    </sheetView>
  </sheetViews>
  <sheetFormatPr defaultRowHeight="15.75" x14ac:dyDescent="0.25"/>
  <cols>
    <col min="1" max="1" width="22.5703125" style="3" bestFit="1" customWidth="1"/>
    <col min="2" max="2" width="13.7109375" style="3" bestFit="1" customWidth="1"/>
    <col min="3" max="4" width="25.85546875" style="3" bestFit="1" customWidth="1"/>
    <col min="5" max="5" width="14" style="3" customWidth="1"/>
    <col min="6" max="6" width="12.42578125" style="3" customWidth="1"/>
    <col min="7" max="13" width="9.140625" style="3"/>
    <col min="14" max="14" width="16.5703125" style="1" bestFit="1" customWidth="1"/>
    <col min="15" max="15" width="9.140625" style="3"/>
    <col min="16" max="16" width="12.140625" style="3" customWidth="1"/>
    <col min="17" max="16384" width="9.140625" style="3"/>
  </cols>
  <sheetData>
    <row r="1" spans="1:17" x14ac:dyDescent="0.25">
      <c r="A1" s="1" t="s">
        <v>102</v>
      </c>
      <c r="N1" s="1" t="s">
        <v>113</v>
      </c>
      <c r="O1" s="18" t="s">
        <v>114</v>
      </c>
    </row>
    <row r="2" spans="1:17" ht="18" x14ac:dyDescent="0.25">
      <c r="A2" s="3" t="s">
        <v>103</v>
      </c>
      <c r="B2" s="3" t="s">
        <v>107</v>
      </c>
      <c r="E2" s="3" t="s">
        <v>105</v>
      </c>
      <c r="N2" s="1" t="s">
        <v>115</v>
      </c>
      <c r="O2" s="3" t="s">
        <v>116</v>
      </c>
      <c r="P2" s="3" t="s">
        <v>118</v>
      </c>
      <c r="Q2" s="17" t="s">
        <v>117</v>
      </c>
    </row>
    <row r="3" spans="1:17" x14ac:dyDescent="0.25">
      <c r="A3" s="3" t="s">
        <v>104</v>
      </c>
      <c r="B3" s="3" t="s">
        <v>108</v>
      </c>
      <c r="E3" s="3" t="s">
        <v>106</v>
      </c>
      <c r="F3" s="3" t="s">
        <v>109</v>
      </c>
      <c r="N3" s="1" t="s">
        <v>119</v>
      </c>
      <c r="O3" s="3" t="s">
        <v>120</v>
      </c>
      <c r="P3" s="3" t="s">
        <v>122</v>
      </c>
    </row>
    <row r="4" spans="1:17" x14ac:dyDescent="0.25">
      <c r="N4" s="1" t="s">
        <v>121</v>
      </c>
      <c r="O4" s="10">
        <v>9.9999999999999995E-7</v>
      </c>
    </row>
    <row r="5" spans="1:17" s="1" customFormat="1" x14ac:dyDescent="0.25">
      <c r="A5" s="16" t="s">
        <v>0</v>
      </c>
      <c r="B5" s="16" t="s">
        <v>95</v>
      </c>
      <c r="C5" s="16" t="s">
        <v>93</v>
      </c>
      <c r="D5" s="16" t="s">
        <v>94</v>
      </c>
      <c r="E5" s="16" t="s">
        <v>96</v>
      </c>
      <c r="F5" s="16" t="s">
        <v>97</v>
      </c>
      <c r="G5" s="16" t="s">
        <v>98</v>
      </c>
      <c r="H5" s="16" t="s">
        <v>99</v>
      </c>
      <c r="I5" s="16" t="s">
        <v>100</v>
      </c>
      <c r="J5" s="16" t="s">
        <v>101</v>
      </c>
      <c r="N5" s="1" t="s">
        <v>123</v>
      </c>
      <c r="O5" s="4">
        <v>0.61199999999999999</v>
      </c>
    </row>
    <row r="6" spans="1:17" x14ac:dyDescent="0.25">
      <c r="A6" s="15">
        <v>0</v>
      </c>
      <c r="B6" s="15">
        <v>25</v>
      </c>
      <c r="C6" s="15">
        <f>B6*COS(RADIANS(A6))</f>
        <v>25</v>
      </c>
      <c r="D6" s="15">
        <f>B6*SIN(RADIANS(A6))</f>
        <v>0</v>
      </c>
      <c r="E6" s="15">
        <f>COS(RADIANS(A6))</f>
        <v>1</v>
      </c>
      <c r="F6" s="15">
        <f>SIN(RADIANS(A6))</f>
        <v>0</v>
      </c>
      <c r="G6" s="15">
        <f>-SIN(RADIANS(A6))</f>
        <v>0</v>
      </c>
      <c r="H6" s="15">
        <f>COS(RADIANS(A6))</f>
        <v>1</v>
      </c>
      <c r="I6" s="15">
        <f>0.045*E6</f>
        <v>4.4999999999999998E-2</v>
      </c>
      <c r="J6" s="15">
        <f>0.045*F6</f>
        <v>0</v>
      </c>
      <c r="N6" s="1" t="s">
        <v>124</v>
      </c>
      <c r="O6" s="3">
        <v>0.35780000000000001</v>
      </c>
    </row>
    <row r="7" spans="1:17" x14ac:dyDescent="0.25">
      <c r="A7" s="15">
        <v>2.5</v>
      </c>
      <c r="B7" s="15">
        <v>25</v>
      </c>
      <c r="C7" s="15">
        <f>B7*COS(RADIANS(A7))</f>
        <v>24.976205539546445</v>
      </c>
      <c r="D7" s="15">
        <f>B7*SIN(RADIANS(A7))</f>
        <v>1.0904846841333999</v>
      </c>
      <c r="E7" s="15">
        <f>COS(RADIANS(A7))</f>
        <v>0.9990482215818578</v>
      </c>
      <c r="F7" s="15">
        <f>SIN(RADIANS(A7))</f>
        <v>4.3619387365336E-2</v>
      </c>
      <c r="G7" s="15">
        <f>-SIN(RADIANS(A7))</f>
        <v>-4.3619387365336E-2</v>
      </c>
      <c r="H7" s="15">
        <f>COS(RADIANS(A7))</f>
        <v>0.9990482215818578</v>
      </c>
      <c r="I7" s="15">
        <f t="shared" ref="I7:J8" si="0">0.045*E7</f>
        <v>4.4957169971183597E-2</v>
      </c>
      <c r="J7" s="15">
        <f t="shared" si="0"/>
        <v>1.9628724314401198E-3</v>
      </c>
      <c r="N7" s="1" t="s">
        <v>125</v>
      </c>
      <c r="O7" s="19">
        <v>2500</v>
      </c>
    </row>
    <row r="8" spans="1:17" x14ac:dyDescent="0.25">
      <c r="A8" s="15">
        <v>5</v>
      </c>
      <c r="B8" s="15">
        <v>25</v>
      </c>
      <c r="C8" s="15">
        <f>B8*COS(RADIANS(A8))</f>
        <v>24.90486745229364</v>
      </c>
      <c r="D8" s="15">
        <f>B8*SIN(RADIANS(A8))</f>
        <v>2.1788935686914543</v>
      </c>
      <c r="E8" s="15">
        <f>COS(RADIANS(A8))</f>
        <v>0.99619469809174555</v>
      </c>
      <c r="F8" s="15">
        <f>SIN(RADIANS(A8))</f>
        <v>8.7155742747658166E-2</v>
      </c>
      <c r="G8" s="15">
        <f>-SIN(RADIANS(A8))</f>
        <v>-8.7155742747658166E-2</v>
      </c>
      <c r="H8" s="15">
        <f>COS(RADIANS(A8))</f>
        <v>0.99619469809174555</v>
      </c>
      <c r="I8" s="15">
        <f t="shared" si="0"/>
        <v>4.4828761414128546E-2</v>
      </c>
      <c r="J8" s="15">
        <f t="shared" si="0"/>
        <v>3.922008423644617E-3</v>
      </c>
      <c r="N8" s="1" t="s">
        <v>126</v>
      </c>
    </row>
    <row r="9" spans="1:17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</row>
    <row r="11" spans="1:17" x14ac:dyDescent="0.25">
      <c r="N11" s="1" t="s">
        <v>132</v>
      </c>
      <c r="O11" s="3">
        <v>1.2416</v>
      </c>
      <c r="P11" s="3" t="s">
        <v>131</v>
      </c>
      <c r="Q11" s="3">
        <f>O11/2</f>
        <v>0.62080000000000002</v>
      </c>
    </row>
    <row r="12" spans="1:17" x14ac:dyDescent="0.25">
      <c r="A12" s="16" t="s">
        <v>0</v>
      </c>
      <c r="B12" s="1" t="s">
        <v>128</v>
      </c>
      <c r="C12" s="25" t="s">
        <v>129</v>
      </c>
      <c r="D12" s="25"/>
      <c r="E12" s="25"/>
      <c r="F12" s="1" t="s">
        <v>135</v>
      </c>
    </row>
    <row r="13" spans="1:17" x14ac:dyDescent="0.25">
      <c r="A13" s="15"/>
      <c r="C13" s="3" t="s">
        <v>133</v>
      </c>
      <c r="D13" s="3" t="s">
        <v>134</v>
      </c>
      <c r="F13" s="3" t="s">
        <v>136</v>
      </c>
      <c r="G13" s="3">
        <v>91.525387878749896</v>
      </c>
    </row>
    <row r="14" spans="1:17" x14ac:dyDescent="0.25">
      <c r="A14" s="15">
        <v>2.5</v>
      </c>
      <c r="B14" s="26">
        <v>0.45581383074991949</v>
      </c>
      <c r="C14" s="26">
        <v>0.54</v>
      </c>
      <c r="D14" s="3">
        <v>0.50600000000000001</v>
      </c>
      <c r="F14" s="3" t="s">
        <v>137</v>
      </c>
      <c r="G14" s="3">
        <v>-91.525387118173001</v>
      </c>
    </row>
    <row r="15" spans="1:17" x14ac:dyDescent="0.25">
      <c r="A15" s="15">
        <v>5</v>
      </c>
      <c r="B15" s="26">
        <v>0.64357698396705543</v>
      </c>
      <c r="C15" s="26"/>
      <c r="D15" s="3">
        <v>0.73599999999999999</v>
      </c>
      <c r="F15" s="3" t="s">
        <v>138</v>
      </c>
      <c r="G15" s="27">
        <v>7.6057679999999998E-7</v>
      </c>
    </row>
    <row r="16" spans="1:17" x14ac:dyDescent="0.25">
      <c r="B16" s="26"/>
      <c r="C16" s="26"/>
    </row>
    <row r="17" spans="1:4" x14ac:dyDescent="0.25">
      <c r="B17" s="1" t="s">
        <v>127</v>
      </c>
      <c r="C17" s="1" t="s">
        <v>130</v>
      </c>
    </row>
    <row r="18" spans="1:4" x14ac:dyDescent="0.25">
      <c r="C18" s="3" t="s">
        <v>133</v>
      </c>
      <c r="D18" s="3" t="s">
        <v>134</v>
      </c>
    </row>
    <row r="19" spans="1:4" x14ac:dyDescent="0.25">
      <c r="A19" s="15">
        <v>2.5</v>
      </c>
      <c r="B19" s="26">
        <v>2.4214613507685667E-2</v>
      </c>
      <c r="C19" s="26">
        <v>2.86E-2</v>
      </c>
      <c r="D19" s="3">
        <v>2.12E-2</v>
      </c>
    </row>
    <row r="20" spans="1:4" x14ac:dyDescent="0.25">
      <c r="A20" s="15">
        <v>5</v>
      </c>
      <c r="B20" s="26">
        <v>3.933101440181784E-2</v>
      </c>
      <c r="C20" s="26"/>
      <c r="D20" s="3">
        <v>0.03</v>
      </c>
    </row>
  </sheetData>
  <mergeCells count="1">
    <mergeCell ref="C12:E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Pre- Analysis</vt:lpstr>
      <vt:lpstr>Geom &amp; Mesh</vt:lpstr>
      <vt:lpstr>Model 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2025-09-09T07:32:35Z</dcterms:modified>
</cp:coreProperties>
</file>