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s01\Desktop\과제\"/>
    </mc:Choice>
  </mc:AlternateContent>
  <bookViews>
    <workbookView xWindow="0" yWindow="0" windowWidth="23040" windowHeight="9000"/>
  </bookViews>
  <sheets>
    <sheet name="Ex)5-1" sheetId="4" r:id="rId1"/>
    <sheet name="Ex)5-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4" i="4" l="1"/>
  <c r="C75" i="3"/>
  <c r="B75" i="3"/>
  <c r="B126" i="4" l="1"/>
  <c r="C126" i="4" s="1"/>
  <c r="D126" i="4" s="1"/>
  <c r="B125" i="4"/>
  <c r="C125" i="4" s="1"/>
  <c r="D125" i="4" s="1"/>
  <c r="B124" i="4"/>
  <c r="C124" i="4" s="1"/>
  <c r="D124" i="4" s="1"/>
  <c r="B123" i="4"/>
  <c r="C123" i="4" s="1"/>
  <c r="D123" i="4" s="1"/>
  <c r="B122" i="4"/>
  <c r="C122" i="4" s="1"/>
  <c r="D122" i="4" s="1"/>
  <c r="B118" i="4"/>
  <c r="C118" i="4" s="1"/>
  <c r="D118" i="4" s="1"/>
  <c r="B119" i="4"/>
  <c r="C119" i="4" s="1"/>
  <c r="D119" i="4" s="1"/>
  <c r="B120" i="4"/>
  <c r="C120" i="4" s="1"/>
  <c r="D120" i="4" s="1"/>
  <c r="B121" i="4"/>
  <c r="C121" i="4" s="1"/>
  <c r="B145" i="4"/>
  <c r="B43" i="4"/>
  <c r="B39" i="4"/>
  <c r="B34" i="4"/>
  <c r="B33" i="4"/>
  <c r="B32" i="4"/>
  <c r="B24" i="4"/>
  <c r="E8" i="4"/>
  <c r="B38" i="4" s="1"/>
  <c r="K34" i="3"/>
  <c r="K43" i="3"/>
  <c r="K39" i="3"/>
  <c r="K33" i="3"/>
  <c r="K32" i="3"/>
  <c r="K24" i="3"/>
  <c r="D121" i="4" l="1"/>
  <c r="B27" i="4"/>
  <c r="B160" i="4" s="1"/>
  <c r="B146" i="4"/>
  <c r="B150" i="4" s="1"/>
  <c r="A160" i="4"/>
  <c r="A158" i="4"/>
  <c r="C158" i="4" s="1"/>
  <c r="D158" i="4" s="1"/>
  <c r="E158" i="4" s="1"/>
  <c r="A156" i="4"/>
  <c r="C156" i="4" s="1"/>
  <c r="D156" i="4" s="1"/>
  <c r="E156" i="4" s="1"/>
  <c r="B31" i="4"/>
  <c r="A159" i="4"/>
  <c r="C159" i="4" s="1"/>
  <c r="D159" i="4" s="1"/>
  <c r="E159" i="4" s="1"/>
  <c r="A157" i="4"/>
  <c r="C157" i="4" s="1"/>
  <c r="D157" i="4" s="1"/>
  <c r="E157" i="4" s="1"/>
  <c r="A155" i="4"/>
  <c r="C155" i="4" s="1"/>
  <c r="D155" i="4" s="1"/>
  <c r="E155" i="4" s="1"/>
  <c r="A154" i="4"/>
  <c r="C154" i="4" s="1"/>
  <c r="D154" i="4" s="1"/>
  <c r="E154" i="4" s="1"/>
  <c r="B46" i="4"/>
  <c r="B48" i="4" s="1"/>
  <c r="B50" i="4" s="1"/>
  <c r="B53" i="4" s="1"/>
  <c r="B55" i="4" s="1"/>
  <c r="B57" i="4" s="1"/>
  <c r="C160" i="4" l="1"/>
  <c r="D160" i="4" s="1"/>
  <c r="E160" i="4" s="1"/>
  <c r="B103" i="4"/>
  <c r="A117" i="4" s="1"/>
  <c r="B60" i="4"/>
  <c r="B62" i="4" s="1"/>
  <c r="B64" i="4" s="1"/>
  <c r="G57" i="4"/>
  <c r="G50" i="4"/>
  <c r="B109" i="4" l="1"/>
  <c r="B113" i="4" s="1"/>
  <c r="B117" i="4"/>
  <c r="C117" i="4" s="1"/>
  <c r="D117" i="4" s="1"/>
  <c r="B67" i="4"/>
  <c r="B69" i="4" s="1"/>
  <c r="B71" i="4" s="1"/>
  <c r="G64" i="4"/>
  <c r="B74" i="4" l="1"/>
  <c r="B76" i="4" s="1"/>
  <c r="B78" i="4" s="1"/>
  <c r="G71" i="4"/>
  <c r="G78" i="4" l="1"/>
  <c r="B81" i="4"/>
  <c r="B83" i="4" s="1"/>
  <c r="B85" i="4" s="1"/>
  <c r="G85" i="4" l="1"/>
  <c r="B88" i="4"/>
  <c r="B90" i="4" s="1"/>
  <c r="B92" i="4" s="1"/>
  <c r="G92" i="4" l="1"/>
  <c r="B95" i="4"/>
  <c r="B97" i="4" s="1"/>
  <c r="B99" i="4" s="1"/>
  <c r="K201" i="4" l="1"/>
  <c r="K202" i="4"/>
  <c r="G99" i="4"/>
  <c r="K206" i="4" s="1"/>
  <c r="J206" i="4" l="1"/>
  <c r="L206" i="4" s="1"/>
  <c r="M206" i="4" s="1"/>
  <c r="N206" i="4" s="1"/>
  <c r="J212" i="4"/>
  <c r="L212" i="4" s="1"/>
  <c r="M212" i="4" s="1"/>
  <c r="N212" i="4" s="1"/>
  <c r="J211" i="4"/>
  <c r="L211" i="4" s="1"/>
  <c r="M211" i="4" s="1"/>
  <c r="N211" i="4" s="1"/>
  <c r="J210" i="4"/>
  <c r="L210" i="4" s="1"/>
  <c r="M210" i="4" s="1"/>
  <c r="N210" i="4" s="1"/>
  <c r="J209" i="4"/>
  <c r="L209" i="4" s="1"/>
  <c r="M209" i="4" s="1"/>
  <c r="N209" i="4" s="1"/>
  <c r="J208" i="4"/>
  <c r="L208" i="4" s="1"/>
  <c r="M208" i="4" s="1"/>
  <c r="N208" i="4" s="1"/>
  <c r="J207" i="4"/>
  <c r="L207" i="4" s="1"/>
  <c r="M207" i="4" s="1"/>
  <c r="N207" i="4" s="1"/>
  <c r="B60" i="3" l="1"/>
  <c r="B35" i="3"/>
  <c r="B24" i="3"/>
  <c r="E8" i="3"/>
  <c r="K38" i="3" l="1"/>
  <c r="K31" i="3"/>
  <c r="A73" i="3"/>
  <c r="C73" i="3" s="1"/>
  <c r="D73" i="3" s="1"/>
  <c r="E73" i="3" s="1"/>
  <c r="A72" i="3"/>
  <c r="C72" i="3" s="1"/>
  <c r="D72" i="3" s="1"/>
  <c r="E72" i="3" s="1"/>
  <c r="A70" i="3"/>
  <c r="C70" i="3" s="1"/>
  <c r="D70" i="3" s="1"/>
  <c r="E70" i="3" s="1"/>
  <c r="A74" i="3"/>
  <c r="C74" i="3" s="1"/>
  <c r="D74" i="3" s="1"/>
  <c r="E74" i="3" s="1"/>
  <c r="A71" i="3"/>
  <c r="C71" i="3" s="1"/>
  <c r="D71" i="3" s="1"/>
  <c r="E71" i="3" s="1"/>
  <c r="A75" i="3"/>
  <c r="A69" i="3"/>
  <c r="C69" i="3" s="1"/>
  <c r="D69" i="3" s="1"/>
  <c r="E69" i="3" s="1"/>
  <c r="K46" i="3"/>
  <c r="K48" i="3" s="1"/>
  <c r="K50" i="3" s="1"/>
  <c r="B27" i="3"/>
  <c r="B31" i="3" s="1"/>
  <c r="B56" i="3" s="1"/>
  <c r="K27" i="3"/>
  <c r="P50" i="3" l="1"/>
  <c r="K53" i="3"/>
  <c r="K55" i="3" s="1"/>
  <c r="K57" i="3" s="1"/>
  <c r="B61" i="3"/>
  <c r="D75" i="3"/>
  <c r="E75" i="3" s="1"/>
  <c r="K60" i="3" l="1"/>
  <c r="K62" i="3" s="1"/>
  <c r="K64" i="3" s="1"/>
  <c r="P57" i="3"/>
  <c r="B65" i="3"/>
  <c r="P64" i="3" l="1"/>
  <c r="K67" i="3"/>
  <c r="K69" i="3" s="1"/>
  <c r="K71" i="3" s="1"/>
  <c r="P71" i="3" l="1"/>
  <c r="K74" i="3"/>
  <c r="K76" i="3" s="1"/>
  <c r="K78" i="3" s="1"/>
  <c r="P78" i="3" l="1"/>
  <c r="K81" i="3"/>
  <c r="K83" i="3" s="1"/>
  <c r="K85" i="3" s="1"/>
  <c r="P85" i="3" l="1"/>
  <c r="K88" i="3"/>
  <c r="K90" i="3" s="1"/>
  <c r="K92" i="3" s="1"/>
  <c r="P92" i="3" l="1"/>
  <c r="K95" i="3"/>
  <c r="K97" i="3" s="1"/>
  <c r="K99" i="3" s="1"/>
  <c r="K104" i="3" l="1"/>
  <c r="P99" i="3"/>
  <c r="K108" i="3" s="1"/>
  <c r="K103" i="3"/>
  <c r="J112" i="3" l="1"/>
  <c r="L112" i="3" s="1"/>
  <c r="M112" i="3" s="1"/>
  <c r="N112" i="3" s="1"/>
  <c r="J109" i="3"/>
  <c r="J114" i="3"/>
  <c r="L114" i="3" s="1"/>
  <c r="M114" i="3" s="1"/>
  <c r="N114" i="3" s="1"/>
  <c r="J111" i="3"/>
  <c r="L111" i="3" s="1"/>
  <c r="M111" i="3" s="1"/>
  <c r="N111" i="3" s="1"/>
  <c r="J113" i="3"/>
  <c r="J110" i="3"/>
  <c r="L110" i="3" s="1"/>
  <c r="M110" i="3" s="1"/>
  <c r="N110" i="3" s="1"/>
  <c r="J108" i="3"/>
  <c r="L108" i="3" s="1"/>
  <c r="M108" i="3" s="1"/>
  <c r="N108" i="3" s="1"/>
  <c r="L109" i="3" l="1"/>
  <c r="M109" i="3" s="1"/>
  <c r="N109" i="3" s="1"/>
  <c r="L113" i="3"/>
  <c r="M113" i="3" s="1"/>
  <c r="N113" i="3" s="1"/>
</calcChain>
</file>

<file path=xl/sharedStrings.xml><?xml version="1.0" encoding="utf-8"?>
<sst xmlns="http://schemas.openxmlformats.org/spreadsheetml/2006/main" count="301" uniqueCount="114">
  <si>
    <t>Example 5-1 : Sizing a Vertical Three-Phase Separator</t>
    <phoneticPr fontId="3" type="noConversion"/>
  </si>
  <si>
    <t>Given:</t>
    <phoneticPr fontId="3" type="noConversion"/>
  </si>
  <si>
    <t>Q_o</t>
    <phoneticPr fontId="3" type="noConversion"/>
  </si>
  <si>
    <t>Q_w</t>
    <phoneticPr fontId="3" type="noConversion"/>
  </si>
  <si>
    <t>Q_g</t>
    <phoneticPr fontId="3" type="noConversion"/>
  </si>
  <si>
    <t>bopd</t>
    <phoneticPr fontId="3" type="noConversion"/>
  </si>
  <si>
    <t>bwpd</t>
    <phoneticPr fontId="3" type="noConversion"/>
  </si>
  <si>
    <t>MMscfd</t>
    <phoneticPr fontId="3" type="noConversion"/>
  </si>
  <si>
    <t>P_o</t>
    <phoneticPr fontId="3" type="noConversion"/>
  </si>
  <si>
    <t>psia</t>
    <phoneticPr fontId="3" type="noConversion"/>
  </si>
  <si>
    <t>T_o</t>
    <phoneticPr fontId="3" type="noConversion"/>
  </si>
  <si>
    <t>°F</t>
    <phoneticPr fontId="3" type="noConversion"/>
  </si>
  <si>
    <t>Oil</t>
    <phoneticPr fontId="3" type="noConversion"/>
  </si>
  <si>
    <t>°API</t>
    <phoneticPr fontId="3" type="noConversion"/>
  </si>
  <si>
    <t>S_g</t>
    <phoneticPr fontId="3" type="noConversion"/>
  </si>
  <si>
    <t>min</t>
    <phoneticPr fontId="3" type="noConversion"/>
  </si>
  <si>
    <t>cp</t>
    <phoneticPr fontId="3" type="noConversion"/>
  </si>
  <si>
    <t>Example 5-2 : Sizing a Horizontal Three-Phase Separator</t>
    <phoneticPr fontId="3" type="noConversion"/>
  </si>
  <si>
    <t>1. Calculate difference in specific gravities.</t>
    <phoneticPr fontId="3" type="noConversion"/>
  </si>
  <si>
    <t>(S.G.)_w</t>
    <phoneticPr fontId="3" type="noConversion"/>
  </si>
  <si>
    <t>°API=141.5/(S.G.)_o-131.5</t>
    <phoneticPr fontId="3" type="noConversion"/>
  </si>
  <si>
    <t>(S.G.)_o=141.5/(°API+131.5)</t>
    <phoneticPr fontId="3" type="noConversion"/>
  </si>
  <si>
    <t>∆S.G.</t>
    <phoneticPr fontId="3" type="noConversion"/>
  </si>
  <si>
    <t>(S.G.)_o</t>
    <phoneticPr fontId="3" type="noConversion"/>
  </si>
  <si>
    <t>∆S.G.=(S.G.)_w-(S.G.)_o</t>
    <phoneticPr fontId="3" type="noConversion"/>
  </si>
  <si>
    <t>°R</t>
    <phoneticPr fontId="3" type="noConversion"/>
  </si>
  <si>
    <t>Z</t>
    <phoneticPr fontId="3" type="noConversion"/>
  </si>
  <si>
    <t>d^2</t>
    <phoneticPr fontId="3" type="noConversion"/>
  </si>
  <si>
    <t>in</t>
    <phoneticPr fontId="3" type="noConversion"/>
  </si>
  <si>
    <t>in^2</t>
    <phoneticPr fontId="3" type="noConversion"/>
  </si>
  <si>
    <t>4. Liquid retention constraint.</t>
    <phoneticPr fontId="3" type="noConversion"/>
  </si>
  <si>
    <t>d_min</t>
    <phoneticPr fontId="3" type="noConversion"/>
  </si>
  <si>
    <t>L_ss=(h_o+h_w+76)/12 or (h_o+h_w+d+40)/12</t>
    <phoneticPr fontId="3" type="noConversion"/>
  </si>
  <si>
    <t>2. Calculate (h_o)_max</t>
    <phoneticPr fontId="3" type="noConversion"/>
  </si>
  <si>
    <t>(h_o)_max</t>
    <phoneticPr fontId="3" type="noConversion"/>
  </si>
  <si>
    <t>3. Calculate A_w/A</t>
    <phoneticPr fontId="3" type="noConversion"/>
  </si>
  <si>
    <t>(t_r)_o = (t_r)_w</t>
    <phoneticPr fontId="3" type="noConversion"/>
  </si>
  <si>
    <t>A_w/A</t>
    <phoneticPr fontId="3" type="noConversion"/>
  </si>
  <si>
    <t>4. Determine β (Refer to Figure5-8)</t>
    <phoneticPr fontId="3" type="noConversion"/>
  </si>
  <si>
    <t>5. Calculate d</t>
    <phoneticPr fontId="3" type="noConversion"/>
  </si>
  <si>
    <t>β=(h_o)_max/d</t>
    <phoneticPr fontId="3" type="noConversion"/>
  </si>
  <si>
    <t>d=(h_o)_max/β</t>
    <phoneticPr fontId="3" type="noConversion"/>
  </si>
  <si>
    <t>6. Calculate Combination of d &amp; L_eff</t>
    <phoneticPr fontId="3" type="noConversion"/>
  </si>
  <si>
    <t>(d^2)*L_eff</t>
    <phoneticPr fontId="3" type="noConversion"/>
  </si>
  <si>
    <t>7. Estimate L_ss</t>
    <phoneticPr fontId="3" type="noConversion"/>
  </si>
  <si>
    <t>L_ss=L_eff/0.75</t>
    <phoneticPr fontId="3" type="noConversion"/>
  </si>
  <si>
    <t>(liquid)</t>
    <phoneticPr fontId="3" type="noConversion"/>
  </si>
  <si>
    <t>(d^2)*L_eff=1.42*{Q_w*(t_r)_w+Q_o*(t_r)_o}</t>
    <phoneticPr fontId="3" type="noConversion"/>
  </si>
  <si>
    <t>d*L_eff</t>
    <phoneticPr fontId="3" type="noConversion"/>
  </si>
  <si>
    <t>d</t>
    <phoneticPr fontId="3" type="noConversion"/>
  </si>
  <si>
    <t>L_eff</t>
    <phoneticPr fontId="3" type="noConversion"/>
  </si>
  <si>
    <t>(d^2)*L_eff</t>
    <phoneticPr fontId="3" type="noConversion"/>
  </si>
  <si>
    <t>L_ss</t>
    <phoneticPr fontId="3" type="noConversion"/>
  </si>
  <si>
    <t>d_max</t>
    <phoneticPr fontId="3" type="noConversion"/>
  </si>
  <si>
    <t>(L_eff)_min</t>
    <phoneticPr fontId="3" type="noConversion"/>
  </si>
  <si>
    <t>(L_ss)_min</t>
    <phoneticPr fontId="3" type="noConversion"/>
  </si>
  <si>
    <t>8. Compute slenderness ratio(12*L_ss/d). Choices in the range of 3 to 5 are common.</t>
    <phoneticPr fontId="3" type="noConversion"/>
  </si>
  <si>
    <t>12*L_ss/d</t>
    <phoneticPr fontId="3" type="noConversion"/>
  </si>
  <si>
    <t>Liquid</t>
    <phoneticPr fontId="3" type="noConversion"/>
  </si>
  <si>
    <t>Gas</t>
    <phoneticPr fontId="3" type="noConversion"/>
  </si>
  <si>
    <t>2. Calculate d</t>
    <phoneticPr fontId="3" type="noConversion"/>
  </si>
  <si>
    <t>T</t>
    <phoneticPr fontId="3" type="noConversion"/>
  </si>
  <si>
    <t>Q_g</t>
    <phoneticPr fontId="3" type="noConversion"/>
  </si>
  <si>
    <t>P</t>
    <phoneticPr fontId="3" type="noConversion"/>
  </si>
  <si>
    <t>ρ_l=62.4*(141.5/(131.5+API))</t>
    <phoneticPr fontId="3" type="noConversion"/>
  </si>
  <si>
    <t>ρ_g=2.7*(S_g*P)/(T*Z)</t>
    <phoneticPr fontId="3" type="noConversion"/>
  </si>
  <si>
    <t>ρ_l</t>
    <phoneticPr fontId="3" type="noConversion"/>
  </si>
  <si>
    <t>V_t</t>
    <phoneticPr fontId="3" type="noConversion"/>
  </si>
  <si>
    <t>C_D</t>
    <phoneticPr fontId="3" type="noConversion"/>
  </si>
  <si>
    <t>(d_m)_g</t>
    <phoneticPr fontId="3" type="noConversion"/>
  </si>
  <si>
    <r>
      <rPr>
        <sz val="11"/>
        <color theme="1"/>
        <rFont val="맑은 고딕"/>
        <family val="2"/>
        <charset val="129"/>
        <scheme val="minor"/>
      </rPr>
      <t>(</t>
    </r>
    <r>
      <rPr>
        <sz val="11"/>
        <color theme="1"/>
        <rFont val="맑은 고딕"/>
        <family val="2"/>
        <charset val="129"/>
        <scheme val="minor"/>
      </rPr>
      <t>d_m</t>
    </r>
    <r>
      <rPr>
        <sz val="11"/>
        <color theme="1"/>
        <rFont val="맑은 고딕"/>
        <family val="2"/>
        <charset val="129"/>
        <scheme val="minor"/>
      </rPr>
      <t>)_</t>
    </r>
    <r>
      <rPr>
        <sz val="11"/>
        <color theme="1"/>
        <rFont val="맑은 고딕"/>
        <family val="2"/>
        <charset val="129"/>
        <scheme val="minor"/>
      </rPr>
      <t>o</t>
    </r>
    <phoneticPr fontId="3" type="noConversion"/>
  </si>
  <si>
    <t>ρ_g</t>
    <phoneticPr fontId="3" type="noConversion"/>
  </si>
  <si>
    <r>
      <t>Oil viscosity(μ</t>
    </r>
    <r>
      <rPr>
        <sz val="11"/>
        <color theme="1"/>
        <rFont val="맑은 고딕"/>
        <family val="2"/>
        <charset val="129"/>
        <scheme val="minor"/>
      </rPr>
      <t>_o</t>
    </r>
    <r>
      <rPr>
        <sz val="11"/>
        <color theme="1"/>
        <rFont val="맑은 고딕"/>
        <family val="2"/>
        <charset val="129"/>
        <scheme val="minor"/>
      </rPr>
      <t>)</t>
    </r>
    <phoneticPr fontId="3" type="noConversion"/>
  </si>
  <si>
    <t>μ_g</t>
    <phoneticPr fontId="3" type="noConversion"/>
  </si>
  <si>
    <t>Re</t>
    <phoneticPr fontId="3" type="noConversion"/>
  </si>
  <si>
    <t>Assume C_D=0.34</t>
    <phoneticPr fontId="3" type="noConversion"/>
  </si>
  <si>
    <t>① Calculate V_t=0.0119*((ρ_l-ρ_g)/ρ_g*(d_m)_g/C_D)^(1/2)</t>
    <phoneticPr fontId="3" type="noConversion"/>
  </si>
  <si>
    <t>② Calculate Re=0.0049*ρ_g*(d_m)_g*V_t/μ_g</t>
    <phoneticPr fontId="3" type="noConversion"/>
  </si>
  <si>
    <r>
      <t xml:space="preserve">C_D를 구하기 위해서 </t>
    </r>
    <r>
      <rPr>
        <b/>
        <sz val="11"/>
        <color theme="1"/>
        <rFont val="맑은 고딕"/>
        <family val="3"/>
        <charset val="129"/>
        <scheme val="minor"/>
      </rPr>
      <t>iterate calculation</t>
    </r>
    <r>
      <rPr>
        <sz val="11"/>
        <color theme="1"/>
        <rFont val="맑은 고딕"/>
        <family val="2"/>
        <charset val="129"/>
        <scheme val="minor"/>
      </rPr>
      <t xml:space="preserve"> 진행</t>
    </r>
    <phoneticPr fontId="3" type="noConversion"/>
  </si>
  <si>
    <t>③ Calculate C_D=24/Re+3/(Re^(1/2))+0.34</t>
    <phoneticPr fontId="3" type="noConversion"/>
  </si>
  <si>
    <t>d</t>
    <phoneticPr fontId="3" type="noConversion"/>
  </si>
  <si>
    <t>3. Calculate Combination of d &amp; L_eff</t>
    <phoneticPr fontId="3" type="noConversion"/>
  </si>
  <si>
    <t>d^2=5040*(T*Z*Q_g/P)*(ρ_g/(ρ_l-ρ_g)*C_D/(d_m)_g)^(1/2)</t>
    <phoneticPr fontId="3" type="noConversion"/>
  </si>
  <si>
    <t>d*L_eff=420*(T*Z*Q_g/P)*(ρ_g/(ρ_l-ρ_g)*C_D/(d_m)_g)^(1/2)</t>
    <phoneticPr fontId="3" type="noConversion"/>
  </si>
  <si>
    <t>4. Compute slenderness ratio(12*L_ss/d). Choices in the range of 3 to 5 are common.</t>
    <phoneticPr fontId="3" type="noConversion"/>
  </si>
  <si>
    <t>d*L_eff</t>
    <phoneticPr fontId="3" type="noConversion"/>
  </si>
  <si>
    <t>같은 d범위에서 liquid상태일 때와 Gas상태일 때 L_eff를 비교해보면</t>
    <phoneticPr fontId="3" type="noConversion"/>
  </si>
  <si>
    <t xml:space="preserve">Liquid일 때의 L_eff 값이 크므로 설계시에는 Liquid 기준으로 길이값을 정한다. </t>
  </si>
  <si>
    <t>빨간 글자가 설계 가능한 d,L_eff,L_ss 의 최대 최소 범위 이다.</t>
    <phoneticPr fontId="3" type="noConversion"/>
  </si>
  <si>
    <t>d_min</t>
    <phoneticPr fontId="3" type="noConversion"/>
  </si>
  <si>
    <t>h_o+h_w=((t_r)_o*Q_o+(t_r)_w*Qw)/(0.12*d^2)</t>
    <phoneticPr fontId="3" type="noConversion"/>
  </si>
  <si>
    <t xml:space="preserve">다음 표의 d최소값 </t>
    <phoneticPr fontId="3" type="noConversion"/>
  </si>
  <si>
    <t>다음 표의 d최대값</t>
    <phoneticPr fontId="3" type="noConversion"/>
  </si>
  <si>
    <t>2번의 d_min보다 큰 값을 가지므로, 이를 기준으로 d의 최소값을 잡고 설계한다.</t>
    <phoneticPr fontId="3" type="noConversion"/>
  </si>
  <si>
    <t>d의 최소값</t>
    <phoneticPr fontId="3" type="noConversion"/>
  </si>
  <si>
    <r>
      <rPr>
        <sz val="11"/>
        <color theme="1"/>
        <rFont val="맑은 고딕"/>
        <family val="2"/>
        <charset val="129"/>
        <scheme val="minor"/>
      </rPr>
      <t>(</t>
    </r>
    <r>
      <rPr>
        <sz val="11"/>
        <color theme="1"/>
        <rFont val="맑은 고딕"/>
        <family val="2"/>
        <charset val="129"/>
        <scheme val="minor"/>
      </rPr>
      <t>h_o+h_w</t>
    </r>
    <r>
      <rPr>
        <sz val="11"/>
        <color theme="1"/>
        <rFont val="맑은 고딕"/>
        <family val="2"/>
        <charset val="129"/>
        <scheme val="minor"/>
      </rPr>
      <t>)_max</t>
    </r>
    <phoneticPr fontId="3" type="noConversion"/>
  </si>
  <si>
    <r>
      <t>h</t>
    </r>
    <r>
      <rPr>
        <sz val="11"/>
        <color theme="1"/>
        <rFont val="맑은 고딕"/>
        <family val="2"/>
        <charset val="129"/>
        <scheme val="minor"/>
      </rPr>
      <t>_o+h_w</t>
    </r>
    <phoneticPr fontId="3" type="noConversion"/>
  </si>
  <si>
    <t>(L_ss)_max</t>
    <phoneticPr fontId="3" type="noConversion"/>
  </si>
  <si>
    <t>5. Compute seam-to-seam length (Table5-1) as the larger of:</t>
    <phoneticPr fontId="3" type="noConversion"/>
  </si>
  <si>
    <t>6. Compute slenderness ratio(12*L_ss/d). Choices in the range of 1.5 to 3 are common (Tabel5-1).</t>
    <phoneticPr fontId="3" type="noConversion"/>
  </si>
  <si>
    <t>빨간 글자가 설계 가능한 d,L_ss 의 최대 최소 범위 이다.</t>
    <phoneticPr fontId="3" type="noConversion"/>
  </si>
  <si>
    <t>3. Calculate minimum diameter for water droplet settling.</t>
    <phoneticPr fontId="3" type="noConversion"/>
  </si>
  <si>
    <t>(Liquid)</t>
    <phoneticPr fontId="3" type="noConversion"/>
  </si>
  <si>
    <t>(Gas)</t>
    <phoneticPr fontId="3" type="noConversion"/>
  </si>
  <si>
    <t>°R</t>
    <phoneticPr fontId="3" type="noConversion"/>
  </si>
  <si>
    <t>(h_o)_max=0.00128*(t_r)_o*(∆S.G.)*(d_m)_o^2/μ_o</t>
    <phoneticPr fontId="3" type="noConversion"/>
  </si>
  <si>
    <t>A_w/A=0.5*Q_w*(t_r)_w/(Q_o*(t_r)_o+Q_w*(t_r)_w)</t>
    <phoneticPr fontId="3" type="noConversion"/>
  </si>
  <si>
    <t>Aw/A(x축)</t>
    <phoneticPr fontId="3" type="noConversion"/>
  </si>
  <si>
    <t>β(y축)</t>
    <phoneticPr fontId="3" type="noConversion"/>
  </si>
  <si>
    <t>β</t>
    <phoneticPr fontId="3" type="noConversion"/>
  </si>
  <si>
    <t>L_ss=L_eff/0.75</t>
    <phoneticPr fontId="3" type="noConversion"/>
  </si>
  <si>
    <t>ρ_g=2.7*(S_g*P)/(T*Z)</t>
    <phoneticPr fontId="3" type="noConversion"/>
  </si>
  <si>
    <t>ρ_l=62.4*(141.5/(131.5+API))</t>
    <phoneticPr fontId="3" type="noConversion"/>
  </si>
  <si>
    <t>d^2=6690*Q_o*μ_o/((∆S.G.)*((d_m)_o^2))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</si>
</sst>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0"/>
    <numFmt numFmtId="181" formatCode="0.0000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vertical="center"/>
    </xf>
    <xf numFmtId="0" fontId="6" fillId="0" borderId="0" xfId="0" applyFont="1">
      <alignment vertical="center"/>
    </xf>
    <xf numFmtId="0" fontId="1" fillId="3" borderId="0" xfId="2">
      <alignment vertical="center"/>
    </xf>
    <xf numFmtId="0" fontId="2" fillId="2" borderId="0" xfId="1">
      <alignment vertical="center"/>
    </xf>
    <xf numFmtId="0" fontId="2" fillId="2" borderId="0" xfId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0" xfId="2" applyFont="1">
      <alignment vertical="center"/>
    </xf>
    <xf numFmtId="0" fontId="7" fillId="0" borderId="1" xfId="3" applyBorder="1" applyAlignment="1">
      <alignment horizontal="center" vertical="center"/>
    </xf>
    <xf numFmtId="0" fontId="7" fillId="0" borderId="1" xfId="3" applyBorder="1">
      <alignment vertical="center"/>
    </xf>
    <xf numFmtId="0" fontId="1" fillId="4" borderId="1" xfId="4" applyBorder="1" applyAlignment="1">
      <alignment horizontal="center" vertical="center"/>
    </xf>
    <xf numFmtId="0" fontId="1" fillId="4" borderId="1" xfId="4" applyBorder="1">
      <alignment vertical="center"/>
    </xf>
    <xf numFmtId="0" fontId="0" fillId="0" borderId="0" xfId="0" applyBorder="1">
      <alignment vertical="center"/>
    </xf>
    <xf numFmtId="177" fontId="0" fillId="0" borderId="1" xfId="0" applyNumberFormat="1" applyBorder="1">
      <alignment vertical="center"/>
    </xf>
    <xf numFmtId="0" fontId="0" fillId="4" borderId="1" xfId="4" applyFont="1" applyBorder="1">
      <alignment vertical="center"/>
    </xf>
    <xf numFmtId="0" fontId="0" fillId="4" borderId="1" xfId="4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3" applyFont="1" applyBorder="1" applyAlignment="1">
      <alignment horizontal="center" vertical="center"/>
    </xf>
    <xf numFmtId="0" fontId="8" fillId="0" borderId="1" xfId="3" applyFont="1" applyBorder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181" fontId="7" fillId="0" borderId="1" xfId="3" applyNumberForma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1" xfId="3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2" fontId="7" fillId="0" borderId="1" xfId="3" applyNumberFormat="1" applyFont="1" applyBorder="1" applyAlignment="1">
      <alignment horizontal="center" vertical="center"/>
    </xf>
  </cellXfs>
  <cellStyles count="5">
    <cellStyle name="20% - 강조색1" xfId="4" builtinId="30"/>
    <cellStyle name="20% - 강조색3" xfId="2" builtinId="38"/>
    <cellStyle name="강조색3" xfId="1" builtinId="37"/>
    <cellStyle name="경고문" xfId="3" builtinId="1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5039354955474"/>
                  <c:y val="-0.3240939916007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'Ex)5-2'!$B$40:$D$40</c:f>
              <c:numCache>
                <c:formatCode>General</c:formatCode>
                <c:ptCount val="3"/>
                <c:pt idx="0">
                  <c:v>0</c:v>
                </c:pt>
                <c:pt idx="1">
                  <c:v>0.1875</c:v>
                </c:pt>
                <c:pt idx="2">
                  <c:v>0.5</c:v>
                </c:pt>
              </c:numCache>
            </c:numRef>
          </c:xVal>
          <c:yVal>
            <c:numRef>
              <c:f>'Ex)5-2'!$B$41:$D$41</c:f>
              <c:numCache>
                <c:formatCode>General</c:formatCode>
                <c:ptCount val="3"/>
                <c:pt idx="0">
                  <c:v>0.5</c:v>
                </c:pt>
                <c:pt idx="1">
                  <c:v>0.25700000000000001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BC-403A-8A74-8041E65B5C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86000408"/>
        <c:axId val="386001392"/>
      </c:scatterChart>
      <c:valAx>
        <c:axId val="38600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A_w/A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6001392"/>
        <c:crosses val="autoZero"/>
        <c:crossBetween val="midCat"/>
      </c:valAx>
      <c:valAx>
        <c:axId val="3860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ko-KR"/>
                  <a:t>β</a:t>
                </a:r>
                <a:r>
                  <a:rPr lang="en-US" altLang="ko-KR"/>
                  <a:t>=h_o/d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600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51953</xdr:rowOff>
    </xdr:from>
    <xdr:to>
      <xdr:col>4</xdr:col>
      <xdr:colOff>394856</xdr:colOff>
      <xdr:row>50</xdr:row>
      <xdr:rowOff>145473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6CBA8B2-0893-42BD-95C7-116F56A75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4"/>
  <sheetViews>
    <sheetView tabSelected="1" zoomScale="110" workbookViewId="0">
      <selection activeCell="G12" sqref="G12"/>
    </sheetView>
  </sheetViews>
  <sheetFormatPr defaultRowHeight="17.399999999999999" x14ac:dyDescent="0.4"/>
  <cols>
    <col min="1" max="1" width="15.5" customWidth="1"/>
    <col min="2" max="2" width="15" customWidth="1"/>
    <col min="11" max="11" width="12.59765625" customWidth="1"/>
  </cols>
  <sheetData>
    <row r="2" spans="1:11" ht="21" x14ac:dyDescent="0.4">
      <c r="A2" s="4" t="s">
        <v>0</v>
      </c>
    </row>
    <row r="4" spans="1:11" x14ac:dyDescent="0.4">
      <c r="A4" t="s">
        <v>1</v>
      </c>
      <c r="B4" s="15" t="s">
        <v>2</v>
      </c>
      <c r="C4" s="8">
        <v>5000</v>
      </c>
      <c r="D4" s="8" t="s">
        <v>5</v>
      </c>
    </row>
    <row r="5" spans="1:11" x14ac:dyDescent="0.4">
      <c r="B5" s="15" t="s">
        <v>3</v>
      </c>
      <c r="C5" s="8">
        <v>3000</v>
      </c>
      <c r="D5" s="8" t="s">
        <v>6</v>
      </c>
    </row>
    <row r="6" spans="1:11" x14ac:dyDescent="0.4">
      <c r="B6" s="15" t="s">
        <v>4</v>
      </c>
      <c r="C6" s="8">
        <v>5</v>
      </c>
      <c r="D6" s="8" t="s">
        <v>7</v>
      </c>
    </row>
    <row r="7" spans="1:11" x14ac:dyDescent="0.4">
      <c r="B7" s="15" t="s">
        <v>8</v>
      </c>
      <c r="C7" s="8">
        <v>100</v>
      </c>
      <c r="D7" s="8" t="s">
        <v>9</v>
      </c>
      <c r="J7" s="16"/>
      <c r="K7" s="16"/>
    </row>
    <row r="8" spans="1:11" x14ac:dyDescent="0.4">
      <c r="B8" s="15" t="s">
        <v>10</v>
      </c>
      <c r="C8" s="8">
        <v>90</v>
      </c>
      <c r="D8" s="9" t="s">
        <v>11</v>
      </c>
      <c r="E8">
        <f>460+C8</f>
        <v>550</v>
      </c>
      <c r="F8" s="1" t="s">
        <v>104</v>
      </c>
    </row>
    <row r="9" spans="1:11" x14ac:dyDescent="0.4">
      <c r="B9" s="15" t="s">
        <v>12</v>
      </c>
      <c r="C9" s="8">
        <v>30</v>
      </c>
      <c r="D9" s="9" t="s">
        <v>13</v>
      </c>
    </row>
    <row r="10" spans="1:11" x14ac:dyDescent="0.4">
      <c r="B10" s="15" t="s">
        <v>19</v>
      </c>
      <c r="C10" s="8">
        <v>1.07</v>
      </c>
      <c r="D10" s="8"/>
    </row>
    <row r="11" spans="1:11" x14ac:dyDescent="0.4">
      <c r="B11" s="15" t="s">
        <v>14</v>
      </c>
      <c r="C11" s="8">
        <v>0.6</v>
      </c>
      <c r="D11" s="8"/>
    </row>
    <row r="12" spans="1:11" x14ac:dyDescent="0.4">
      <c r="B12" s="15" t="s">
        <v>36</v>
      </c>
      <c r="C12" s="8">
        <v>10</v>
      </c>
      <c r="D12" s="8" t="s">
        <v>15</v>
      </c>
    </row>
    <row r="13" spans="1:11" x14ac:dyDescent="0.4">
      <c r="B13" s="18" t="s">
        <v>72</v>
      </c>
      <c r="C13" s="8">
        <v>10</v>
      </c>
      <c r="D13" s="8" t="s">
        <v>16</v>
      </c>
    </row>
    <row r="14" spans="1:11" x14ac:dyDescent="0.4">
      <c r="B14" s="18" t="s">
        <v>70</v>
      </c>
      <c r="C14" s="8">
        <v>500</v>
      </c>
      <c r="D14" s="8"/>
    </row>
    <row r="15" spans="1:11" x14ac:dyDescent="0.4">
      <c r="B15" s="18" t="s">
        <v>69</v>
      </c>
      <c r="C15" s="8">
        <v>100</v>
      </c>
      <c r="D15" s="8"/>
    </row>
    <row r="19" spans="1:6" ht="21" x14ac:dyDescent="0.4">
      <c r="A19" s="4" t="s">
        <v>58</v>
      </c>
    </row>
    <row r="21" spans="1:6" x14ac:dyDescent="0.4">
      <c r="A21" s="2" t="s">
        <v>18</v>
      </c>
    </row>
    <row r="22" spans="1:6" ht="17.399999999999999" customHeight="1" x14ac:dyDescent="0.4">
      <c r="A22" s="3" t="s">
        <v>20</v>
      </c>
    </row>
    <row r="23" spans="1:6" x14ac:dyDescent="0.4">
      <c r="A23" t="s">
        <v>21</v>
      </c>
    </row>
    <row r="24" spans="1:6" x14ac:dyDescent="0.4">
      <c r="A24" s="5" t="s">
        <v>23</v>
      </c>
      <c r="B24" s="5">
        <f>141.5/($C$9+131.5)</f>
        <v>0.87616099071207432</v>
      </c>
    </row>
    <row r="26" spans="1:6" x14ac:dyDescent="0.4">
      <c r="A26" t="s">
        <v>24</v>
      </c>
    </row>
    <row r="27" spans="1:6" x14ac:dyDescent="0.4">
      <c r="A27" s="6" t="s">
        <v>22</v>
      </c>
      <c r="B27" s="6">
        <f>$C$10-$B$24</f>
        <v>0.19383900928792575</v>
      </c>
    </row>
    <row r="29" spans="1:6" ht="21" x14ac:dyDescent="0.4">
      <c r="A29" s="2" t="s">
        <v>60</v>
      </c>
      <c r="F29" s="4" t="s">
        <v>103</v>
      </c>
    </row>
    <row r="30" spans="1:6" x14ac:dyDescent="0.4">
      <c r="A30" t="s">
        <v>82</v>
      </c>
    </row>
    <row r="31" spans="1:6" x14ac:dyDescent="0.4">
      <c r="A31" s="15" t="s">
        <v>61</v>
      </c>
      <c r="B31" s="8">
        <f>E8</f>
        <v>550</v>
      </c>
    </row>
    <row r="32" spans="1:6" x14ac:dyDescent="0.4">
      <c r="A32" s="15" t="s">
        <v>62</v>
      </c>
      <c r="B32" s="8">
        <f>$C$6</f>
        <v>5</v>
      </c>
    </row>
    <row r="33" spans="1:3" x14ac:dyDescent="0.4">
      <c r="A33" s="15" t="s">
        <v>63</v>
      </c>
      <c r="B33" s="8">
        <f>$C$7</f>
        <v>100</v>
      </c>
    </row>
    <row r="34" spans="1:3" x14ac:dyDescent="0.4">
      <c r="A34" s="18" t="s">
        <v>69</v>
      </c>
      <c r="B34" s="8">
        <f>$C$15</f>
        <v>100</v>
      </c>
    </row>
    <row r="36" spans="1:3" x14ac:dyDescent="0.4">
      <c r="A36" s="15" t="s">
        <v>26</v>
      </c>
      <c r="B36" s="17">
        <v>0.84</v>
      </c>
    </row>
    <row r="37" spans="1:3" x14ac:dyDescent="0.4">
      <c r="A37" s="18" t="s">
        <v>73</v>
      </c>
      <c r="B37" s="17">
        <v>1.2999999999999999E-2</v>
      </c>
    </row>
    <row r="38" spans="1:3" x14ac:dyDescent="0.4">
      <c r="A38" s="18" t="s">
        <v>71</v>
      </c>
      <c r="B38" s="17">
        <f>2.7*$C$11*$C$7/($E$8*$B$36)</f>
        <v>0.35064935064935066</v>
      </c>
      <c r="C38" t="s">
        <v>111</v>
      </c>
    </row>
    <row r="39" spans="1:3" x14ac:dyDescent="0.4">
      <c r="A39" s="18" t="s">
        <v>66</v>
      </c>
      <c r="B39" s="17">
        <f>62.4*(141.5/(131.5+$C$9))</f>
        <v>54.672445820433438</v>
      </c>
      <c r="C39" t="s">
        <v>112</v>
      </c>
    </row>
    <row r="41" spans="1:3" x14ac:dyDescent="0.4">
      <c r="A41" t="s">
        <v>78</v>
      </c>
    </row>
    <row r="42" spans="1:3" x14ac:dyDescent="0.4">
      <c r="A42" t="s">
        <v>75</v>
      </c>
    </row>
    <row r="43" spans="1:3" x14ac:dyDescent="0.4">
      <c r="A43" s="5" t="s">
        <v>68</v>
      </c>
      <c r="B43" s="5">
        <f>0.34</f>
        <v>0.34</v>
      </c>
    </row>
    <row r="45" spans="1:3" x14ac:dyDescent="0.4">
      <c r="A45" t="s">
        <v>76</v>
      </c>
    </row>
    <row r="46" spans="1:3" x14ac:dyDescent="0.4">
      <c r="A46" t="s">
        <v>67</v>
      </c>
      <c r="B46">
        <f>0.0119*(($B$39-$B$38)/$B$38*$B$34/B43)^(1/2)</f>
        <v>2.5401422923720389</v>
      </c>
    </row>
    <row r="47" spans="1:3" x14ac:dyDescent="0.4">
      <c r="A47" t="s">
        <v>77</v>
      </c>
    </row>
    <row r="48" spans="1:3" x14ac:dyDescent="0.4">
      <c r="A48" t="s">
        <v>74</v>
      </c>
      <c r="B48">
        <f>0.0049*$B$38*$B$34*B46/$B$37</f>
        <v>33.572510018064015</v>
      </c>
    </row>
    <row r="49" spans="1:7" x14ac:dyDescent="0.4">
      <c r="A49" t="s">
        <v>79</v>
      </c>
    </row>
    <row r="50" spans="1:7" x14ac:dyDescent="0.4">
      <c r="A50" t="s">
        <v>68</v>
      </c>
      <c r="B50">
        <f>24/B48+3/(B48^(1/2))+0.34</f>
        <v>1.5726316057059024</v>
      </c>
      <c r="F50" t="s">
        <v>80</v>
      </c>
      <c r="G50">
        <f>SQRT(5040*($B$31*$B$36*$B$32/$B$33)*($B$38/($B$39-$B$38)*B50/$B$34)^(1/2))</f>
        <v>34.249381792640897</v>
      </c>
    </row>
    <row r="52" spans="1:7" x14ac:dyDescent="0.4">
      <c r="A52" t="s">
        <v>76</v>
      </c>
    </row>
    <row r="53" spans="1:7" x14ac:dyDescent="0.4">
      <c r="A53" t="s">
        <v>67</v>
      </c>
      <c r="B53">
        <f>0.0119*(($B$39-$B$38)/$B$38*$B$34/B50)^(1/2)</f>
        <v>1.1810927512595506</v>
      </c>
    </row>
    <row r="54" spans="1:7" x14ac:dyDescent="0.4">
      <c r="A54" t="s">
        <v>77</v>
      </c>
    </row>
    <row r="55" spans="1:7" x14ac:dyDescent="0.4">
      <c r="A55" t="s">
        <v>74</v>
      </c>
      <c r="B55">
        <f>0.0049*$B$38*$B$34*B53/$B$37</f>
        <v>15.610246852311544</v>
      </c>
    </row>
    <row r="56" spans="1:7" x14ac:dyDescent="0.4">
      <c r="A56" t="s">
        <v>79</v>
      </c>
    </row>
    <row r="57" spans="1:7" x14ac:dyDescent="0.4">
      <c r="A57" t="s">
        <v>68</v>
      </c>
      <c r="B57">
        <f>24/B55+3/(B55^(1/2))+0.34</f>
        <v>2.6367568557229673</v>
      </c>
      <c r="F57" t="s">
        <v>80</v>
      </c>
      <c r="G57">
        <f>SQRT(5040*($B$31*$B$36*$B$32/$B$33)*($B$38/($B$39-$B$38)*B57/$B$34)^(1/2))</f>
        <v>38.972970421242486</v>
      </c>
    </row>
    <row r="59" spans="1:7" x14ac:dyDescent="0.4">
      <c r="A59" t="s">
        <v>76</v>
      </c>
    </row>
    <row r="60" spans="1:7" x14ac:dyDescent="0.4">
      <c r="A60" t="s">
        <v>67</v>
      </c>
      <c r="B60">
        <f>0.0119*(($B$39-$B$38)/$B$38*$B$34/B57)^(1/2)</f>
        <v>0.91214201783198789</v>
      </c>
    </row>
    <row r="61" spans="1:7" x14ac:dyDescent="0.4">
      <c r="A61" t="s">
        <v>77</v>
      </c>
    </row>
    <row r="62" spans="1:7" x14ac:dyDescent="0.4">
      <c r="A62" t="s">
        <v>74</v>
      </c>
      <c r="B62">
        <f>0.0049*$B$38*$B$34*B60/$B$37</f>
        <v>12.055583312604595</v>
      </c>
    </row>
    <row r="63" spans="1:7" x14ac:dyDescent="0.4">
      <c r="A63" t="s">
        <v>79</v>
      </c>
    </row>
    <row r="64" spans="1:7" x14ac:dyDescent="0.4">
      <c r="A64" t="s">
        <v>68</v>
      </c>
      <c r="B64">
        <f>24/B62+3/(B62^(1/2))+0.34</f>
        <v>3.1948054811614277</v>
      </c>
      <c r="F64" t="s">
        <v>80</v>
      </c>
      <c r="G64">
        <f>SQRT(5040*($B$31*$B$36*$B$32/$B$33)*($B$38/($B$39-$B$38)*B64/$B$34)^(1/2))</f>
        <v>40.889056748836055</v>
      </c>
    </row>
    <row r="66" spans="1:7" x14ac:dyDescent="0.4">
      <c r="A66" t="s">
        <v>76</v>
      </c>
    </row>
    <row r="67" spans="1:7" x14ac:dyDescent="0.4">
      <c r="A67" t="s">
        <v>67</v>
      </c>
      <c r="B67">
        <f>0.0119*(($B$39-$B$38)/$B$38*$B$34/B64)^(1/2)</f>
        <v>0.82865793515031072</v>
      </c>
    </row>
    <row r="68" spans="1:7" x14ac:dyDescent="0.4">
      <c r="A68" t="s">
        <v>77</v>
      </c>
    </row>
    <row r="69" spans="1:7" x14ac:dyDescent="0.4">
      <c r="A69" t="s">
        <v>74</v>
      </c>
      <c r="B69">
        <f>0.0049*$B$38*$B$34*B67/$B$37</f>
        <v>10.952192289748861</v>
      </c>
    </row>
    <row r="70" spans="1:7" x14ac:dyDescent="0.4">
      <c r="A70" t="s">
        <v>79</v>
      </c>
    </row>
    <row r="71" spans="1:7" x14ac:dyDescent="0.4">
      <c r="A71" t="s">
        <v>68</v>
      </c>
      <c r="B71">
        <f>24/B69+3/(B69^(1/2))+0.34</f>
        <v>3.4378481822449372</v>
      </c>
      <c r="F71" t="s">
        <v>80</v>
      </c>
      <c r="G71">
        <f>SQRT(5040*($B$31*$B$36*$B$32/$B$33)*($B$38/($B$39-$B$38)*B71/$B$34)^(1/2))</f>
        <v>41.645459704647159</v>
      </c>
    </row>
    <row r="73" spans="1:7" x14ac:dyDescent="0.4">
      <c r="A73" t="s">
        <v>76</v>
      </c>
    </row>
    <row r="74" spans="1:7" x14ac:dyDescent="0.4">
      <c r="A74" t="s">
        <v>67</v>
      </c>
      <c r="B74">
        <f>0.0119*(($B$39-$B$38)/$B$38*$B$34/B71)^(1/2)</f>
        <v>0.79882961463146995</v>
      </c>
    </row>
    <row r="75" spans="1:7" x14ac:dyDescent="0.4">
      <c r="A75" t="s">
        <v>77</v>
      </c>
    </row>
    <row r="76" spans="1:7" x14ac:dyDescent="0.4">
      <c r="A76" t="s">
        <v>74</v>
      </c>
      <c r="B76">
        <f>0.0049*$B$38*$B$34*B74/$B$37</f>
        <v>10.557957843730616</v>
      </c>
    </row>
    <row r="77" spans="1:7" x14ac:dyDescent="0.4">
      <c r="A77" t="s">
        <v>79</v>
      </c>
    </row>
    <row r="78" spans="1:7" x14ac:dyDescent="0.4">
      <c r="A78" t="s">
        <v>68</v>
      </c>
      <c r="B78">
        <f>24/B76+3/(B76^(1/2))+0.34</f>
        <v>3.5364423323398499</v>
      </c>
      <c r="F78" t="s">
        <v>80</v>
      </c>
      <c r="G78">
        <f>SQRT(5040*($B$31*$B$36*$B$32/$B$33)*($B$38/($B$39-$B$38)*B78/$B$34)^(1/2))</f>
        <v>41.940889029559557</v>
      </c>
    </row>
    <row r="80" spans="1:7" x14ac:dyDescent="0.4">
      <c r="A80" t="s">
        <v>76</v>
      </c>
    </row>
    <row r="81" spans="1:7" x14ac:dyDescent="0.4">
      <c r="A81" t="s">
        <v>67</v>
      </c>
      <c r="B81">
        <f>0.0119*(($B$39-$B$38)/$B$38*$B$34/B78)^(1/2)</f>
        <v>0.78761542619635738</v>
      </c>
    </row>
    <row r="82" spans="1:7" x14ac:dyDescent="0.4">
      <c r="A82" t="s">
        <v>77</v>
      </c>
    </row>
    <row r="83" spans="1:7" x14ac:dyDescent="0.4">
      <c r="A83" t="s">
        <v>74</v>
      </c>
      <c r="B83">
        <f>0.0049*$B$38*$B$34*B81/$B$37</f>
        <v>10.409742346231578</v>
      </c>
    </row>
    <row r="84" spans="1:7" x14ac:dyDescent="0.4">
      <c r="A84" t="s">
        <v>79</v>
      </c>
    </row>
    <row r="85" spans="1:7" x14ac:dyDescent="0.4">
      <c r="A85" t="s">
        <v>68</v>
      </c>
      <c r="B85">
        <f>24/B83+3/(B83^(1/2))+0.34</f>
        <v>3.5753576656394546</v>
      </c>
      <c r="F85" t="s">
        <v>80</v>
      </c>
      <c r="G85">
        <f>SQRT(5040*($B$31*$B$36*$B$32/$B$33)*($B$38/($B$39-$B$38)*B85/$B$34)^(1/2))</f>
        <v>42.055796282009766</v>
      </c>
    </row>
    <row r="87" spans="1:7" x14ac:dyDescent="0.4">
      <c r="A87" t="s">
        <v>76</v>
      </c>
    </row>
    <row r="88" spans="1:7" x14ac:dyDescent="0.4">
      <c r="A88" t="s">
        <v>67</v>
      </c>
      <c r="B88">
        <f>0.0119*(($B$39-$B$38)/$B$38*$B$34/B85)^(1/2)</f>
        <v>0.78331737007848823</v>
      </c>
    </row>
    <row r="89" spans="1:7" x14ac:dyDescent="0.4">
      <c r="A89" t="s">
        <v>77</v>
      </c>
    </row>
    <row r="90" spans="1:7" x14ac:dyDescent="0.4">
      <c r="A90" t="s">
        <v>74</v>
      </c>
      <c r="B90">
        <f>0.0049*$B$38*$B$34*B88/$B$37</f>
        <v>10.35293587026813</v>
      </c>
    </row>
    <row r="91" spans="1:7" x14ac:dyDescent="0.4">
      <c r="A91" t="s">
        <v>79</v>
      </c>
    </row>
    <row r="92" spans="1:7" x14ac:dyDescent="0.4">
      <c r="A92" t="s">
        <v>68</v>
      </c>
      <c r="B92">
        <f>24/B90+3/(B90^(1/2))+0.34</f>
        <v>3.590555586019295</v>
      </c>
      <c r="F92" t="s">
        <v>80</v>
      </c>
      <c r="G92">
        <f>SQRT(5040*($B$31*$B$36*$B$32/$B$33)*($B$38/($B$39-$B$38)*B92/$B$34)^(1/2))</f>
        <v>42.100417294932903</v>
      </c>
    </row>
    <row r="94" spans="1:7" x14ac:dyDescent="0.4">
      <c r="A94" t="s">
        <v>76</v>
      </c>
    </row>
    <row r="95" spans="1:7" x14ac:dyDescent="0.4">
      <c r="A95" t="s">
        <v>67</v>
      </c>
      <c r="B95">
        <f>0.0119*(($B$39-$B$38)/$B$38*$B$34/B92)^(1/2)</f>
        <v>0.7816578192135849</v>
      </c>
    </row>
    <row r="96" spans="1:7" x14ac:dyDescent="0.4">
      <c r="A96" t="s">
        <v>77</v>
      </c>
    </row>
    <row r="97" spans="1:7" x14ac:dyDescent="0.4">
      <c r="A97" t="s">
        <v>74</v>
      </c>
      <c r="B97">
        <f>0.0049*$B$38*$B$34*B95/$B$37</f>
        <v>10.331001946249479</v>
      </c>
    </row>
    <row r="98" spans="1:7" x14ac:dyDescent="0.4">
      <c r="A98" t="s">
        <v>79</v>
      </c>
    </row>
    <row r="99" spans="1:7" x14ac:dyDescent="0.4">
      <c r="A99" s="5" t="s">
        <v>68</v>
      </c>
      <c r="B99" s="5">
        <f>24/B97+3/(B97^(1/2))+0.34</f>
        <v>3.5964666025189396</v>
      </c>
      <c r="F99" s="6" t="s">
        <v>89</v>
      </c>
      <c r="G99" s="6">
        <f>SQRT(5040*($B$31*$B$36*$B$32/$B$33)*($B$38/($B$39-$B$38)*B99/$B$34)^(1/2))</f>
        <v>42.117733749946112</v>
      </c>
    </row>
    <row r="101" spans="1:7" ht="21" x14ac:dyDescent="0.4">
      <c r="A101" s="2" t="s">
        <v>101</v>
      </c>
      <c r="F101" s="4" t="s">
        <v>102</v>
      </c>
    </row>
    <row r="102" spans="1:7" x14ac:dyDescent="0.4">
      <c r="A102" t="s">
        <v>113</v>
      </c>
    </row>
    <row r="103" spans="1:7" x14ac:dyDescent="0.4">
      <c r="A103" t="s">
        <v>27</v>
      </c>
      <c r="B103">
        <f>6690*$C$4*$C$13/(($B$27)*($C$14^2))</f>
        <v>6902.635361763294</v>
      </c>
      <c r="C103" t="s">
        <v>29</v>
      </c>
    </row>
    <row r="104" spans="1:7" x14ac:dyDescent="0.4">
      <c r="A104" s="6" t="s">
        <v>31</v>
      </c>
      <c r="B104" s="6">
        <f>SQRT(B103)</f>
        <v>83.082100128507193</v>
      </c>
      <c r="C104" s="6" t="s">
        <v>28</v>
      </c>
      <c r="D104" t="s">
        <v>94</v>
      </c>
    </row>
    <row r="105" spans="1:7" x14ac:dyDescent="0.4">
      <c r="A105" t="s">
        <v>93</v>
      </c>
    </row>
    <row r="107" spans="1:7" x14ac:dyDescent="0.4">
      <c r="A107" s="2" t="s">
        <v>30</v>
      </c>
    </row>
    <row r="108" spans="1:7" x14ac:dyDescent="0.4">
      <c r="A108" t="s">
        <v>90</v>
      </c>
    </row>
    <row r="109" spans="1:7" x14ac:dyDescent="0.4">
      <c r="A109" s="11" t="s">
        <v>95</v>
      </c>
      <c r="B109" s="5">
        <f>($C$12*$C$4+$C$12*$C$5)/(0.12*$B$104^2)</f>
        <v>96.581469500710398</v>
      </c>
    </row>
    <row r="111" spans="1:7" x14ac:dyDescent="0.4">
      <c r="A111" s="2" t="s">
        <v>98</v>
      </c>
    </row>
    <row r="112" spans="1:7" x14ac:dyDescent="0.4">
      <c r="A112" s="2" t="s">
        <v>32</v>
      </c>
    </row>
    <row r="113" spans="1:4" x14ac:dyDescent="0.4">
      <c r="A113" s="6" t="s">
        <v>97</v>
      </c>
      <c r="B113" s="6">
        <f>($B$109+$B$104+40)/12</f>
        <v>18.305297469101465</v>
      </c>
    </row>
    <row r="115" spans="1:4" x14ac:dyDescent="0.4">
      <c r="A115" s="2" t="s">
        <v>99</v>
      </c>
    </row>
    <row r="116" spans="1:4" x14ac:dyDescent="0.4">
      <c r="A116" s="14" t="s">
        <v>49</v>
      </c>
      <c r="B116" s="19" t="s">
        <v>96</v>
      </c>
      <c r="C116" s="14" t="s">
        <v>52</v>
      </c>
      <c r="D116" s="14" t="s">
        <v>57</v>
      </c>
    </row>
    <row r="117" spans="1:4" x14ac:dyDescent="0.4">
      <c r="A117" s="32">
        <f>$B$104</f>
        <v>83.082100128507193</v>
      </c>
      <c r="B117" s="32">
        <f>($C$12*$C$4+$C$12*$C$5)/(0.12*A117^2)</f>
        <v>96.581469500710398</v>
      </c>
      <c r="C117" s="32">
        <f>(B117+A117+40)/12</f>
        <v>18.305297469101465</v>
      </c>
      <c r="D117" s="32">
        <f>12*C117/A117</f>
        <v>2.6439337629820754</v>
      </c>
    </row>
    <row r="118" spans="1:4" x14ac:dyDescent="0.4">
      <c r="A118" s="33">
        <v>84</v>
      </c>
      <c r="B118" s="32">
        <f t="shared" ref="B118:B126" si="0">($C$12*$C$4+$C$12*$C$5)/(0.12*A118^2)</f>
        <v>94.482237339380205</v>
      </c>
      <c r="C118" s="32">
        <f t="shared" ref="C118:C122" si="1">(B118+A118+40)/12</f>
        <v>18.206853111615018</v>
      </c>
      <c r="D118" s="34">
        <f t="shared" ref="D118:D120" si="2">12*C118/A118</f>
        <v>2.6009790159450028</v>
      </c>
    </row>
    <row r="119" spans="1:4" x14ac:dyDescent="0.4">
      <c r="A119" s="20">
        <v>90</v>
      </c>
      <c r="B119" s="32">
        <f t="shared" si="0"/>
        <v>82.304526748971199</v>
      </c>
      <c r="C119" s="32">
        <f t="shared" si="1"/>
        <v>17.692043895747599</v>
      </c>
      <c r="D119" s="32">
        <f t="shared" si="2"/>
        <v>2.3589391860996796</v>
      </c>
    </row>
    <row r="120" spans="1:4" x14ac:dyDescent="0.4">
      <c r="A120" s="20">
        <v>96</v>
      </c>
      <c r="B120" s="32">
        <f t="shared" si="0"/>
        <v>72.337962962962962</v>
      </c>
      <c r="C120" s="32">
        <f t="shared" si="1"/>
        <v>17.361496913580247</v>
      </c>
      <c r="D120" s="32">
        <f t="shared" si="2"/>
        <v>2.1701871141975309</v>
      </c>
    </row>
    <row r="121" spans="1:4" x14ac:dyDescent="0.4">
      <c r="A121" s="20">
        <v>102</v>
      </c>
      <c r="B121" s="32">
        <f t="shared" si="0"/>
        <v>64.077918749199029</v>
      </c>
      <c r="C121" s="32">
        <f t="shared" si="1"/>
        <v>17.173159895766585</v>
      </c>
      <c r="D121" s="32">
        <f t="shared" ref="D121:D123" si="3">12*C121/A121</f>
        <v>2.0203717524431273</v>
      </c>
    </row>
    <row r="122" spans="1:4" x14ac:dyDescent="0.4">
      <c r="A122" s="20">
        <v>110</v>
      </c>
      <c r="B122" s="32">
        <f t="shared" si="0"/>
        <v>55.096418732782368</v>
      </c>
      <c r="C122" s="32">
        <f t="shared" ref="C122:C124" si="4">(B122+A122+40)/12</f>
        <v>17.091368227731863</v>
      </c>
      <c r="D122" s="32">
        <f t="shared" si="3"/>
        <v>1.8645128975707486</v>
      </c>
    </row>
    <row r="123" spans="1:4" x14ac:dyDescent="0.4">
      <c r="A123" s="20">
        <v>120</v>
      </c>
      <c r="B123" s="32">
        <f t="shared" si="0"/>
        <v>46.296296296296298</v>
      </c>
      <c r="C123" s="32">
        <f t="shared" si="4"/>
        <v>17.191358024691358</v>
      </c>
      <c r="D123" s="32">
        <f t="shared" si="3"/>
        <v>1.7191358024691359</v>
      </c>
    </row>
    <row r="124" spans="1:4" x14ac:dyDescent="0.4">
      <c r="A124" s="20">
        <v>130</v>
      </c>
      <c r="B124" s="32">
        <f t="shared" si="0"/>
        <v>39.447731755424066</v>
      </c>
      <c r="C124" s="32">
        <f t="shared" si="4"/>
        <v>17.453977646285338</v>
      </c>
      <c r="D124" s="32">
        <f t="shared" ref="D124:D125" si="5">12*C124/A124</f>
        <v>1.6111363981186466</v>
      </c>
    </row>
    <row r="125" spans="1:4" x14ac:dyDescent="0.4">
      <c r="A125" s="20">
        <v>140</v>
      </c>
      <c r="B125" s="32">
        <f t="shared" si="0"/>
        <v>34.013605442176868</v>
      </c>
      <c r="C125" s="32">
        <f t="shared" ref="C125:C126" si="6">(B125+A125+40)/12</f>
        <v>17.834467120181404</v>
      </c>
      <c r="D125" s="32">
        <f t="shared" si="5"/>
        <v>1.5286686103012634</v>
      </c>
    </row>
    <row r="126" spans="1:4" x14ac:dyDescent="0.4">
      <c r="A126" s="10">
        <v>150</v>
      </c>
      <c r="B126" s="22">
        <f t="shared" si="0"/>
        <v>29.62962962962963</v>
      </c>
      <c r="C126" s="22">
        <f t="shared" si="6"/>
        <v>18.302469135802468</v>
      </c>
      <c r="D126" s="22">
        <f t="shared" ref="D126" si="7">12*C126/A126</f>
        <v>1.4641975308641975</v>
      </c>
    </row>
    <row r="127" spans="1:4" x14ac:dyDescent="0.4">
      <c r="A127" s="28" t="s">
        <v>100</v>
      </c>
    </row>
    <row r="129" spans="1:1" x14ac:dyDescent="0.4">
      <c r="A129" s="2"/>
    </row>
    <row r="132" spans="1:1" x14ac:dyDescent="0.4">
      <c r="A132" s="2"/>
    </row>
    <row r="143" spans="1:1" x14ac:dyDescent="0.4">
      <c r="A143" s="2" t="s">
        <v>42</v>
      </c>
    </row>
    <row r="144" spans="1:1" x14ac:dyDescent="0.4">
      <c r="A144" t="s">
        <v>47</v>
      </c>
    </row>
    <row r="145" spans="1:5" x14ac:dyDescent="0.4">
      <c r="A145" s="5" t="s">
        <v>43</v>
      </c>
      <c r="B145" s="5">
        <f>1.42*($C$5*$C$12+$C$4*$C$12)</f>
        <v>113600</v>
      </c>
    </row>
    <row r="146" spans="1:5" x14ac:dyDescent="0.4">
      <c r="A146" s="6" t="s">
        <v>54</v>
      </c>
      <c r="B146" s="6" t="e">
        <f>$B$145/B141^2</f>
        <v>#DIV/0!</v>
      </c>
    </row>
    <row r="148" spans="1:5" x14ac:dyDescent="0.4">
      <c r="A148" s="2" t="s">
        <v>44</v>
      </c>
    </row>
    <row r="149" spans="1:5" x14ac:dyDescent="0.4">
      <c r="A149" t="s">
        <v>45</v>
      </c>
    </row>
    <row r="150" spans="1:5" x14ac:dyDescent="0.4">
      <c r="A150" s="6" t="s">
        <v>55</v>
      </c>
      <c r="B150" s="6" t="e">
        <f>$B$146/0.75</f>
        <v>#DIV/0!</v>
      </c>
      <c r="C150" t="s">
        <v>46</v>
      </c>
    </row>
    <row r="152" spans="1:5" x14ac:dyDescent="0.4">
      <c r="A152" s="2" t="s">
        <v>56</v>
      </c>
    </row>
    <row r="153" spans="1:5" x14ac:dyDescent="0.4">
      <c r="A153" s="14" t="s">
        <v>51</v>
      </c>
      <c r="B153" s="14" t="s">
        <v>49</v>
      </c>
      <c r="C153" s="14" t="s">
        <v>50</v>
      </c>
      <c r="D153" s="14" t="s">
        <v>52</v>
      </c>
      <c r="E153" s="14" t="s">
        <v>57</v>
      </c>
    </row>
    <row r="154" spans="1:5" x14ac:dyDescent="0.4">
      <c r="A154" s="10">
        <f>$B$145</f>
        <v>113600</v>
      </c>
      <c r="B154" s="10">
        <v>60</v>
      </c>
      <c r="C154" s="10">
        <f>A154/(B154^2)</f>
        <v>31.555555555555557</v>
      </c>
      <c r="D154" s="10">
        <f>C154/0.75</f>
        <v>42.074074074074076</v>
      </c>
      <c r="E154" s="8">
        <f>12*D154/B154</f>
        <v>8.4148148148148145</v>
      </c>
    </row>
    <row r="155" spans="1:5" x14ac:dyDescent="0.4">
      <c r="A155" s="20">
        <f t="shared" ref="A155:A160" si="8">$B$145</f>
        <v>113600</v>
      </c>
      <c r="B155" s="12">
        <v>72</v>
      </c>
      <c r="C155" s="12">
        <f t="shared" ref="C155:C160" si="9">A155/(B155^2)</f>
        <v>21.913580246913579</v>
      </c>
      <c r="D155" s="12">
        <f t="shared" ref="D155:D160" si="10">C155/0.75</f>
        <v>29.218106995884771</v>
      </c>
      <c r="E155" s="13">
        <f t="shared" ref="E155:E160" si="11">12*D155/B155</f>
        <v>4.8696844993141291</v>
      </c>
    </row>
    <row r="156" spans="1:5" x14ac:dyDescent="0.4">
      <c r="A156" s="20">
        <f t="shared" si="8"/>
        <v>113600</v>
      </c>
      <c r="B156" s="12">
        <v>84</v>
      </c>
      <c r="C156" s="12">
        <f t="shared" si="9"/>
        <v>16.099773242630384</v>
      </c>
      <c r="D156" s="12">
        <f t="shared" si="10"/>
        <v>21.466364323507179</v>
      </c>
      <c r="E156" s="13">
        <f t="shared" si="11"/>
        <v>3.06662347478674</v>
      </c>
    </row>
    <row r="157" spans="1:5" x14ac:dyDescent="0.4">
      <c r="A157" s="10">
        <f t="shared" si="8"/>
        <v>113600</v>
      </c>
      <c r="B157" s="10">
        <v>96</v>
      </c>
      <c r="C157" s="10">
        <f t="shared" si="9"/>
        <v>12.326388888888889</v>
      </c>
      <c r="D157" s="10">
        <f t="shared" si="10"/>
        <v>16.435185185185187</v>
      </c>
      <c r="E157" s="8">
        <f t="shared" si="11"/>
        <v>2.0543981481481484</v>
      </c>
    </row>
    <row r="158" spans="1:5" x14ac:dyDescent="0.4">
      <c r="A158" s="10">
        <f t="shared" si="8"/>
        <v>113600</v>
      </c>
      <c r="B158" s="10">
        <v>108</v>
      </c>
      <c r="C158" s="10">
        <f t="shared" si="9"/>
        <v>9.7393689986282581</v>
      </c>
      <c r="D158" s="10">
        <f t="shared" si="10"/>
        <v>12.985825331504344</v>
      </c>
      <c r="E158" s="8">
        <f t="shared" si="11"/>
        <v>1.4428694812782605</v>
      </c>
    </row>
    <row r="159" spans="1:5" x14ac:dyDescent="0.4">
      <c r="A159" s="10">
        <f t="shared" si="8"/>
        <v>113600</v>
      </c>
      <c r="B159" s="10">
        <v>150</v>
      </c>
      <c r="C159" s="10">
        <f t="shared" si="9"/>
        <v>5.0488888888888885</v>
      </c>
      <c r="D159" s="10">
        <f t="shared" si="10"/>
        <v>6.7318518518518511</v>
      </c>
      <c r="E159" s="8">
        <f t="shared" si="11"/>
        <v>0.53854814814814811</v>
      </c>
    </row>
    <row r="160" spans="1:5" x14ac:dyDescent="0.4">
      <c r="A160" s="10">
        <f t="shared" si="8"/>
        <v>113600</v>
      </c>
      <c r="B160" s="10">
        <f>$B$141</f>
        <v>0</v>
      </c>
      <c r="C160" s="10" t="e">
        <f t="shared" si="9"/>
        <v>#DIV/0!</v>
      </c>
      <c r="D160" s="10" t="e">
        <f t="shared" si="10"/>
        <v>#DIV/0!</v>
      </c>
      <c r="E160" s="8" t="e">
        <f t="shared" si="11"/>
        <v>#DIV/0!</v>
      </c>
    </row>
    <row r="161" spans="1:1" x14ac:dyDescent="0.4">
      <c r="A161" t="s">
        <v>88</v>
      </c>
    </row>
    <row r="199" spans="10:14" x14ac:dyDescent="0.4">
      <c r="J199" s="2" t="s">
        <v>81</v>
      </c>
    </row>
    <row r="200" spans="10:14" x14ac:dyDescent="0.4">
      <c r="J200" t="s">
        <v>83</v>
      </c>
    </row>
    <row r="201" spans="10:14" x14ac:dyDescent="0.4">
      <c r="J201" s="11" t="s">
        <v>48</v>
      </c>
      <c r="K201" s="5">
        <f>420*($B$31*$B$36*$B$32/$B$33)*($B$38/($B$39-$B$38)*B99/$B$34)^(1/2)</f>
        <v>147.82529135261248</v>
      </c>
    </row>
    <row r="202" spans="10:14" x14ac:dyDescent="0.4">
      <c r="J202" s="6" t="s">
        <v>54</v>
      </c>
      <c r="K202" s="6">
        <f>$B$145/B99^2</f>
        <v>8782.6639951982197</v>
      </c>
    </row>
    <row r="204" spans="10:14" x14ac:dyDescent="0.4">
      <c r="J204" s="2" t="s">
        <v>84</v>
      </c>
    </row>
    <row r="205" spans="10:14" x14ac:dyDescent="0.4">
      <c r="J205" s="19" t="s">
        <v>85</v>
      </c>
      <c r="K205" s="14" t="s">
        <v>49</v>
      </c>
      <c r="L205" s="14" t="s">
        <v>50</v>
      </c>
      <c r="M205" s="14" t="s">
        <v>52</v>
      </c>
      <c r="N205" s="14" t="s">
        <v>57</v>
      </c>
    </row>
    <row r="206" spans="10:14" x14ac:dyDescent="0.4">
      <c r="J206" s="10">
        <f t="shared" ref="J206:J214" si="12">$K$201</f>
        <v>147.82529135261248</v>
      </c>
      <c r="K206" s="22">
        <f>$G$99</f>
        <v>42.117733749946112</v>
      </c>
      <c r="L206" s="10">
        <f>J206/K206</f>
        <v>3.5098111458288428</v>
      </c>
      <c r="M206" s="10">
        <f>L206/0.75</f>
        <v>4.6797481944384574</v>
      </c>
      <c r="N206" s="8">
        <f>12*M206/K206</f>
        <v>1.3333333333333335</v>
      </c>
    </row>
    <row r="207" spans="10:14" x14ac:dyDescent="0.4">
      <c r="J207" s="10">
        <f>$K$201</f>
        <v>147.82529135261248</v>
      </c>
      <c r="K207" s="23">
        <v>60</v>
      </c>
      <c r="L207" s="23">
        <f t="shared" ref="L207:L212" si="13">J207/K207</f>
        <v>2.4637548558768745</v>
      </c>
      <c r="M207" s="23">
        <f>L207/0.75</f>
        <v>3.2850064745024992</v>
      </c>
      <c r="N207" s="24">
        <f>12*M207/K207</f>
        <v>0.65700129490049985</v>
      </c>
    </row>
    <row r="208" spans="10:14" x14ac:dyDescent="0.4">
      <c r="J208" s="10">
        <f t="shared" si="12"/>
        <v>147.82529135261248</v>
      </c>
      <c r="K208" s="25">
        <v>72</v>
      </c>
      <c r="L208" s="23">
        <f t="shared" si="13"/>
        <v>2.0531290465640621</v>
      </c>
      <c r="M208" s="25">
        <f>L208/0.75</f>
        <v>2.7375053954187494</v>
      </c>
      <c r="N208" s="26">
        <f>12*M208/K208</f>
        <v>0.45625089923645823</v>
      </c>
    </row>
    <row r="209" spans="10:14" x14ac:dyDescent="0.4">
      <c r="J209" s="10">
        <f t="shared" si="12"/>
        <v>147.82529135261248</v>
      </c>
      <c r="K209" s="25">
        <v>84</v>
      </c>
      <c r="L209" s="23">
        <f t="shared" si="13"/>
        <v>1.7598248970549104</v>
      </c>
      <c r="M209" s="25">
        <f>L209/0.75</f>
        <v>2.3464331960732139</v>
      </c>
      <c r="N209" s="26">
        <f>12*M209/K209</f>
        <v>0.33520474229617342</v>
      </c>
    </row>
    <row r="210" spans="10:14" x14ac:dyDescent="0.4">
      <c r="J210" s="10">
        <f t="shared" si="12"/>
        <v>147.82529135261248</v>
      </c>
      <c r="K210" s="23">
        <v>96</v>
      </c>
      <c r="L210" s="23">
        <f t="shared" si="13"/>
        <v>1.5398467849230466</v>
      </c>
      <c r="M210" s="23">
        <f>L210/0.75</f>
        <v>2.0531290465640621</v>
      </c>
      <c r="N210" s="24">
        <f>12*M210/K210</f>
        <v>0.25664113082050777</v>
      </c>
    </row>
    <row r="211" spans="10:14" x14ac:dyDescent="0.4">
      <c r="J211" s="10">
        <f t="shared" si="12"/>
        <v>147.82529135261248</v>
      </c>
      <c r="K211" s="23">
        <v>108</v>
      </c>
      <c r="L211" s="23">
        <f t="shared" si="13"/>
        <v>1.3687526977093749</v>
      </c>
      <c r="M211" s="23">
        <f>L211/0.75</f>
        <v>1.8250035969458331</v>
      </c>
      <c r="N211" s="24">
        <f>12*M211/K211</f>
        <v>0.20277817743842591</v>
      </c>
    </row>
    <row r="212" spans="10:14" x14ac:dyDescent="0.4">
      <c r="J212" s="10">
        <f t="shared" si="12"/>
        <v>147.82529135261248</v>
      </c>
      <c r="K212" s="10">
        <v>150</v>
      </c>
      <c r="L212" s="10">
        <f t="shared" si="13"/>
        <v>0.98550194235074984</v>
      </c>
      <c r="M212" s="10">
        <f>L212/0.75</f>
        <v>1.3140025898009997</v>
      </c>
      <c r="N212" s="8">
        <f>12*M212/K212</f>
        <v>0.10512020718407998</v>
      </c>
    </row>
    <row r="213" spans="10:14" x14ac:dyDescent="0.4">
      <c r="J213" s="27" t="s">
        <v>86</v>
      </c>
    </row>
    <row r="214" spans="10:14" x14ac:dyDescent="0.4">
      <c r="J214" t="s">
        <v>87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6"/>
  <sheetViews>
    <sheetView zoomScale="110" workbookViewId="0">
      <selection activeCell="A22" sqref="A22"/>
    </sheetView>
  </sheetViews>
  <sheetFormatPr defaultRowHeight="17.399999999999999" x14ac:dyDescent="0.4"/>
  <cols>
    <col min="1" max="1" width="12" customWidth="1"/>
    <col min="2" max="2" width="14.8984375" customWidth="1"/>
    <col min="11" max="11" width="12.59765625" bestFit="1" customWidth="1"/>
  </cols>
  <sheetData>
    <row r="2" spans="1:11" ht="21" x14ac:dyDescent="0.4">
      <c r="A2" s="4" t="s">
        <v>17</v>
      </c>
    </row>
    <row r="4" spans="1:11" x14ac:dyDescent="0.4">
      <c r="A4" t="s">
        <v>1</v>
      </c>
      <c r="B4" s="18" t="s">
        <v>2</v>
      </c>
      <c r="C4" s="8">
        <v>5000</v>
      </c>
      <c r="D4" s="8" t="s">
        <v>5</v>
      </c>
    </row>
    <row r="5" spans="1:11" x14ac:dyDescent="0.4">
      <c r="B5" s="15" t="s">
        <v>3</v>
      </c>
      <c r="C5" s="8">
        <v>3000</v>
      </c>
      <c r="D5" s="8" t="s">
        <v>6</v>
      </c>
    </row>
    <row r="6" spans="1:11" x14ac:dyDescent="0.4">
      <c r="B6" s="15" t="s">
        <v>4</v>
      </c>
      <c r="C6" s="8">
        <v>5</v>
      </c>
      <c r="D6" s="8" t="s">
        <v>7</v>
      </c>
    </row>
    <row r="7" spans="1:11" x14ac:dyDescent="0.4">
      <c r="B7" s="15" t="s">
        <v>8</v>
      </c>
      <c r="C7" s="8">
        <v>100</v>
      </c>
      <c r="D7" s="8" t="s">
        <v>9</v>
      </c>
      <c r="J7" s="16"/>
      <c r="K7" s="16"/>
    </row>
    <row r="8" spans="1:11" x14ac:dyDescent="0.4">
      <c r="B8" s="15" t="s">
        <v>10</v>
      </c>
      <c r="C8" s="8">
        <v>90</v>
      </c>
      <c r="D8" s="9" t="s">
        <v>11</v>
      </c>
      <c r="E8">
        <f>460+C8</f>
        <v>550</v>
      </c>
      <c r="F8" s="1" t="s">
        <v>25</v>
      </c>
    </row>
    <row r="9" spans="1:11" x14ac:dyDescent="0.4">
      <c r="B9" s="15" t="s">
        <v>12</v>
      </c>
      <c r="C9" s="8">
        <v>30</v>
      </c>
      <c r="D9" s="9" t="s">
        <v>13</v>
      </c>
    </row>
    <row r="10" spans="1:11" x14ac:dyDescent="0.4">
      <c r="B10" s="15" t="s">
        <v>19</v>
      </c>
      <c r="C10" s="8">
        <v>1.07</v>
      </c>
      <c r="D10" s="8"/>
    </row>
    <row r="11" spans="1:11" x14ac:dyDescent="0.4">
      <c r="B11" s="15" t="s">
        <v>14</v>
      </c>
      <c r="C11" s="8">
        <v>0.6</v>
      </c>
      <c r="D11" s="8"/>
    </row>
    <row r="12" spans="1:11" x14ac:dyDescent="0.4">
      <c r="B12" s="15" t="s">
        <v>36</v>
      </c>
      <c r="C12" s="8">
        <v>10</v>
      </c>
      <c r="D12" s="8" t="s">
        <v>15</v>
      </c>
    </row>
    <row r="13" spans="1:11" x14ac:dyDescent="0.4">
      <c r="B13" s="18" t="s">
        <v>72</v>
      </c>
      <c r="C13" s="8">
        <v>10</v>
      </c>
      <c r="D13" s="8" t="s">
        <v>16</v>
      </c>
    </row>
    <row r="14" spans="1:11" x14ac:dyDescent="0.4">
      <c r="B14" s="18" t="s">
        <v>70</v>
      </c>
      <c r="C14" s="8">
        <v>500</v>
      </c>
      <c r="D14" s="8"/>
    </row>
    <row r="15" spans="1:11" x14ac:dyDescent="0.4">
      <c r="B15" s="18" t="s">
        <v>69</v>
      </c>
      <c r="C15" s="8">
        <v>100</v>
      </c>
      <c r="D15" s="8"/>
    </row>
    <row r="19" spans="1:11" ht="21" x14ac:dyDescent="0.4">
      <c r="A19" s="4" t="s">
        <v>58</v>
      </c>
      <c r="J19" s="4" t="s">
        <v>59</v>
      </c>
    </row>
    <row r="21" spans="1:11" x14ac:dyDescent="0.4">
      <c r="A21" s="2" t="s">
        <v>18</v>
      </c>
      <c r="J21" s="2" t="s">
        <v>18</v>
      </c>
    </row>
    <row r="22" spans="1:11" ht="17.399999999999999" customHeight="1" x14ac:dyDescent="0.4">
      <c r="A22" s="3" t="s">
        <v>20</v>
      </c>
      <c r="J22" s="3" t="s">
        <v>20</v>
      </c>
    </row>
    <row r="23" spans="1:11" x14ac:dyDescent="0.4">
      <c r="A23" t="s">
        <v>21</v>
      </c>
      <c r="J23" t="s">
        <v>21</v>
      </c>
    </row>
    <row r="24" spans="1:11" x14ac:dyDescent="0.4">
      <c r="A24" s="5" t="s">
        <v>23</v>
      </c>
      <c r="B24" s="5">
        <f>141.5/($C$9+131.5)</f>
        <v>0.87616099071207432</v>
      </c>
      <c r="J24" s="5" t="s">
        <v>23</v>
      </c>
      <c r="K24" s="5">
        <f>141.5/($C$9+131.5)</f>
        <v>0.87616099071207432</v>
      </c>
    </row>
    <row r="26" spans="1:11" x14ac:dyDescent="0.4">
      <c r="A26" t="s">
        <v>24</v>
      </c>
      <c r="J26" t="s">
        <v>24</v>
      </c>
    </row>
    <row r="27" spans="1:11" x14ac:dyDescent="0.4">
      <c r="A27" s="6" t="s">
        <v>22</v>
      </c>
      <c r="B27" s="6">
        <f>$C$10-$B$24</f>
        <v>0.19383900928792575</v>
      </c>
      <c r="J27" s="6" t="s">
        <v>22</v>
      </c>
      <c r="K27" s="6">
        <f>$C$10-$B$24</f>
        <v>0.19383900928792575</v>
      </c>
    </row>
    <row r="29" spans="1:11" x14ac:dyDescent="0.4">
      <c r="A29" s="2" t="s">
        <v>33</v>
      </c>
      <c r="J29" s="2" t="s">
        <v>60</v>
      </c>
    </row>
    <row r="30" spans="1:11" x14ac:dyDescent="0.4">
      <c r="A30" t="s">
        <v>105</v>
      </c>
      <c r="J30" t="s">
        <v>82</v>
      </c>
    </row>
    <row r="31" spans="1:11" x14ac:dyDescent="0.4">
      <c r="A31" s="6" t="s">
        <v>34</v>
      </c>
      <c r="B31" s="6">
        <f>0.00128*$C$12*($B$27)*($C$14)^2/$C$13</f>
        <v>62.028482972136239</v>
      </c>
      <c r="J31" s="15" t="s">
        <v>61</v>
      </c>
      <c r="K31" s="8">
        <f>E8</f>
        <v>550</v>
      </c>
    </row>
    <row r="32" spans="1:11" x14ac:dyDescent="0.4">
      <c r="J32" s="15" t="s">
        <v>62</v>
      </c>
      <c r="K32" s="8">
        <f>$C$6</f>
        <v>5</v>
      </c>
    </row>
    <row r="33" spans="1:12" x14ac:dyDescent="0.4">
      <c r="A33" s="2" t="s">
        <v>35</v>
      </c>
      <c r="J33" s="15" t="s">
        <v>63</v>
      </c>
      <c r="K33" s="8">
        <f>$C$7</f>
        <v>100</v>
      </c>
    </row>
    <row r="34" spans="1:12" x14ac:dyDescent="0.4">
      <c r="A34" t="s">
        <v>106</v>
      </c>
      <c r="J34" s="18" t="s">
        <v>69</v>
      </c>
      <c r="K34" s="8">
        <f>$C$15</f>
        <v>100</v>
      </c>
    </row>
    <row r="35" spans="1:12" x14ac:dyDescent="0.4">
      <c r="A35" s="6" t="s">
        <v>37</v>
      </c>
      <c r="B35" s="6">
        <f>0.5*C5*C12/(C4*C12+C5*C12)</f>
        <v>0.1875</v>
      </c>
    </row>
    <row r="36" spans="1:12" x14ac:dyDescent="0.4">
      <c r="J36" s="15" t="s">
        <v>26</v>
      </c>
      <c r="K36" s="17">
        <v>0.84</v>
      </c>
    </row>
    <row r="37" spans="1:12" x14ac:dyDescent="0.4">
      <c r="A37" s="2" t="s">
        <v>38</v>
      </c>
      <c r="J37" s="18" t="s">
        <v>73</v>
      </c>
      <c r="K37" s="17">
        <v>1.2999999999999999E-2</v>
      </c>
    </row>
    <row r="38" spans="1:12" x14ac:dyDescent="0.4">
      <c r="A38" s="7" t="s">
        <v>109</v>
      </c>
      <c r="B38" s="6">
        <v>0.25700000000000001</v>
      </c>
      <c r="J38" s="18" t="s">
        <v>71</v>
      </c>
      <c r="K38" s="17">
        <f>2.7*$C$11*$C$7/($E$8*$K$36)</f>
        <v>0.35064935064935066</v>
      </c>
      <c r="L38" t="s">
        <v>65</v>
      </c>
    </row>
    <row r="39" spans="1:12" x14ac:dyDescent="0.4">
      <c r="J39" s="18" t="s">
        <v>66</v>
      </c>
      <c r="K39" s="17">
        <f>62.4*(141.5/(131.5+$C$9))</f>
        <v>54.672445820433438</v>
      </c>
      <c r="L39" t="s">
        <v>64</v>
      </c>
    </row>
    <row r="40" spans="1:12" x14ac:dyDescent="0.4">
      <c r="A40" s="15" t="s">
        <v>107</v>
      </c>
      <c r="B40" s="8">
        <v>0</v>
      </c>
      <c r="C40" s="8">
        <v>0.1875</v>
      </c>
      <c r="D40" s="8">
        <v>0.5</v>
      </c>
    </row>
    <row r="41" spans="1:12" x14ac:dyDescent="0.4">
      <c r="A41" s="15" t="s">
        <v>108</v>
      </c>
      <c r="B41" s="8">
        <v>0.5</v>
      </c>
      <c r="C41" s="8">
        <v>0.25700000000000001</v>
      </c>
      <c r="D41" s="8">
        <v>0</v>
      </c>
      <c r="J41" t="s">
        <v>78</v>
      </c>
    </row>
    <row r="42" spans="1:12" x14ac:dyDescent="0.4">
      <c r="J42" t="s">
        <v>75</v>
      </c>
    </row>
    <row r="43" spans="1:12" x14ac:dyDescent="0.4">
      <c r="J43" s="5" t="s">
        <v>68</v>
      </c>
      <c r="K43" s="5">
        <f>0.34</f>
        <v>0.34</v>
      </c>
    </row>
    <row r="45" spans="1:12" x14ac:dyDescent="0.4">
      <c r="J45" t="s">
        <v>76</v>
      </c>
    </row>
    <row r="46" spans="1:12" x14ac:dyDescent="0.4">
      <c r="J46" t="s">
        <v>67</v>
      </c>
      <c r="K46">
        <f>0.0119*(($K$39-$K$38)/$K$38*$K$34/K43)^(1/2)</f>
        <v>2.5401422923720389</v>
      </c>
    </row>
    <row r="47" spans="1:12" x14ac:dyDescent="0.4">
      <c r="J47" t="s">
        <v>77</v>
      </c>
    </row>
    <row r="48" spans="1:12" x14ac:dyDescent="0.4">
      <c r="J48" t="s">
        <v>74</v>
      </c>
      <c r="K48">
        <f>0.0049*$K$38*$K$34*K46/$K$37</f>
        <v>33.572510018064015</v>
      </c>
    </row>
    <row r="49" spans="1:16" x14ac:dyDescent="0.4">
      <c r="J49" t="s">
        <v>79</v>
      </c>
    </row>
    <row r="50" spans="1:16" x14ac:dyDescent="0.4">
      <c r="J50" t="s">
        <v>68</v>
      </c>
      <c r="K50">
        <f>24/K48+3/(K48^(1/2))+0.34</f>
        <v>1.5726316057059024</v>
      </c>
      <c r="O50" t="s">
        <v>80</v>
      </c>
      <c r="P50">
        <f>SQRT(5040*($K$31*$K$36*$K$32/$K$33)*($K$38/($K$39-$K$38)*K50/$K$34)^(1/2))</f>
        <v>34.249381792640897</v>
      </c>
    </row>
    <row r="52" spans="1:16" x14ac:dyDescent="0.4">
      <c r="J52" t="s">
        <v>76</v>
      </c>
    </row>
    <row r="53" spans="1:16" x14ac:dyDescent="0.4">
      <c r="A53" s="2" t="s">
        <v>39</v>
      </c>
      <c r="J53" t="s">
        <v>67</v>
      </c>
      <c r="K53">
        <f>0.0119*(($K$39-$K$38)/$K$38*$K$34/K50)^(1/2)</f>
        <v>1.1810927512595506</v>
      </c>
    </row>
    <row r="54" spans="1:16" x14ac:dyDescent="0.4">
      <c r="A54" t="s">
        <v>40</v>
      </c>
      <c r="J54" t="s">
        <v>77</v>
      </c>
    </row>
    <row r="55" spans="1:16" x14ac:dyDescent="0.4">
      <c r="A55" t="s">
        <v>41</v>
      </c>
      <c r="J55" t="s">
        <v>74</v>
      </c>
      <c r="K55">
        <f>0.0049*$K$38*$K$34*K53/$K$37</f>
        <v>15.610246852311544</v>
      </c>
    </row>
    <row r="56" spans="1:16" x14ac:dyDescent="0.4">
      <c r="A56" s="6" t="s">
        <v>53</v>
      </c>
      <c r="B56" s="6">
        <f>$B$31/$B$38</f>
        <v>241.35596487212544</v>
      </c>
      <c r="C56" t="s">
        <v>92</v>
      </c>
      <c r="J56" t="s">
        <v>79</v>
      </c>
    </row>
    <row r="57" spans="1:16" x14ac:dyDescent="0.4">
      <c r="J57" t="s">
        <v>68</v>
      </c>
      <c r="K57">
        <f>24/K55+3/(K55^(1/2))+0.34</f>
        <v>2.6367568557229673</v>
      </c>
      <c r="O57" t="s">
        <v>80</v>
      </c>
      <c r="P57">
        <f>SQRT(5040*($K$31*$K$36*$K$32/$K$33)*($K$38/($K$39-$K$38)*K57/$K$34)^(1/2))</f>
        <v>38.972970421242486</v>
      </c>
    </row>
    <row r="58" spans="1:16" x14ac:dyDescent="0.4">
      <c r="A58" s="2" t="s">
        <v>42</v>
      </c>
    </row>
    <row r="59" spans="1:16" x14ac:dyDescent="0.4">
      <c r="A59" t="s">
        <v>47</v>
      </c>
      <c r="J59" t="s">
        <v>76</v>
      </c>
    </row>
    <row r="60" spans="1:16" x14ac:dyDescent="0.4">
      <c r="A60" s="5" t="s">
        <v>43</v>
      </c>
      <c r="B60" s="5">
        <f>1.42*($C$5*$C$12+$C$4*$C$12)</f>
        <v>113600</v>
      </c>
      <c r="J60" t="s">
        <v>67</v>
      </c>
      <c r="K60">
        <f>0.0119*(($K$39-$K$38)/$K$38*$K$34/K57)^(1/2)</f>
        <v>0.91214201783198789</v>
      </c>
    </row>
    <row r="61" spans="1:16" x14ac:dyDescent="0.4">
      <c r="A61" s="6" t="s">
        <v>54</v>
      </c>
      <c r="B61" s="6">
        <f>$B$60/B56^2</f>
        <v>1.9501241406842524</v>
      </c>
      <c r="J61" t="s">
        <v>77</v>
      </c>
    </row>
    <row r="62" spans="1:16" x14ac:dyDescent="0.4">
      <c r="J62" t="s">
        <v>74</v>
      </c>
      <c r="K62">
        <f>0.0049*$K$38*$K$34*K60/$K$37</f>
        <v>12.055583312604595</v>
      </c>
    </row>
    <row r="63" spans="1:16" x14ac:dyDescent="0.4">
      <c r="A63" s="2" t="s">
        <v>44</v>
      </c>
      <c r="J63" t="s">
        <v>79</v>
      </c>
    </row>
    <row r="64" spans="1:16" x14ac:dyDescent="0.4">
      <c r="A64" t="s">
        <v>110</v>
      </c>
      <c r="J64" t="s">
        <v>68</v>
      </c>
      <c r="K64">
        <f>24/K62+3/(K62^(1/2))+0.34</f>
        <v>3.1948054811614277</v>
      </c>
      <c r="O64" t="s">
        <v>80</v>
      </c>
      <c r="P64">
        <f>SQRT(5040*($K$31*$K$36*$K$32/$K$33)*($K$38/($K$39-$K$38)*K64/$K$34)^(1/2))</f>
        <v>40.889056748836055</v>
      </c>
    </row>
    <row r="65" spans="1:16" x14ac:dyDescent="0.4">
      <c r="A65" s="6" t="s">
        <v>55</v>
      </c>
      <c r="B65" s="6">
        <f>$B$61/0.75</f>
        <v>2.6001655209123364</v>
      </c>
      <c r="C65" t="s">
        <v>46</v>
      </c>
    </row>
    <row r="66" spans="1:16" x14ac:dyDescent="0.4">
      <c r="J66" t="s">
        <v>76</v>
      </c>
    </row>
    <row r="67" spans="1:16" x14ac:dyDescent="0.4">
      <c r="A67" s="2" t="s">
        <v>56</v>
      </c>
      <c r="J67" t="s">
        <v>67</v>
      </c>
      <c r="K67">
        <f>0.0119*(($K$39-$K$38)/$K$38*$K$34/K64)^(1/2)</f>
        <v>0.82865793515031072</v>
      </c>
    </row>
    <row r="68" spans="1:16" x14ac:dyDescent="0.4">
      <c r="A68" s="14" t="s">
        <v>51</v>
      </c>
      <c r="B68" s="14" t="s">
        <v>49</v>
      </c>
      <c r="C68" s="14" t="s">
        <v>50</v>
      </c>
      <c r="D68" s="14" t="s">
        <v>52</v>
      </c>
      <c r="E68" s="14" t="s">
        <v>57</v>
      </c>
      <c r="J68" t="s">
        <v>77</v>
      </c>
    </row>
    <row r="69" spans="1:16" x14ac:dyDescent="0.4">
      <c r="A69" s="10">
        <f>$B$60</f>
        <v>113600</v>
      </c>
      <c r="B69" s="10">
        <v>60</v>
      </c>
      <c r="C69" s="21">
        <f>A69/(B69^2)</f>
        <v>31.555555555555557</v>
      </c>
      <c r="D69" s="21">
        <f>C69/0.75</f>
        <v>42.074074074074076</v>
      </c>
      <c r="E69" s="21">
        <f>12*D69/B69</f>
        <v>8.4148148148148145</v>
      </c>
      <c r="J69" t="s">
        <v>74</v>
      </c>
      <c r="K69">
        <f>0.0049*$K$38*$K$34*K67/$K$37</f>
        <v>10.952192289748861</v>
      </c>
    </row>
    <row r="70" spans="1:16" x14ac:dyDescent="0.4">
      <c r="A70" s="20">
        <f>$B$60</f>
        <v>113600</v>
      </c>
      <c r="B70" s="12">
        <v>72</v>
      </c>
      <c r="C70" s="29">
        <f t="shared" ref="C70:C75" si="0">A70/(B70^2)</f>
        <v>21.913580246913579</v>
      </c>
      <c r="D70" s="29">
        <f t="shared" ref="D70:D75" si="1">C70/0.75</f>
        <v>29.218106995884771</v>
      </c>
      <c r="E70" s="29">
        <f t="shared" ref="E70:E75" si="2">12*D70/B70</f>
        <v>4.8696844993141291</v>
      </c>
      <c r="J70" t="s">
        <v>79</v>
      </c>
    </row>
    <row r="71" spans="1:16" x14ac:dyDescent="0.4">
      <c r="A71" s="20">
        <f>$B$60</f>
        <v>113600</v>
      </c>
      <c r="B71" s="12">
        <v>84</v>
      </c>
      <c r="C71" s="29">
        <f t="shared" si="0"/>
        <v>16.099773242630384</v>
      </c>
      <c r="D71" s="29">
        <f t="shared" si="1"/>
        <v>21.466364323507179</v>
      </c>
      <c r="E71" s="29">
        <f t="shared" si="2"/>
        <v>3.06662347478674</v>
      </c>
      <c r="J71" t="s">
        <v>68</v>
      </c>
      <c r="K71">
        <f>24/K69+3/(K69^(1/2))+0.34</f>
        <v>3.4378481822449372</v>
      </c>
      <c r="O71" t="s">
        <v>80</v>
      </c>
      <c r="P71">
        <f>SQRT(5040*($K$31*$K$36*$K$32/$K$33)*($K$38/($K$39-$K$38)*K71/$K$34)^(1/2))</f>
        <v>41.645459704647159</v>
      </c>
    </row>
    <row r="72" spans="1:16" x14ac:dyDescent="0.4">
      <c r="A72" s="10">
        <f>$B$60</f>
        <v>113600</v>
      </c>
      <c r="B72" s="10">
        <v>96</v>
      </c>
      <c r="C72" s="21">
        <f t="shared" si="0"/>
        <v>12.326388888888889</v>
      </c>
      <c r="D72" s="21">
        <f t="shared" si="1"/>
        <v>16.435185185185187</v>
      </c>
      <c r="E72" s="21">
        <f t="shared" si="2"/>
        <v>2.0543981481481484</v>
      </c>
    </row>
    <row r="73" spans="1:16" x14ac:dyDescent="0.4">
      <c r="A73" s="10">
        <f>$B$60</f>
        <v>113600</v>
      </c>
      <c r="B73" s="10">
        <v>108</v>
      </c>
      <c r="C73" s="21">
        <f t="shared" si="0"/>
        <v>9.7393689986282581</v>
      </c>
      <c r="D73" s="21">
        <f t="shared" si="1"/>
        <v>12.985825331504344</v>
      </c>
      <c r="E73" s="21">
        <f t="shared" si="2"/>
        <v>1.4428694812782605</v>
      </c>
      <c r="J73" t="s">
        <v>76</v>
      </c>
    </row>
    <row r="74" spans="1:16" x14ac:dyDescent="0.4">
      <c r="A74" s="10">
        <f>$B$60</f>
        <v>113600</v>
      </c>
      <c r="B74" s="10">
        <v>150</v>
      </c>
      <c r="C74" s="21">
        <f t="shared" si="0"/>
        <v>5.0488888888888885</v>
      </c>
      <c r="D74" s="21">
        <f t="shared" si="1"/>
        <v>6.7318518518518511</v>
      </c>
      <c r="E74" s="21">
        <f t="shared" si="2"/>
        <v>0.53854814814814811</v>
      </c>
      <c r="J74" t="s">
        <v>67</v>
      </c>
      <c r="K74">
        <f>0.0119*(($K$39-$K$38)/$K$38*$K$34/K71)^(1/2)</f>
        <v>0.79882961463146995</v>
      </c>
    </row>
    <row r="75" spans="1:16" x14ac:dyDescent="0.4">
      <c r="A75" s="10">
        <f>$B$60</f>
        <v>113600</v>
      </c>
      <c r="B75" s="22">
        <f>$B$56</f>
        <v>241.35596487212544</v>
      </c>
      <c r="C75" s="22">
        <f>A75/(B75^2)</f>
        <v>1.9501241406842524</v>
      </c>
      <c r="D75" s="22">
        <f t="shared" si="1"/>
        <v>2.6001655209123364</v>
      </c>
      <c r="E75" s="22">
        <f t="shared" si="2"/>
        <v>0.12927787497391827</v>
      </c>
      <c r="J75" t="s">
        <v>77</v>
      </c>
    </row>
    <row r="76" spans="1:16" x14ac:dyDescent="0.4">
      <c r="A76" s="28" t="s">
        <v>88</v>
      </c>
      <c r="J76" t="s">
        <v>74</v>
      </c>
      <c r="K76">
        <f>0.0049*$K$38*$K$34*K74/$K$37</f>
        <v>10.557957843730616</v>
      </c>
    </row>
    <row r="77" spans="1:16" x14ac:dyDescent="0.4">
      <c r="J77" t="s">
        <v>79</v>
      </c>
    </row>
    <row r="78" spans="1:16" x14ac:dyDescent="0.4">
      <c r="J78" t="s">
        <v>68</v>
      </c>
      <c r="K78">
        <f>24/K76+3/(K76^(1/2))+0.34</f>
        <v>3.5364423323398499</v>
      </c>
      <c r="O78" t="s">
        <v>80</v>
      </c>
      <c r="P78">
        <f>SQRT(5040*($K$31*$K$36*$K$32/$K$33)*($K$38/($K$39-$K$38)*K78/$K$34)^(1/2))</f>
        <v>41.940889029559557</v>
      </c>
    </row>
    <row r="80" spans="1:16" x14ac:dyDescent="0.4">
      <c r="J80" t="s">
        <v>76</v>
      </c>
    </row>
    <row r="81" spans="10:16" x14ac:dyDescent="0.4">
      <c r="J81" t="s">
        <v>67</v>
      </c>
      <c r="K81">
        <f>0.0119*(($K$39-$K$38)/$K$38*$K$34/K78)^(1/2)</f>
        <v>0.78761542619635738</v>
      </c>
    </row>
    <row r="82" spans="10:16" x14ac:dyDescent="0.4">
      <c r="J82" t="s">
        <v>77</v>
      </c>
    </row>
    <row r="83" spans="10:16" x14ac:dyDescent="0.4">
      <c r="J83" t="s">
        <v>74</v>
      </c>
      <c r="K83">
        <f>0.0049*$K$38*$K$34*K81/$K$37</f>
        <v>10.409742346231578</v>
      </c>
    </row>
    <row r="84" spans="10:16" x14ac:dyDescent="0.4">
      <c r="J84" t="s">
        <v>79</v>
      </c>
    </row>
    <row r="85" spans="10:16" x14ac:dyDescent="0.4">
      <c r="J85" t="s">
        <v>68</v>
      </c>
      <c r="K85">
        <f>24/K83+3/(K83^(1/2))+0.34</f>
        <v>3.5753576656394546</v>
      </c>
      <c r="O85" t="s">
        <v>80</v>
      </c>
      <c r="P85">
        <f>SQRT(5040*($K$31*$K$36*$K$32/$K$33)*($K$38/($K$39-$K$38)*K85/$K$34)^(1/2))</f>
        <v>42.055796282009766</v>
      </c>
    </row>
    <row r="87" spans="10:16" x14ac:dyDescent="0.4">
      <c r="J87" t="s">
        <v>76</v>
      </c>
    </row>
    <row r="88" spans="10:16" x14ac:dyDescent="0.4">
      <c r="J88" t="s">
        <v>67</v>
      </c>
      <c r="K88">
        <f>0.0119*(($K$39-$K$38)/$K$38*$K$34/K85)^(1/2)</f>
        <v>0.78331737007848823</v>
      </c>
    </row>
    <row r="89" spans="10:16" x14ac:dyDescent="0.4">
      <c r="J89" t="s">
        <v>77</v>
      </c>
    </row>
    <row r="90" spans="10:16" x14ac:dyDescent="0.4">
      <c r="J90" t="s">
        <v>74</v>
      </c>
      <c r="K90">
        <f>0.0049*$K$38*$K$34*K88/$K$37</f>
        <v>10.35293587026813</v>
      </c>
    </row>
    <row r="91" spans="10:16" x14ac:dyDescent="0.4">
      <c r="J91" t="s">
        <v>79</v>
      </c>
    </row>
    <row r="92" spans="10:16" x14ac:dyDescent="0.4">
      <c r="J92" t="s">
        <v>68</v>
      </c>
      <c r="K92">
        <f>24/K90+3/(K90^(1/2))+0.34</f>
        <v>3.590555586019295</v>
      </c>
      <c r="O92" t="s">
        <v>80</v>
      </c>
      <c r="P92">
        <f>SQRT(5040*($K$31*$K$36*$K$32/$K$33)*($K$38/($K$39-$K$38)*K92/$K$34)^(1/2))</f>
        <v>42.100417294932903</v>
      </c>
    </row>
    <row r="94" spans="10:16" x14ac:dyDescent="0.4">
      <c r="J94" t="s">
        <v>76</v>
      </c>
    </row>
    <row r="95" spans="10:16" x14ac:dyDescent="0.4">
      <c r="J95" t="s">
        <v>67</v>
      </c>
      <c r="K95">
        <f>0.0119*(($K$39-$K$38)/$K$38*$K$34/K92)^(1/2)</f>
        <v>0.7816578192135849</v>
      </c>
    </row>
    <row r="96" spans="10:16" x14ac:dyDescent="0.4">
      <c r="J96" t="s">
        <v>77</v>
      </c>
    </row>
    <row r="97" spans="10:17" x14ac:dyDescent="0.4">
      <c r="J97" t="s">
        <v>74</v>
      </c>
      <c r="K97">
        <f>0.0049*$K$38*$K$34*K95/$K$37</f>
        <v>10.331001946249479</v>
      </c>
    </row>
    <row r="98" spans="10:17" x14ac:dyDescent="0.4">
      <c r="J98" t="s">
        <v>79</v>
      </c>
    </row>
    <row r="99" spans="10:17" x14ac:dyDescent="0.4">
      <c r="J99" s="5" t="s">
        <v>68</v>
      </c>
      <c r="K99" s="5">
        <f>24/K97+3/(K97^(1/2))+0.34</f>
        <v>3.5964666025189396</v>
      </c>
      <c r="O99" s="6" t="s">
        <v>89</v>
      </c>
      <c r="P99" s="6">
        <f>SQRT(5040*($K$31*$K$36*$K$32/$K$33)*($K$38/($K$39-$K$38)*K99/$K$34)^(1/2))</f>
        <v>42.117733749946112</v>
      </c>
      <c r="Q99" t="s">
        <v>91</v>
      </c>
    </row>
    <row r="101" spans="10:17" x14ac:dyDescent="0.4">
      <c r="J101" s="2" t="s">
        <v>81</v>
      </c>
    </row>
    <row r="102" spans="10:17" x14ac:dyDescent="0.4">
      <c r="J102" t="s">
        <v>83</v>
      </c>
    </row>
    <row r="103" spans="10:17" x14ac:dyDescent="0.4">
      <c r="J103" s="11" t="s">
        <v>48</v>
      </c>
      <c r="K103" s="5">
        <f>420*($K$31*$K$36*$K$32/$K$33)*($K$38/($K$39-$K$38)*K99/$K$34)^(1/2)</f>
        <v>147.82529135261248</v>
      </c>
    </row>
    <row r="104" spans="10:17" x14ac:dyDescent="0.4">
      <c r="J104" s="6" t="s">
        <v>54</v>
      </c>
      <c r="K104" s="6">
        <f>$B$60/K99^2</f>
        <v>8782.6639951982197</v>
      </c>
    </row>
    <row r="106" spans="10:17" x14ac:dyDescent="0.4">
      <c r="J106" s="2" t="s">
        <v>84</v>
      </c>
    </row>
    <row r="107" spans="10:17" x14ac:dyDescent="0.4">
      <c r="J107" s="19" t="s">
        <v>85</v>
      </c>
      <c r="K107" s="14" t="s">
        <v>49</v>
      </c>
      <c r="L107" s="14" t="s">
        <v>50</v>
      </c>
      <c r="M107" s="14" t="s">
        <v>52</v>
      </c>
      <c r="N107" s="14" t="s">
        <v>57</v>
      </c>
    </row>
    <row r="108" spans="10:17" x14ac:dyDescent="0.4">
      <c r="J108" s="22">
        <f t="shared" ref="J108:J114" si="3">$K$103</f>
        <v>147.82529135261248</v>
      </c>
      <c r="K108" s="22">
        <f>$P$99</f>
        <v>42.117733749946112</v>
      </c>
      <c r="L108" s="22">
        <f>J108/K108</f>
        <v>3.5098111458288428</v>
      </c>
      <c r="M108" s="22">
        <f>L108/0.75</f>
        <v>4.6797481944384574</v>
      </c>
      <c r="N108" s="22">
        <f>12*M108/K108</f>
        <v>1.3333333333333335</v>
      </c>
    </row>
    <row r="109" spans="10:17" x14ac:dyDescent="0.4">
      <c r="J109" s="22">
        <f>$K$103</f>
        <v>147.82529135261248</v>
      </c>
      <c r="K109" s="23">
        <v>60</v>
      </c>
      <c r="L109" s="30">
        <f t="shared" ref="L109:L114" si="4">J109/K109</f>
        <v>2.4637548558768745</v>
      </c>
      <c r="M109" s="30">
        <f>L109/0.75</f>
        <v>3.2850064745024992</v>
      </c>
      <c r="N109" s="30">
        <f>12*M109/K109</f>
        <v>0.65700129490049985</v>
      </c>
    </row>
    <row r="110" spans="10:17" x14ac:dyDescent="0.4">
      <c r="J110" s="22">
        <f t="shared" si="3"/>
        <v>147.82529135261248</v>
      </c>
      <c r="K110" s="25">
        <v>72</v>
      </c>
      <c r="L110" s="30">
        <f t="shared" si="4"/>
        <v>2.0531290465640621</v>
      </c>
      <c r="M110" s="31">
        <f>L110/0.75</f>
        <v>2.7375053954187494</v>
      </c>
      <c r="N110" s="31">
        <f>12*M110/K110</f>
        <v>0.45625089923645823</v>
      </c>
    </row>
    <row r="111" spans="10:17" x14ac:dyDescent="0.4">
      <c r="J111" s="22">
        <f t="shared" si="3"/>
        <v>147.82529135261248</v>
      </c>
      <c r="K111" s="25">
        <v>84</v>
      </c>
      <c r="L111" s="30">
        <f t="shared" si="4"/>
        <v>1.7598248970549104</v>
      </c>
      <c r="M111" s="31">
        <f>L111/0.75</f>
        <v>2.3464331960732139</v>
      </c>
      <c r="N111" s="31">
        <f>12*M111/K111</f>
        <v>0.33520474229617342</v>
      </c>
    </row>
    <row r="112" spans="10:17" x14ac:dyDescent="0.4">
      <c r="J112" s="22">
        <f t="shared" si="3"/>
        <v>147.82529135261248</v>
      </c>
      <c r="K112" s="23">
        <v>96</v>
      </c>
      <c r="L112" s="30">
        <f t="shared" si="4"/>
        <v>1.5398467849230466</v>
      </c>
      <c r="M112" s="30">
        <f>L112/0.75</f>
        <v>2.0531290465640621</v>
      </c>
      <c r="N112" s="30">
        <f>12*M112/K112</f>
        <v>0.25664113082050777</v>
      </c>
    </row>
    <row r="113" spans="10:14" x14ac:dyDescent="0.4">
      <c r="J113" s="22">
        <f t="shared" si="3"/>
        <v>147.82529135261248</v>
      </c>
      <c r="K113" s="23">
        <v>108</v>
      </c>
      <c r="L113" s="30">
        <f t="shared" si="4"/>
        <v>1.3687526977093749</v>
      </c>
      <c r="M113" s="30">
        <f>L113/0.75</f>
        <v>1.8250035969458331</v>
      </c>
      <c r="N113" s="30">
        <f>12*M113/K113</f>
        <v>0.20277817743842591</v>
      </c>
    </row>
    <row r="114" spans="10:14" x14ac:dyDescent="0.4">
      <c r="J114" s="22">
        <f t="shared" si="3"/>
        <v>147.82529135261248</v>
      </c>
      <c r="K114" s="10">
        <v>150</v>
      </c>
      <c r="L114" s="22">
        <f t="shared" si="4"/>
        <v>0.98550194235074984</v>
      </c>
      <c r="M114" s="22">
        <f>L114/0.75</f>
        <v>1.3140025898009997</v>
      </c>
      <c r="N114" s="22">
        <f>12*M114/K114</f>
        <v>0.10512020718407998</v>
      </c>
    </row>
    <row r="115" spans="10:14" x14ac:dyDescent="0.4">
      <c r="J115" s="27" t="s">
        <v>86</v>
      </c>
    </row>
    <row r="116" spans="10:14" x14ac:dyDescent="0.4">
      <c r="J116" t="s">
        <v>87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Ex)5-1</vt:lpstr>
      <vt:lpstr>Ex)5-2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장미선</dc:creator>
  <cp:lastModifiedBy>장미선</cp:lastModifiedBy>
  <dcterms:created xsi:type="dcterms:W3CDTF">2017-06-12T10:38:53Z</dcterms:created>
  <dcterms:modified xsi:type="dcterms:W3CDTF">2017-06-17T16:10:01Z</dcterms:modified>
</cp:coreProperties>
</file>