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ckin\My SecuriSync\Denali\Family Office\Models\"/>
    </mc:Choice>
  </mc:AlternateContent>
  <xr:revisionPtr revIDLastSave="0" documentId="13_ncr:1_{FCD3C6B1-E933-4E41-8AA7-31574ECD959D}" xr6:coauthVersionLast="47" xr6:coauthVersionMax="47" xr10:uidLastSave="{00000000-0000-0000-0000-000000000000}"/>
  <bookViews>
    <workbookView xWindow="2850" yWindow="3330" windowWidth="35100" windowHeight="15345" tabRatio="820" activeTab="2" xr2:uid="{4D556768-6B4B-409B-A6FC-BF17B4385FD8}"/>
  </bookViews>
  <sheets>
    <sheet name="Summary Stats" sheetId="13" r:id="rId1"/>
    <sheet name="Pivot Summary" sheetId="20" r:id="rId2"/>
    <sheet name="All Trades" sheetId="15" r:id="rId3"/>
    <sheet name="ML" sheetId="27" r:id="rId4"/>
    <sheet name="PJ Options" sheetId="21" r:id="rId5"/>
    <sheet name="MS Options" sheetId="2" r:id="rId6"/>
    <sheet name="MS (D1)" sheetId="3" r:id="rId7"/>
    <sheet name="PJ (D1)" sheetId="8" r:id="rId8"/>
    <sheet name="MC Options" sheetId="22" r:id="rId9"/>
    <sheet name="PC Options" sheetId="23" r:id="rId10"/>
    <sheet name="MC D1" sheetId="25" r:id="rId11"/>
    <sheet name="PC D1" sheetId="24" r:id="rId12"/>
    <sheet name="Day Trades" sheetId="11" r:id="rId13"/>
    <sheet name="GB D1" sheetId="19" r:id="rId14"/>
    <sheet name="GB Options" sheetId="18" r:id="rId15"/>
    <sheet name="Post-Seasonals" sheetId="1" r:id="rId16"/>
  </sheets>
  <definedNames>
    <definedName name="_xlnm._FilterDatabase" localSheetId="2" hidden="1">'All Trades'!$A$1:$O$414</definedName>
    <definedName name="_xlnm._FilterDatabase" localSheetId="7" hidden="1">'PJ (D1)'!$A$1:$L$225</definedName>
    <definedName name="_xlnm._FilterDatabase" localSheetId="15" hidden="1">'Post-Seasonals'!$A$3:$AU$138</definedName>
    <definedName name="_xlchart.v1.0" hidden="1">'Post-Seasonals'!$Q$3</definedName>
    <definedName name="_xlchart.v1.1" hidden="1">'Post-Seasonals'!$Q$4:$Q$55</definedName>
    <definedName name="Slicer_Instrument">#N/A</definedName>
    <definedName name="Slicer_Month">#N/A</definedName>
    <definedName name="Slicer_ONH">#N/A</definedName>
    <definedName name="Slicer_Ticker">#N/A</definedName>
    <definedName name="Slicer_Year">#N/A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74" i="15" l="1"/>
  <c r="L674" i="15"/>
  <c r="M674" i="15"/>
  <c r="I674" i="15"/>
  <c r="L673" i="15"/>
  <c r="M673" i="15"/>
  <c r="O673" i="15"/>
  <c r="K673" i="15"/>
  <c r="O672" i="15"/>
  <c r="L672" i="15"/>
  <c r="M672" i="15"/>
  <c r="I672" i="15"/>
  <c r="Q672" i="15"/>
  <c r="Q673" i="15"/>
  <c r="Q674" i="15"/>
  <c r="R672" i="15"/>
  <c r="R673" i="15"/>
  <c r="R674" i="15"/>
  <c r="N671" i="15"/>
  <c r="P2" i="15"/>
  <c r="Q2" i="15"/>
  <c r="R2" i="15"/>
  <c r="P3" i="15"/>
  <c r="Q3" i="15"/>
  <c r="R3" i="15"/>
  <c r="P4" i="15"/>
  <c r="P5" i="15" s="1"/>
  <c r="P6" i="15" s="1"/>
  <c r="P7" i="15" s="1"/>
  <c r="P8" i="15" s="1"/>
  <c r="P9" i="15" s="1"/>
  <c r="P10" i="15" s="1"/>
  <c r="P11" i="15" s="1"/>
  <c r="P12" i="15" s="1"/>
  <c r="P13" i="15" s="1"/>
  <c r="P14" i="15" s="1"/>
  <c r="P15" i="15" s="1"/>
  <c r="P16" i="15" s="1"/>
  <c r="P17" i="15" s="1"/>
  <c r="P18" i="15" s="1"/>
  <c r="P19" i="15" s="1"/>
  <c r="P20" i="15" s="1"/>
  <c r="P21" i="15" s="1"/>
  <c r="P22" i="15" s="1"/>
  <c r="P23" i="15" s="1"/>
  <c r="P24" i="15" s="1"/>
  <c r="P25" i="15" s="1"/>
  <c r="P26" i="15" s="1"/>
  <c r="P27" i="15" s="1"/>
  <c r="P28" i="15" s="1"/>
  <c r="P29" i="15" s="1"/>
  <c r="P30" i="15" s="1"/>
  <c r="P31" i="15" s="1"/>
  <c r="P32" i="15" s="1"/>
  <c r="P33" i="15" s="1"/>
  <c r="P34" i="15" s="1"/>
  <c r="P35" i="15" s="1"/>
  <c r="P36" i="15" s="1"/>
  <c r="P37" i="15" s="1"/>
  <c r="P38" i="15" s="1"/>
  <c r="P39" i="15" s="1"/>
  <c r="P40" i="15" s="1"/>
  <c r="P41" i="15" s="1"/>
  <c r="P42" i="15" s="1"/>
  <c r="P43" i="15" s="1"/>
  <c r="P44" i="15" s="1"/>
  <c r="P45" i="15" s="1"/>
  <c r="P46" i="15" s="1"/>
  <c r="P47" i="15" s="1"/>
  <c r="P48" i="15" s="1"/>
  <c r="P49" i="15" s="1"/>
  <c r="P50" i="15" s="1"/>
  <c r="P51" i="15" s="1"/>
  <c r="P52" i="15" s="1"/>
  <c r="P53" i="15" s="1"/>
  <c r="P54" i="15" s="1"/>
  <c r="P55" i="15" s="1"/>
  <c r="P56" i="15" s="1"/>
  <c r="P57" i="15" s="1"/>
  <c r="P58" i="15" s="1"/>
  <c r="P59" i="15" s="1"/>
  <c r="P60" i="15" s="1"/>
  <c r="P61" i="15" s="1"/>
  <c r="P62" i="15" s="1"/>
  <c r="P63" i="15" s="1"/>
  <c r="P64" i="15" s="1"/>
  <c r="P65" i="15" s="1"/>
  <c r="P66" i="15" s="1"/>
  <c r="P67" i="15" s="1"/>
  <c r="P68" i="15" s="1"/>
  <c r="P69" i="15" s="1"/>
  <c r="P70" i="15" s="1"/>
  <c r="P71" i="15" s="1"/>
  <c r="P72" i="15" s="1"/>
  <c r="P73" i="15" s="1"/>
  <c r="P74" i="15" s="1"/>
  <c r="P75" i="15" s="1"/>
  <c r="P76" i="15" s="1"/>
  <c r="P77" i="15" s="1"/>
  <c r="P78" i="15" s="1"/>
  <c r="P79" i="15" s="1"/>
  <c r="P80" i="15" s="1"/>
  <c r="P81" i="15" s="1"/>
  <c r="P82" i="15" s="1"/>
  <c r="P83" i="15" s="1"/>
  <c r="P84" i="15" s="1"/>
  <c r="P85" i="15" s="1"/>
  <c r="P86" i="15" s="1"/>
  <c r="P87" i="15" s="1"/>
  <c r="P88" i="15" s="1"/>
  <c r="P89" i="15" s="1"/>
  <c r="P90" i="15" s="1"/>
  <c r="P91" i="15" s="1"/>
  <c r="P92" i="15" s="1"/>
  <c r="P93" i="15" s="1"/>
  <c r="P94" i="15" s="1"/>
  <c r="P95" i="15" s="1"/>
  <c r="P96" i="15" s="1"/>
  <c r="P97" i="15" s="1"/>
  <c r="P98" i="15" s="1"/>
  <c r="P99" i="15" s="1"/>
  <c r="P100" i="15" s="1"/>
  <c r="P101" i="15" s="1"/>
  <c r="P102" i="15" s="1"/>
  <c r="P103" i="15" s="1"/>
  <c r="P104" i="15" s="1"/>
  <c r="P105" i="15" s="1"/>
  <c r="P106" i="15" s="1"/>
  <c r="P107" i="15" s="1"/>
  <c r="P108" i="15" s="1"/>
  <c r="P109" i="15" s="1"/>
  <c r="P110" i="15" s="1"/>
  <c r="P111" i="15" s="1"/>
  <c r="P112" i="15" s="1"/>
  <c r="P113" i="15" s="1"/>
  <c r="P114" i="15" s="1"/>
  <c r="P115" i="15" s="1"/>
  <c r="P116" i="15" s="1"/>
  <c r="P117" i="15" s="1"/>
  <c r="P118" i="15" s="1"/>
  <c r="P119" i="15" s="1"/>
  <c r="P120" i="15" s="1"/>
  <c r="P121" i="15" s="1"/>
  <c r="P122" i="15" s="1"/>
  <c r="P123" i="15" s="1"/>
  <c r="P124" i="15" s="1"/>
  <c r="P125" i="15" s="1"/>
  <c r="P126" i="15" s="1"/>
  <c r="P127" i="15" s="1"/>
  <c r="P128" i="15" s="1"/>
  <c r="P129" i="15" s="1"/>
  <c r="P130" i="15" s="1"/>
  <c r="P131" i="15" s="1"/>
  <c r="P132" i="15" s="1"/>
  <c r="P133" i="15" s="1"/>
  <c r="P134" i="15" s="1"/>
  <c r="P135" i="15" s="1"/>
  <c r="P136" i="15" s="1"/>
  <c r="P137" i="15" s="1"/>
  <c r="P138" i="15" s="1"/>
  <c r="P139" i="15" s="1"/>
  <c r="P140" i="15" s="1"/>
  <c r="P141" i="15" s="1"/>
  <c r="P142" i="15" s="1"/>
  <c r="P143" i="15" s="1"/>
  <c r="P144" i="15" s="1"/>
  <c r="P145" i="15" s="1"/>
  <c r="P146" i="15" s="1"/>
  <c r="P147" i="15" s="1"/>
  <c r="P148" i="15" s="1"/>
  <c r="P149" i="15" s="1"/>
  <c r="P150" i="15" s="1"/>
  <c r="P151" i="15" s="1"/>
  <c r="P152" i="15" s="1"/>
  <c r="P153" i="15" s="1"/>
  <c r="P154" i="15" s="1"/>
  <c r="P155" i="15" s="1"/>
  <c r="P156" i="15" s="1"/>
  <c r="P157" i="15" s="1"/>
  <c r="P158" i="15" s="1"/>
  <c r="P159" i="15" s="1"/>
  <c r="P160" i="15" s="1"/>
  <c r="P161" i="15" s="1"/>
  <c r="P162" i="15" s="1"/>
  <c r="P163" i="15" s="1"/>
  <c r="P164" i="15" s="1"/>
  <c r="P165" i="15" s="1"/>
  <c r="P166" i="15" s="1"/>
  <c r="P167" i="15" s="1"/>
  <c r="P168" i="15" s="1"/>
  <c r="P169" i="15" s="1"/>
  <c r="P170" i="15" s="1"/>
  <c r="P171" i="15" s="1"/>
  <c r="P172" i="15" s="1"/>
  <c r="P173" i="15" s="1"/>
  <c r="P174" i="15" s="1"/>
  <c r="P175" i="15" s="1"/>
  <c r="P176" i="15" s="1"/>
  <c r="P177" i="15" s="1"/>
  <c r="P178" i="15" s="1"/>
  <c r="P179" i="15" s="1"/>
  <c r="P180" i="15" s="1"/>
  <c r="P181" i="15" s="1"/>
  <c r="P182" i="15" s="1"/>
  <c r="P183" i="15" s="1"/>
  <c r="P184" i="15" s="1"/>
  <c r="P185" i="15" s="1"/>
  <c r="P186" i="15" s="1"/>
  <c r="P187" i="15" s="1"/>
  <c r="P188" i="15" s="1"/>
  <c r="P189" i="15" s="1"/>
  <c r="P190" i="15" s="1"/>
  <c r="P191" i="15" s="1"/>
  <c r="P192" i="15" s="1"/>
  <c r="P193" i="15" s="1"/>
  <c r="P194" i="15" s="1"/>
  <c r="P195" i="15" s="1"/>
  <c r="P196" i="15" s="1"/>
  <c r="P197" i="15" s="1"/>
  <c r="P198" i="15" s="1"/>
  <c r="P199" i="15" s="1"/>
  <c r="P200" i="15" s="1"/>
  <c r="P201" i="15" s="1"/>
  <c r="P202" i="15" s="1"/>
  <c r="P203" i="15" s="1"/>
  <c r="P204" i="15" s="1"/>
  <c r="P205" i="15" s="1"/>
  <c r="P206" i="15" s="1"/>
  <c r="P207" i="15" s="1"/>
  <c r="P208" i="15" s="1"/>
  <c r="P209" i="15" s="1"/>
  <c r="P210" i="15" s="1"/>
  <c r="P211" i="15" s="1"/>
  <c r="P212" i="15" s="1"/>
  <c r="P213" i="15" s="1"/>
  <c r="P214" i="15" s="1"/>
  <c r="P215" i="15" s="1"/>
  <c r="P216" i="15" s="1"/>
  <c r="P217" i="15" s="1"/>
  <c r="P218" i="15" s="1"/>
  <c r="P219" i="15" s="1"/>
  <c r="P220" i="15" s="1"/>
  <c r="P221" i="15" s="1"/>
  <c r="P222" i="15" s="1"/>
  <c r="P223" i="15" s="1"/>
  <c r="P224" i="15" s="1"/>
  <c r="P225" i="15" s="1"/>
  <c r="P226" i="15" s="1"/>
  <c r="P227" i="15" s="1"/>
  <c r="P228" i="15" s="1"/>
  <c r="P229" i="15" s="1"/>
  <c r="P230" i="15" s="1"/>
  <c r="P231" i="15" s="1"/>
  <c r="P232" i="15" s="1"/>
  <c r="P233" i="15" s="1"/>
  <c r="P234" i="15" s="1"/>
  <c r="P235" i="15" s="1"/>
  <c r="P236" i="15" s="1"/>
  <c r="P237" i="15" s="1"/>
  <c r="P238" i="15" s="1"/>
  <c r="P239" i="15" s="1"/>
  <c r="P240" i="15" s="1"/>
  <c r="P241" i="15" s="1"/>
  <c r="P242" i="15" s="1"/>
  <c r="P243" i="15" s="1"/>
  <c r="P244" i="15" s="1"/>
  <c r="P245" i="15" s="1"/>
  <c r="P246" i="15" s="1"/>
  <c r="P247" i="15" s="1"/>
  <c r="P248" i="15" s="1"/>
  <c r="P249" i="15" s="1"/>
  <c r="P250" i="15" s="1"/>
  <c r="P251" i="15" s="1"/>
  <c r="P252" i="15" s="1"/>
  <c r="P253" i="15" s="1"/>
  <c r="P254" i="15" s="1"/>
  <c r="P255" i="15" s="1"/>
  <c r="P256" i="15" s="1"/>
  <c r="P257" i="15" s="1"/>
  <c r="P258" i="15" s="1"/>
  <c r="P259" i="15" s="1"/>
  <c r="P260" i="15" s="1"/>
  <c r="P261" i="15" s="1"/>
  <c r="P262" i="15" s="1"/>
  <c r="P263" i="15" s="1"/>
  <c r="P264" i="15" s="1"/>
  <c r="P265" i="15" s="1"/>
  <c r="P266" i="15" s="1"/>
  <c r="P267" i="15" s="1"/>
  <c r="P268" i="15" s="1"/>
  <c r="P269" i="15" s="1"/>
  <c r="P270" i="15" s="1"/>
  <c r="P271" i="15" s="1"/>
  <c r="P272" i="15" s="1"/>
  <c r="P273" i="15" s="1"/>
  <c r="P274" i="15" s="1"/>
  <c r="P275" i="15" s="1"/>
  <c r="P276" i="15" s="1"/>
  <c r="P277" i="15" s="1"/>
  <c r="P278" i="15" s="1"/>
  <c r="P279" i="15" s="1"/>
  <c r="P280" i="15" s="1"/>
  <c r="P281" i="15" s="1"/>
  <c r="P282" i="15" s="1"/>
  <c r="P283" i="15" s="1"/>
  <c r="P284" i="15" s="1"/>
  <c r="P285" i="15" s="1"/>
  <c r="P286" i="15" s="1"/>
  <c r="P287" i="15" s="1"/>
  <c r="P288" i="15" s="1"/>
  <c r="P289" i="15" s="1"/>
  <c r="P290" i="15" s="1"/>
  <c r="P291" i="15" s="1"/>
  <c r="P292" i="15" s="1"/>
  <c r="P293" i="15" s="1"/>
  <c r="P294" i="15" s="1"/>
  <c r="P295" i="15" s="1"/>
  <c r="P296" i="15" s="1"/>
  <c r="P297" i="15" s="1"/>
  <c r="P298" i="15" s="1"/>
  <c r="P299" i="15" s="1"/>
  <c r="P300" i="15" s="1"/>
  <c r="P301" i="15" s="1"/>
  <c r="P302" i="15" s="1"/>
  <c r="P303" i="15" s="1"/>
  <c r="P304" i="15" s="1"/>
  <c r="P305" i="15" s="1"/>
  <c r="P306" i="15" s="1"/>
  <c r="P307" i="15" s="1"/>
  <c r="P308" i="15" s="1"/>
  <c r="P309" i="15" s="1"/>
  <c r="P310" i="15" s="1"/>
  <c r="P311" i="15" s="1"/>
  <c r="P312" i="15" s="1"/>
  <c r="P313" i="15" s="1"/>
  <c r="P314" i="15" s="1"/>
  <c r="P315" i="15" s="1"/>
  <c r="P316" i="15" s="1"/>
  <c r="P317" i="15" s="1"/>
  <c r="P318" i="15" s="1"/>
  <c r="P319" i="15" s="1"/>
  <c r="P320" i="15" s="1"/>
  <c r="P321" i="15" s="1"/>
  <c r="P322" i="15" s="1"/>
  <c r="P323" i="15" s="1"/>
  <c r="P324" i="15" s="1"/>
  <c r="P325" i="15" s="1"/>
  <c r="P326" i="15" s="1"/>
  <c r="P327" i="15" s="1"/>
  <c r="P328" i="15" s="1"/>
  <c r="P329" i="15" s="1"/>
  <c r="P330" i="15" s="1"/>
  <c r="P331" i="15" s="1"/>
  <c r="P332" i="15" s="1"/>
  <c r="P333" i="15" s="1"/>
  <c r="P334" i="15" s="1"/>
  <c r="P335" i="15" s="1"/>
  <c r="P336" i="15" s="1"/>
  <c r="P337" i="15" s="1"/>
  <c r="P338" i="15" s="1"/>
  <c r="P339" i="15" s="1"/>
  <c r="P340" i="15" s="1"/>
  <c r="P341" i="15" s="1"/>
  <c r="P342" i="15" s="1"/>
  <c r="P343" i="15" s="1"/>
  <c r="P344" i="15" s="1"/>
  <c r="P345" i="15" s="1"/>
  <c r="P346" i="15" s="1"/>
  <c r="P347" i="15" s="1"/>
  <c r="P348" i="15" s="1"/>
  <c r="P349" i="15" s="1"/>
  <c r="P350" i="15" s="1"/>
  <c r="P351" i="15" s="1"/>
  <c r="P352" i="15" s="1"/>
  <c r="P353" i="15" s="1"/>
  <c r="P354" i="15" s="1"/>
  <c r="P355" i="15" s="1"/>
  <c r="P356" i="15" s="1"/>
  <c r="P357" i="15" s="1"/>
  <c r="P358" i="15" s="1"/>
  <c r="P359" i="15" s="1"/>
  <c r="P360" i="15" s="1"/>
  <c r="P361" i="15" s="1"/>
  <c r="P362" i="15" s="1"/>
  <c r="P363" i="15" s="1"/>
  <c r="P364" i="15" s="1"/>
  <c r="P365" i="15" s="1"/>
  <c r="P366" i="15" s="1"/>
  <c r="P367" i="15" s="1"/>
  <c r="P368" i="15" s="1"/>
  <c r="P369" i="15" s="1"/>
  <c r="P370" i="15" s="1"/>
  <c r="P371" i="15" s="1"/>
  <c r="P372" i="15" s="1"/>
  <c r="P373" i="15" s="1"/>
  <c r="P374" i="15" s="1"/>
  <c r="P375" i="15" s="1"/>
  <c r="P376" i="15" s="1"/>
  <c r="P377" i="15" s="1"/>
  <c r="P378" i="15" s="1"/>
  <c r="P379" i="15" s="1"/>
  <c r="P380" i="15" s="1"/>
  <c r="Q4" i="15"/>
  <c r="R4" i="15"/>
  <c r="Q5" i="15"/>
  <c r="R5" i="15"/>
  <c r="Q6" i="15"/>
  <c r="R6" i="15"/>
  <c r="Q7" i="15"/>
  <c r="R7" i="15"/>
  <c r="Q8" i="15"/>
  <c r="R8" i="15"/>
  <c r="Q9" i="15"/>
  <c r="R9" i="15"/>
  <c r="Q10" i="15"/>
  <c r="R10" i="15"/>
  <c r="Q11" i="15"/>
  <c r="R11" i="15"/>
  <c r="Q12" i="15"/>
  <c r="R12" i="15"/>
  <c r="Q13" i="15"/>
  <c r="R13" i="15"/>
  <c r="Q14" i="15"/>
  <c r="R14" i="15"/>
  <c r="Q15" i="15"/>
  <c r="R15" i="15"/>
  <c r="Q16" i="15"/>
  <c r="R16" i="15"/>
  <c r="Q17" i="15"/>
  <c r="R17" i="15"/>
  <c r="Q18" i="15"/>
  <c r="R18" i="15"/>
  <c r="Q19" i="15"/>
  <c r="R19" i="15"/>
  <c r="Q20" i="15"/>
  <c r="R20" i="15"/>
  <c r="Q21" i="15"/>
  <c r="R21" i="15"/>
  <c r="Q22" i="15"/>
  <c r="R22" i="15"/>
  <c r="Q23" i="15"/>
  <c r="R23" i="15"/>
  <c r="Q24" i="15"/>
  <c r="R24" i="15"/>
  <c r="Q25" i="15"/>
  <c r="R25" i="15"/>
  <c r="Q26" i="15"/>
  <c r="R26" i="15"/>
  <c r="Q27" i="15"/>
  <c r="R27" i="15"/>
  <c r="Q28" i="15"/>
  <c r="R28" i="15"/>
  <c r="Q29" i="15"/>
  <c r="R29" i="15"/>
  <c r="Q30" i="15"/>
  <c r="R30" i="15"/>
  <c r="Q31" i="15"/>
  <c r="R31" i="15"/>
  <c r="Q32" i="15"/>
  <c r="R32" i="15"/>
  <c r="Q33" i="15"/>
  <c r="R33" i="15"/>
  <c r="Q34" i="15"/>
  <c r="R34" i="15"/>
  <c r="Q35" i="15"/>
  <c r="R35" i="15"/>
  <c r="Q36" i="15"/>
  <c r="R36" i="15"/>
  <c r="Q37" i="15"/>
  <c r="R37" i="15"/>
  <c r="Q38" i="15"/>
  <c r="R38" i="15"/>
  <c r="Q39" i="15"/>
  <c r="R39" i="15"/>
  <c r="Q40" i="15"/>
  <c r="R40" i="15"/>
  <c r="Q41" i="15"/>
  <c r="R41" i="15"/>
  <c r="Q42" i="15"/>
  <c r="R42" i="15"/>
  <c r="Q43" i="15"/>
  <c r="R43" i="15"/>
  <c r="Q44" i="15"/>
  <c r="R44" i="15"/>
  <c r="Q45" i="15"/>
  <c r="R45" i="15"/>
  <c r="Q46" i="15"/>
  <c r="R46" i="15"/>
  <c r="Q47" i="15"/>
  <c r="R47" i="15"/>
  <c r="Q48" i="15"/>
  <c r="R48" i="15"/>
  <c r="Q49" i="15"/>
  <c r="R49" i="15"/>
  <c r="Q50" i="15"/>
  <c r="R50" i="15"/>
  <c r="Q51" i="15"/>
  <c r="R51" i="15"/>
  <c r="Q52" i="15"/>
  <c r="R52" i="15"/>
  <c r="Q53" i="15"/>
  <c r="R53" i="15"/>
  <c r="Q54" i="15"/>
  <c r="R54" i="15"/>
  <c r="Q55" i="15"/>
  <c r="R55" i="15"/>
  <c r="Q56" i="15"/>
  <c r="R56" i="15"/>
  <c r="Q57" i="15"/>
  <c r="R57" i="15"/>
  <c r="Q58" i="15"/>
  <c r="R58" i="15"/>
  <c r="Q59" i="15"/>
  <c r="R59" i="15"/>
  <c r="Q60" i="15"/>
  <c r="R60" i="15"/>
  <c r="Q61" i="15"/>
  <c r="R61" i="15"/>
  <c r="Q62" i="15"/>
  <c r="R62" i="15"/>
  <c r="Q63" i="15"/>
  <c r="R63" i="15"/>
  <c r="Q64" i="15"/>
  <c r="R64" i="15"/>
  <c r="Q65" i="15"/>
  <c r="R65" i="15"/>
  <c r="Q66" i="15"/>
  <c r="R66" i="15"/>
  <c r="Q67" i="15"/>
  <c r="R67" i="15"/>
  <c r="Q68" i="15"/>
  <c r="R68" i="15"/>
  <c r="Q69" i="15"/>
  <c r="R69" i="15"/>
  <c r="Q70" i="15"/>
  <c r="R70" i="15"/>
  <c r="Q71" i="15"/>
  <c r="R71" i="15"/>
  <c r="Q72" i="15"/>
  <c r="R72" i="15"/>
  <c r="Q73" i="15"/>
  <c r="R73" i="15"/>
  <c r="Q74" i="15"/>
  <c r="R74" i="15"/>
  <c r="Q75" i="15"/>
  <c r="R75" i="15"/>
  <c r="Q76" i="15"/>
  <c r="R76" i="15"/>
  <c r="Q77" i="15"/>
  <c r="R77" i="15"/>
  <c r="Q78" i="15"/>
  <c r="R78" i="15"/>
  <c r="Q79" i="15"/>
  <c r="R79" i="15"/>
  <c r="Q80" i="15"/>
  <c r="R80" i="15"/>
  <c r="Q81" i="15"/>
  <c r="R81" i="15"/>
  <c r="Q82" i="15"/>
  <c r="R82" i="15"/>
  <c r="Q83" i="15"/>
  <c r="R83" i="15"/>
  <c r="Q84" i="15"/>
  <c r="R84" i="15"/>
  <c r="Q85" i="15"/>
  <c r="R85" i="15"/>
  <c r="Q86" i="15"/>
  <c r="R86" i="15"/>
  <c r="Q87" i="15"/>
  <c r="R87" i="15"/>
  <c r="Q88" i="15"/>
  <c r="R88" i="15"/>
  <c r="Q89" i="15"/>
  <c r="R89" i="15"/>
  <c r="Q90" i="15"/>
  <c r="R90" i="15"/>
  <c r="Q91" i="15"/>
  <c r="R91" i="15"/>
  <c r="Q92" i="15"/>
  <c r="R92" i="15"/>
  <c r="Q93" i="15"/>
  <c r="R93" i="15"/>
  <c r="Q94" i="15"/>
  <c r="R94" i="15"/>
  <c r="Q95" i="15"/>
  <c r="R95" i="15"/>
  <c r="Q96" i="15"/>
  <c r="R96" i="15"/>
  <c r="Q97" i="15"/>
  <c r="R97" i="15"/>
  <c r="Q98" i="15"/>
  <c r="R98" i="15"/>
  <c r="Q99" i="15"/>
  <c r="R99" i="15"/>
  <c r="Q100" i="15"/>
  <c r="R100" i="15"/>
  <c r="Q101" i="15"/>
  <c r="R101" i="15"/>
  <c r="Q102" i="15"/>
  <c r="R102" i="15"/>
  <c r="Q103" i="15"/>
  <c r="R103" i="15"/>
  <c r="Q104" i="15"/>
  <c r="R104" i="15"/>
  <c r="Q105" i="15"/>
  <c r="R105" i="15"/>
  <c r="Q106" i="15"/>
  <c r="R106" i="15"/>
  <c r="Q107" i="15"/>
  <c r="R107" i="15"/>
  <c r="Q108" i="15"/>
  <c r="R108" i="15"/>
  <c r="Q109" i="15"/>
  <c r="R109" i="15"/>
  <c r="Q110" i="15"/>
  <c r="R110" i="15"/>
  <c r="Q111" i="15"/>
  <c r="R111" i="15"/>
  <c r="Q112" i="15"/>
  <c r="R112" i="15"/>
  <c r="Q113" i="15"/>
  <c r="R113" i="15"/>
  <c r="Q114" i="15"/>
  <c r="R114" i="15"/>
  <c r="Q115" i="15"/>
  <c r="R115" i="15"/>
  <c r="Q116" i="15"/>
  <c r="R116" i="15"/>
  <c r="Q117" i="15"/>
  <c r="R117" i="15"/>
  <c r="Q118" i="15"/>
  <c r="R118" i="15"/>
  <c r="Q119" i="15"/>
  <c r="R119" i="15"/>
  <c r="Q120" i="15"/>
  <c r="R120" i="15"/>
  <c r="Q121" i="15"/>
  <c r="R121" i="15"/>
  <c r="Q122" i="15"/>
  <c r="R122" i="15"/>
  <c r="Q123" i="15"/>
  <c r="R123" i="15"/>
  <c r="Q124" i="15"/>
  <c r="R124" i="15"/>
  <c r="Q125" i="15"/>
  <c r="R125" i="15"/>
  <c r="Q126" i="15"/>
  <c r="R126" i="15"/>
  <c r="Q127" i="15"/>
  <c r="R127" i="15"/>
  <c r="Q128" i="15"/>
  <c r="R128" i="15"/>
  <c r="Q129" i="15"/>
  <c r="R129" i="15"/>
  <c r="Q130" i="15"/>
  <c r="R130" i="15"/>
  <c r="Q131" i="15"/>
  <c r="R131" i="15"/>
  <c r="Q132" i="15"/>
  <c r="R132" i="15"/>
  <c r="Q133" i="15"/>
  <c r="R133" i="15"/>
  <c r="Q134" i="15"/>
  <c r="R134" i="15"/>
  <c r="Q135" i="15"/>
  <c r="R135" i="15"/>
  <c r="Q136" i="15"/>
  <c r="R136" i="15"/>
  <c r="Q137" i="15"/>
  <c r="R137" i="15"/>
  <c r="Q138" i="15"/>
  <c r="R138" i="15"/>
  <c r="Q139" i="15"/>
  <c r="R139" i="15"/>
  <c r="Q140" i="15"/>
  <c r="R140" i="15"/>
  <c r="Q141" i="15"/>
  <c r="R141" i="15"/>
  <c r="Q142" i="15"/>
  <c r="R142" i="15"/>
  <c r="Q143" i="15"/>
  <c r="R143" i="15"/>
  <c r="Q144" i="15"/>
  <c r="R144" i="15"/>
  <c r="Q145" i="15"/>
  <c r="R145" i="15"/>
  <c r="Q146" i="15"/>
  <c r="R146" i="15"/>
  <c r="Q147" i="15"/>
  <c r="R147" i="15"/>
  <c r="Q148" i="15"/>
  <c r="R148" i="15"/>
  <c r="Q149" i="15"/>
  <c r="R149" i="15"/>
  <c r="Q150" i="15"/>
  <c r="R150" i="15"/>
  <c r="Q151" i="15"/>
  <c r="R151" i="15"/>
  <c r="Q152" i="15"/>
  <c r="R152" i="15"/>
  <c r="Q153" i="15"/>
  <c r="R153" i="15"/>
  <c r="Q154" i="15"/>
  <c r="R154" i="15"/>
  <c r="Q155" i="15"/>
  <c r="R155" i="15"/>
  <c r="Q156" i="15"/>
  <c r="R156" i="15"/>
  <c r="Q157" i="15"/>
  <c r="R157" i="15"/>
  <c r="Q158" i="15"/>
  <c r="R158" i="15"/>
  <c r="Q159" i="15"/>
  <c r="R159" i="15"/>
  <c r="Q160" i="15"/>
  <c r="R160" i="15"/>
  <c r="Q161" i="15"/>
  <c r="R161" i="15"/>
  <c r="Q162" i="15"/>
  <c r="R162" i="15"/>
  <c r="Q163" i="15"/>
  <c r="R163" i="15"/>
  <c r="Q164" i="15"/>
  <c r="R164" i="15"/>
  <c r="Q165" i="15"/>
  <c r="R165" i="15"/>
  <c r="Q166" i="15"/>
  <c r="R166" i="15"/>
  <c r="Q167" i="15"/>
  <c r="R167" i="15"/>
  <c r="Q168" i="15"/>
  <c r="R168" i="15"/>
  <c r="Q169" i="15"/>
  <c r="R169" i="15"/>
  <c r="Q170" i="15"/>
  <c r="R170" i="15"/>
  <c r="Q171" i="15"/>
  <c r="R171" i="15"/>
  <c r="Q172" i="15"/>
  <c r="R172" i="15"/>
  <c r="Q173" i="15"/>
  <c r="R173" i="15"/>
  <c r="Q174" i="15"/>
  <c r="R174" i="15"/>
  <c r="Q175" i="15"/>
  <c r="R175" i="15"/>
  <c r="Q176" i="15"/>
  <c r="R176" i="15"/>
  <c r="Q177" i="15"/>
  <c r="R177" i="15"/>
  <c r="Q178" i="15"/>
  <c r="R178" i="15"/>
  <c r="Q179" i="15"/>
  <c r="R179" i="15"/>
  <c r="Q180" i="15"/>
  <c r="R180" i="15"/>
  <c r="Q181" i="15"/>
  <c r="R181" i="15"/>
  <c r="Q182" i="15"/>
  <c r="R182" i="15"/>
  <c r="Q183" i="15"/>
  <c r="R183" i="15"/>
  <c r="Q184" i="15"/>
  <c r="R184" i="15"/>
  <c r="Q185" i="15"/>
  <c r="R185" i="15"/>
  <c r="Q186" i="15"/>
  <c r="R186" i="15"/>
  <c r="Q187" i="15"/>
  <c r="R187" i="15"/>
  <c r="Q188" i="15"/>
  <c r="R188" i="15"/>
  <c r="Q189" i="15"/>
  <c r="R189" i="15"/>
  <c r="Q190" i="15"/>
  <c r="R190" i="15"/>
  <c r="Q191" i="15"/>
  <c r="R191" i="15"/>
  <c r="Q192" i="15"/>
  <c r="R192" i="15"/>
  <c r="Q193" i="15"/>
  <c r="R193" i="15"/>
  <c r="Q194" i="15"/>
  <c r="R194" i="15"/>
  <c r="Q195" i="15"/>
  <c r="R195" i="15"/>
  <c r="Q196" i="15"/>
  <c r="R196" i="15"/>
  <c r="Q197" i="15"/>
  <c r="R197" i="15"/>
  <c r="Q198" i="15"/>
  <c r="R198" i="15"/>
  <c r="Q199" i="15"/>
  <c r="R199" i="15"/>
  <c r="Q200" i="15"/>
  <c r="R200" i="15"/>
  <c r="Q201" i="15"/>
  <c r="R201" i="15"/>
  <c r="Q202" i="15"/>
  <c r="R202" i="15"/>
  <c r="Q203" i="15"/>
  <c r="R203" i="15"/>
  <c r="Q204" i="15"/>
  <c r="R204" i="15"/>
  <c r="Q205" i="15"/>
  <c r="R205" i="15"/>
  <c r="Q206" i="15"/>
  <c r="R206" i="15"/>
  <c r="Q207" i="15"/>
  <c r="R207" i="15"/>
  <c r="Q208" i="15"/>
  <c r="R208" i="15"/>
  <c r="Q209" i="15"/>
  <c r="R209" i="15"/>
  <c r="Q210" i="15"/>
  <c r="R210" i="15"/>
  <c r="Q211" i="15"/>
  <c r="R211" i="15"/>
  <c r="Q212" i="15"/>
  <c r="R212" i="15"/>
  <c r="Q213" i="15"/>
  <c r="R213" i="15"/>
  <c r="Q214" i="15"/>
  <c r="R214" i="15"/>
  <c r="Q215" i="15"/>
  <c r="R215" i="15"/>
  <c r="Q216" i="15"/>
  <c r="R216" i="15"/>
  <c r="Q217" i="15"/>
  <c r="R217" i="15"/>
  <c r="Q218" i="15"/>
  <c r="R218" i="15"/>
  <c r="Q219" i="15"/>
  <c r="R219" i="15"/>
  <c r="Q220" i="15"/>
  <c r="R220" i="15"/>
  <c r="Q221" i="15"/>
  <c r="R221" i="15"/>
  <c r="Q222" i="15"/>
  <c r="R222" i="15"/>
  <c r="Q223" i="15"/>
  <c r="R223" i="15"/>
  <c r="Q224" i="15"/>
  <c r="R224" i="15"/>
  <c r="Q225" i="15"/>
  <c r="R225" i="15"/>
  <c r="Q226" i="15"/>
  <c r="R226" i="15"/>
  <c r="Q227" i="15"/>
  <c r="R227" i="15"/>
  <c r="Q228" i="15"/>
  <c r="R228" i="15"/>
  <c r="Q229" i="15"/>
  <c r="R229" i="15"/>
  <c r="Q230" i="15"/>
  <c r="R230" i="15"/>
  <c r="Q231" i="15"/>
  <c r="R231" i="15"/>
  <c r="Q232" i="15"/>
  <c r="R232" i="15"/>
  <c r="Q233" i="15"/>
  <c r="R233" i="15"/>
  <c r="Q234" i="15"/>
  <c r="R234" i="15"/>
  <c r="Q235" i="15"/>
  <c r="R235" i="15"/>
  <c r="Q236" i="15"/>
  <c r="R236" i="15"/>
  <c r="Q237" i="15"/>
  <c r="R237" i="15"/>
  <c r="Q238" i="15"/>
  <c r="R238" i="15"/>
  <c r="Q239" i="15"/>
  <c r="R239" i="15"/>
  <c r="Q240" i="15"/>
  <c r="R240" i="15"/>
  <c r="Q241" i="15"/>
  <c r="R241" i="15"/>
  <c r="Q242" i="15"/>
  <c r="R242" i="15"/>
  <c r="Q243" i="15"/>
  <c r="R243" i="15"/>
  <c r="Q244" i="15"/>
  <c r="R244" i="15"/>
  <c r="Q245" i="15"/>
  <c r="R245" i="15"/>
  <c r="Q246" i="15"/>
  <c r="R246" i="15"/>
  <c r="Q247" i="15"/>
  <c r="R247" i="15"/>
  <c r="Q248" i="15"/>
  <c r="R248" i="15"/>
  <c r="Q249" i="15"/>
  <c r="R249" i="15"/>
  <c r="Q250" i="15"/>
  <c r="R250" i="15"/>
  <c r="Q251" i="15"/>
  <c r="R251" i="15"/>
  <c r="Q252" i="15"/>
  <c r="R252" i="15"/>
  <c r="Q253" i="15"/>
  <c r="R253" i="15"/>
  <c r="Q254" i="15"/>
  <c r="R254" i="15"/>
  <c r="Q255" i="15"/>
  <c r="R255" i="15"/>
  <c r="Q256" i="15"/>
  <c r="R256" i="15"/>
  <c r="Q257" i="15"/>
  <c r="R257" i="15"/>
  <c r="Q258" i="15"/>
  <c r="R258" i="15"/>
  <c r="Q259" i="15"/>
  <c r="R259" i="15"/>
  <c r="Q260" i="15"/>
  <c r="R260" i="15"/>
  <c r="Q261" i="15"/>
  <c r="R261" i="15"/>
  <c r="Q262" i="15"/>
  <c r="R262" i="15"/>
  <c r="Q263" i="15"/>
  <c r="R263" i="15"/>
  <c r="Q264" i="15"/>
  <c r="R264" i="15"/>
  <c r="Q265" i="15"/>
  <c r="R265" i="15"/>
  <c r="Q266" i="15"/>
  <c r="R266" i="15"/>
  <c r="Q267" i="15"/>
  <c r="R267" i="15"/>
  <c r="Q268" i="15"/>
  <c r="R268" i="15"/>
  <c r="Q269" i="15"/>
  <c r="R269" i="15"/>
  <c r="Q270" i="15"/>
  <c r="R270" i="15"/>
  <c r="Q271" i="15"/>
  <c r="R271" i="15"/>
  <c r="Q272" i="15"/>
  <c r="R272" i="15"/>
  <c r="Q273" i="15"/>
  <c r="R273" i="15"/>
  <c r="Q274" i="15"/>
  <c r="R274" i="15"/>
  <c r="Q275" i="15"/>
  <c r="R275" i="15"/>
  <c r="Q276" i="15"/>
  <c r="R276" i="15"/>
  <c r="Q277" i="15"/>
  <c r="R277" i="15"/>
  <c r="Q278" i="15"/>
  <c r="R278" i="15"/>
  <c r="Q279" i="15"/>
  <c r="R279" i="15"/>
  <c r="Q280" i="15"/>
  <c r="R280" i="15"/>
  <c r="Q281" i="15"/>
  <c r="R281" i="15"/>
  <c r="Q282" i="15"/>
  <c r="R282" i="15"/>
  <c r="Q283" i="15"/>
  <c r="R283" i="15"/>
  <c r="Q284" i="15"/>
  <c r="R284" i="15"/>
  <c r="Q285" i="15"/>
  <c r="R285" i="15"/>
  <c r="Q286" i="15"/>
  <c r="R286" i="15"/>
  <c r="Q287" i="15"/>
  <c r="R287" i="15"/>
  <c r="Q288" i="15"/>
  <c r="R288" i="15"/>
  <c r="Q289" i="15"/>
  <c r="R289" i="15"/>
  <c r="Q290" i="15"/>
  <c r="R290" i="15"/>
  <c r="Q291" i="15"/>
  <c r="R291" i="15"/>
  <c r="Q292" i="15"/>
  <c r="R292" i="15"/>
  <c r="Q293" i="15"/>
  <c r="R293" i="15"/>
  <c r="Q294" i="15"/>
  <c r="R294" i="15"/>
  <c r="Q295" i="15"/>
  <c r="R295" i="15"/>
  <c r="Q296" i="15"/>
  <c r="R296" i="15"/>
  <c r="Q297" i="15"/>
  <c r="R297" i="15"/>
  <c r="Q298" i="15"/>
  <c r="R298" i="15"/>
  <c r="Q299" i="15"/>
  <c r="R299" i="15"/>
  <c r="Q300" i="15"/>
  <c r="R300" i="15"/>
  <c r="Q301" i="15"/>
  <c r="R301" i="15"/>
  <c r="Q302" i="15"/>
  <c r="R302" i="15"/>
  <c r="Q303" i="15"/>
  <c r="R303" i="15"/>
  <c r="Q304" i="15"/>
  <c r="R304" i="15"/>
  <c r="Q305" i="15"/>
  <c r="R305" i="15"/>
  <c r="Q306" i="15"/>
  <c r="R306" i="15"/>
  <c r="Q307" i="15"/>
  <c r="R307" i="15"/>
  <c r="Q308" i="15"/>
  <c r="R308" i="15"/>
  <c r="Q309" i="15"/>
  <c r="R309" i="15"/>
  <c r="Q310" i="15"/>
  <c r="R310" i="15"/>
  <c r="Q311" i="15"/>
  <c r="R311" i="15"/>
  <c r="Q312" i="15"/>
  <c r="R312" i="15"/>
  <c r="Q313" i="15"/>
  <c r="R313" i="15"/>
  <c r="Q314" i="15"/>
  <c r="R314" i="15"/>
  <c r="Q315" i="15"/>
  <c r="R315" i="15"/>
  <c r="Q316" i="15"/>
  <c r="R316" i="15"/>
  <c r="Q317" i="15"/>
  <c r="R317" i="15"/>
  <c r="Q318" i="15"/>
  <c r="R318" i="15"/>
  <c r="Q319" i="15"/>
  <c r="R319" i="15"/>
  <c r="Q320" i="15"/>
  <c r="R320" i="15"/>
  <c r="Q321" i="15"/>
  <c r="R321" i="15"/>
  <c r="Q322" i="15"/>
  <c r="R322" i="15"/>
  <c r="Q323" i="15"/>
  <c r="R323" i="15"/>
  <c r="Q324" i="15"/>
  <c r="R324" i="15"/>
  <c r="Q325" i="15"/>
  <c r="R325" i="15"/>
  <c r="Q326" i="15"/>
  <c r="R326" i="15"/>
  <c r="Q327" i="15"/>
  <c r="R327" i="15"/>
  <c r="Q328" i="15"/>
  <c r="R328" i="15"/>
  <c r="Q329" i="15"/>
  <c r="R329" i="15"/>
  <c r="Q330" i="15"/>
  <c r="R330" i="15"/>
  <c r="Q331" i="15"/>
  <c r="R331" i="15"/>
  <c r="Q332" i="15"/>
  <c r="R332" i="15"/>
  <c r="Q333" i="15"/>
  <c r="R333" i="15"/>
  <c r="Q334" i="15"/>
  <c r="R334" i="15"/>
  <c r="Q335" i="15"/>
  <c r="R335" i="15"/>
  <c r="Q336" i="15"/>
  <c r="R336" i="15"/>
  <c r="Q337" i="15"/>
  <c r="R337" i="15"/>
  <c r="Q338" i="15"/>
  <c r="R338" i="15"/>
  <c r="Q339" i="15"/>
  <c r="R339" i="15"/>
  <c r="Q340" i="15"/>
  <c r="R340" i="15"/>
  <c r="Q341" i="15"/>
  <c r="R341" i="15"/>
  <c r="Q342" i="15"/>
  <c r="R342" i="15"/>
  <c r="Q343" i="15"/>
  <c r="R343" i="15"/>
  <c r="Q344" i="15"/>
  <c r="R344" i="15"/>
  <c r="Q345" i="15"/>
  <c r="R345" i="15"/>
  <c r="Q346" i="15"/>
  <c r="R346" i="15"/>
  <c r="Q347" i="15"/>
  <c r="R347" i="15"/>
  <c r="Q348" i="15"/>
  <c r="R348" i="15"/>
  <c r="Q349" i="15"/>
  <c r="R349" i="15"/>
  <c r="Q350" i="15"/>
  <c r="R350" i="15"/>
  <c r="Q351" i="15"/>
  <c r="R351" i="15"/>
  <c r="Q352" i="15"/>
  <c r="R352" i="15"/>
  <c r="Q353" i="15"/>
  <c r="R353" i="15"/>
  <c r="Q354" i="15"/>
  <c r="R354" i="15"/>
  <c r="Q355" i="15"/>
  <c r="R355" i="15"/>
  <c r="Q356" i="15"/>
  <c r="R356" i="15"/>
  <c r="Q357" i="15"/>
  <c r="R357" i="15"/>
  <c r="Q358" i="15"/>
  <c r="R358" i="15"/>
  <c r="Q359" i="15"/>
  <c r="R359" i="15"/>
  <c r="Q360" i="15"/>
  <c r="R360" i="15"/>
  <c r="Q361" i="15"/>
  <c r="R361" i="15"/>
  <c r="Q362" i="15"/>
  <c r="R362" i="15"/>
  <c r="Q363" i="15"/>
  <c r="R363" i="15"/>
  <c r="Q364" i="15"/>
  <c r="R364" i="15"/>
  <c r="Q365" i="15"/>
  <c r="R365" i="15"/>
  <c r="Q366" i="15"/>
  <c r="R366" i="15"/>
  <c r="Q367" i="15"/>
  <c r="R367" i="15"/>
  <c r="Q368" i="15"/>
  <c r="R368" i="15"/>
  <c r="Q369" i="15"/>
  <c r="R369" i="15"/>
  <c r="Q370" i="15"/>
  <c r="R370" i="15"/>
  <c r="Q371" i="15"/>
  <c r="R371" i="15"/>
  <c r="Q372" i="15"/>
  <c r="R372" i="15"/>
  <c r="Q373" i="15"/>
  <c r="R373" i="15"/>
  <c r="Q374" i="15"/>
  <c r="R374" i="15"/>
  <c r="Q375" i="15"/>
  <c r="R375" i="15"/>
  <c r="Q376" i="15"/>
  <c r="R376" i="15"/>
  <c r="Q377" i="15"/>
  <c r="R377" i="15"/>
  <c r="Q378" i="15"/>
  <c r="R378" i="15"/>
  <c r="Q379" i="15"/>
  <c r="R379" i="15"/>
  <c r="Q380" i="15"/>
  <c r="R380" i="15"/>
  <c r="I381" i="15"/>
  <c r="N381" i="15" s="1"/>
  <c r="L381" i="15"/>
  <c r="M381" i="15"/>
  <c r="Q381" i="15"/>
  <c r="R381" i="15"/>
  <c r="Q382" i="15"/>
  <c r="R382" i="15"/>
  <c r="Q383" i="15"/>
  <c r="R383" i="15"/>
  <c r="Q384" i="15"/>
  <c r="R384" i="15"/>
  <c r="Q385" i="15"/>
  <c r="R385" i="15"/>
  <c r="Q386" i="15"/>
  <c r="R386" i="15"/>
  <c r="Q387" i="15"/>
  <c r="R387" i="15"/>
  <c r="Q388" i="15"/>
  <c r="R388" i="15"/>
  <c r="Q389" i="15"/>
  <c r="R389" i="15"/>
  <c r="Q390" i="15"/>
  <c r="R390" i="15"/>
  <c r="Q391" i="15"/>
  <c r="R391" i="15"/>
  <c r="Q392" i="15"/>
  <c r="R392" i="15"/>
  <c r="Q393" i="15"/>
  <c r="R393" i="15"/>
  <c r="Q394" i="15"/>
  <c r="R394" i="15"/>
  <c r="Q395" i="15"/>
  <c r="R395" i="15"/>
  <c r="Q396" i="15"/>
  <c r="R396" i="15"/>
  <c r="Q397" i="15"/>
  <c r="R397" i="15"/>
  <c r="Q398" i="15"/>
  <c r="R398" i="15"/>
  <c r="Q399" i="15"/>
  <c r="R399" i="15"/>
  <c r="Q400" i="15"/>
  <c r="R400" i="15"/>
  <c r="Q401" i="15"/>
  <c r="R401" i="15"/>
  <c r="Q402" i="15"/>
  <c r="R402" i="15"/>
  <c r="Q403" i="15"/>
  <c r="R403" i="15"/>
  <c r="Q404" i="15"/>
  <c r="R404" i="15"/>
  <c r="Q405" i="15"/>
  <c r="R405" i="15"/>
  <c r="Q406" i="15"/>
  <c r="R406" i="15"/>
  <c r="Q407" i="15"/>
  <c r="R407" i="15"/>
  <c r="Q408" i="15"/>
  <c r="R408" i="15"/>
  <c r="Q409" i="15"/>
  <c r="R409" i="15"/>
  <c r="Q410" i="15"/>
  <c r="R410" i="15"/>
  <c r="Q411" i="15"/>
  <c r="R411" i="15"/>
  <c r="Q412" i="15"/>
  <c r="R412" i="15"/>
  <c r="Q413" i="15"/>
  <c r="R413" i="15"/>
  <c r="Q414" i="15"/>
  <c r="R414" i="15"/>
  <c r="Q415" i="15"/>
  <c r="R415" i="15"/>
  <c r="Q416" i="15"/>
  <c r="R416" i="15"/>
  <c r="Q417" i="15"/>
  <c r="R417" i="15"/>
  <c r="Q418" i="15"/>
  <c r="R418" i="15"/>
  <c r="Q419" i="15"/>
  <c r="R419" i="15"/>
  <c r="Q420" i="15"/>
  <c r="R420" i="15"/>
  <c r="Q421" i="15"/>
  <c r="R421" i="15"/>
  <c r="Q422" i="15"/>
  <c r="R422" i="15"/>
  <c r="Q423" i="15"/>
  <c r="R423" i="15"/>
  <c r="Q424" i="15"/>
  <c r="R424" i="15"/>
  <c r="Q425" i="15"/>
  <c r="R425" i="15"/>
  <c r="Q426" i="15"/>
  <c r="R426" i="15"/>
  <c r="Q427" i="15"/>
  <c r="R427" i="15"/>
  <c r="Q428" i="15"/>
  <c r="R428" i="15"/>
  <c r="Q429" i="15"/>
  <c r="R429" i="15"/>
  <c r="Q430" i="15"/>
  <c r="R430" i="15"/>
  <c r="Q431" i="15"/>
  <c r="R431" i="15"/>
  <c r="Q432" i="15"/>
  <c r="R432" i="15"/>
  <c r="Q433" i="15"/>
  <c r="R433" i="15"/>
  <c r="Q434" i="15"/>
  <c r="R434" i="15"/>
  <c r="Q435" i="15"/>
  <c r="R435" i="15"/>
  <c r="Q436" i="15"/>
  <c r="R436" i="15"/>
  <c r="Q437" i="15"/>
  <c r="R437" i="15"/>
  <c r="Q438" i="15"/>
  <c r="R438" i="15"/>
  <c r="Q439" i="15"/>
  <c r="R439" i="15"/>
  <c r="Q440" i="15"/>
  <c r="R440" i="15"/>
  <c r="Q441" i="15"/>
  <c r="R441" i="15"/>
  <c r="Q442" i="15"/>
  <c r="R442" i="15"/>
  <c r="Q443" i="15"/>
  <c r="R443" i="15"/>
  <c r="Q444" i="15"/>
  <c r="R444" i="15"/>
  <c r="Q445" i="15"/>
  <c r="R445" i="15"/>
  <c r="Q446" i="15"/>
  <c r="R446" i="15"/>
  <c r="Q447" i="15"/>
  <c r="R447" i="15"/>
  <c r="L448" i="15"/>
  <c r="M448" i="15"/>
  <c r="N448" i="15"/>
  <c r="O448" i="15"/>
  <c r="Q448" i="15"/>
  <c r="R448" i="15"/>
  <c r="L449" i="15"/>
  <c r="M449" i="15"/>
  <c r="N449" i="15"/>
  <c r="Q449" i="15"/>
  <c r="R449" i="15"/>
  <c r="L450" i="15"/>
  <c r="M450" i="15"/>
  <c r="N450" i="15"/>
  <c r="O450" i="15" s="1"/>
  <c r="Q450" i="15"/>
  <c r="R450" i="15"/>
  <c r="Q451" i="15"/>
  <c r="R451" i="15"/>
  <c r="Q452" i="15"/>
  <c r="R452" i="15"/>
  <c r="Q453" i="15"/>
  <c r="R453" i="15"/>
  <c r="Q454" i="15"/>
  <c r="R454" i="15"/>
  <c r="Q455" i="15"/>
  <c r="R455" i="15"/>
  <c r="L456" i="15"/>
  <c r="M456" i="15"/>
  <c r="N456" i="15"/>
  <c r="O456" i="15" s="1"/>
  <c r="Q456" i="15"/>
  <c r="R456" i="15"/>
  <c r="Q457" i="15"/>
  <c r="R457" i="15"/>
  <c r="Q458" i="15"/>
  <c r="R458" i="15"/>
  <c r="Q459" i="15"/>
  <c r="R459" i="15"/>
  <c r="Q460" i="15"/>
  <c r="R460" i="15"/>
  <c r="Q461" i="15"/>
  <c r="R461" i="15"/>
  <c r="Q462" i="15"/>
  <c r="R462" i="15"/>
  <c r="Q463" i="15"/>
  <c r="R463" i="15"/>
  <c r="Q464" i="15"/>
  <c r="R464" i="15"/>
  <c r="Q465" i="15"/>
  <c r="R465" i="15"/>
  <c r="Q466" i="15"/>
  <c r="R466" i="15"/>
  <c r="Q467" i="15"/>
  <c r="R467" i="15"/>
  <c r="Q468" i="15"/>
  <c r="R468" i="15"/>
  <c r="Q469" i="15"/>
  <c r="R469" i="15"/>
  <c r="Q470" i="15"/>
  <c r="R470" i="15"/>
  <c r="Q471" i="15"/>
  <c r="R471" i="15"/>
  <c r="Q472" i="15"/>
  <c r="R472" i="15"/>
  <c r="K473" i="15"/>
  <c r="N473" i="15" s="1"/>
  <c r="O473" i="15" s="1"/>
  <c r="L473" i="15"/>
  <c r="M473" i="15"/>
  <c r="Q473" i="15"/>
  <c r="R473" i="15"/>
  <c r="Q474" i="15"/>
  <c r="R474" i="15"/>
  <c r="Q475" i="15"/>
  <c r="R475" i="15"/>
  <c r="Q476" i="15"/>
  <c r="R476" i="15"/>
  <c r="Q477" i="15"/>
  <c r="R477" i="15"/>
  <c r="Q478" i="15"/>
  <c r="R478" i="15"/>
  <c r="Q479" i="15"/>
  <c r="R479" i="15"/>
  <c r="Q480" i="15"/>
  <c r="R480" i="15"/>
  <c r="Q481" i="15"/>
  <c r="R481" i="15"/>
  <c r="Q482" i="15"/>
  <c r="R482" i="15"/>
  <c r="Q483" i="15"/>
  <c r="R483" i="15"/>
  <c r="Q484" i="15"/>
  <c r="R484" i="15"/>
  <c r="Q485" i="15"/>
  <c r="R485" i="15"/>
  <c r="Q486" i="15"/>
  <c r="R486" i="15"/>
  <c r="Q487" i="15"/>
  <c r="R487" i="15"/>
  <c r="L488" i="15"/>
  <c r="M488" i="15"/>
  <c r="N488" i="15"/>
  <c r="O488" i="15" s="1"/>
  <c r="Q488" i="15"/>
  <c r="R488" i="15"/>
  <c r="Q489" i="15"/>
  <c r="R489" i="15"/>
  <c r="Q490" i="15"/>
  <c r="R490" i="15"/>
  <c r="Q491" i="15"/>
  <c r="R491" i="15"/>
  <c r="Q492" i="15"/>
  <c r="R492" i="15"/>
  <c r="Q493" i="15"/>
  <c r="R493" i="15"/>
  <c r="Q494" i="15"/>
  <c r="R494" i="15"/>
  <c r="Q495" i="15"/>
  <c r="R495" i="15"/>
  <c r="Q496" i="15"/>
  <c r="R496" i="15"/>
  <c r="Q497" i="15"/>
  <c r="R497" i="15"/>
  <c r="Q498" i="15"/>
  <c r="R498" i="15"/>
  <c r="Q499" i="15"/>
  <c r="R499" i="15"/>
  <c r="Q500" i="15"/>
  <c r="R500" i="15"/>
  <c r="Q501" i="15"/>
  <c r="R501" i="15"/>
  <c r="Q502" i="15"/>
  <c r="R502" i="15"/>
  <c r="Q503" i="15"/>
  <c r="R503" i="15"/>
  <c r="Q504" i="15"/>
  <c r="R504" i="15"/>
  <c r="Q505" i="15"/>
  <c r="R505" i="15"/>
  <c r="Q506" i="15"/>
  <c r="R506" i="15"/>
  <c r="Q507" i="15"/>
  <c r="R507" i="15"/>
  <c r="Q508" i="15"/>
  <c r="R508" i="15"/>
  <c r="Q509" i="15"/>
  <c r="R509" i="15"/>
  <c r="L510" i="15"/>
  <c r="M510" i="15"/>
  <c r="N510" i="15"/>
  <c r="Q510" i="15"/>
  <c r="R510" i="15"/>
  <c r="L511" i="15"/>
  <c r="M511" i="15"/>
  <c r="N511" i="15"/>
  <c r="O511" i="15"/>
  <c r="Q511" i="15"/>
  <c r="R511" i="15"/>
  <c r="Q512" i="15"/>
  <c r="R512" i="15"/>
  <c r="Q513" i="15"/>
  <c r="R513" i="15"/>
  <c r="Q514" i="15"/>
  <c r="R514" i="15"/>
  <c r="Q515" i="15"/>
  <c r="R515" i="15"/>
  <c r="Q516" i="15"/>
  <c r="R516" i="15"/>
  <c r="Q517" i="15"/>
  <c r="R517" i="15"/>
  <c r="Q518" i="15"/>
  <c r="R518" i="15"/>
  <c r="I519" i="15"/>
  <c r="L519" i="15" s="1"/>
  <c r="M519" i="15"/>
  <c r="N519" i="15"/>
  <c r="Q519" i="15"/>
  <c r="R519" i="15"/>
  <c r="Q520" i="15"/>
  <c r="R520" i="15"/>
  <c r="Q521" i="15"/>
  <c r="R521" i="15"/>
  <c r="Q522" i="15"/>
  <c r="R522" i="15"/>
  <c r="Q523" i="15"/>
  <c r="R523" i="15"/>
  <c r="Q524" i="15"/>
  <c r="R524" i="15"/>
  <c r="Q525" i="15"/>
  <c r="R525" i="15"/>
  <c r="Q526" i="15"/>
  <c r="R526" i="15"/>
  <c r="Q527" i="15"/>
  <c r="R527" i="15"/>
  <c r="Q528" i="15"/>
  <c r="R528" i="15"/>
  <c r="L529" i="15"/>
  <c r="M529" i="15"/>
  <c r="N529" i="15"/>
  <c r="O529" i="15"/>
  <c r="Q529" i="15"/>
  <c r="R529" i="15"/>
  <c r="Q530" i="15"/>
  <c r="R530" i="15"/>
  <c r="I531" i="15"/>
  <c r="L531" i="15" s="1"/>
  <c r="M531" i="15"/>
  <c r="N531" i="15"/>
  <c r="O531" i="15" s="1"/>
  <c r="Q531" i="15"/>
  <c r="R531" i="15"/>
  <c r="Q532" i="15"/>
  <c r="R532" i="15"/>
  <c r="Q533" i="15"/>
  <c r="R533" i="15"/>
  <c r="Q534" i="15"/>
  <c r="R534" i="15"/>
  <c r="Q535" i="15"/>
  <c r="R535" i="15"/>
  <c r="Q536" i="15"/>
  <c r="R536" i="15"/>
  <c r="Q537" i="15"/>
  <c r="R537" i="15"/>
  <c r="Q538" i="15"/>
  <c r="R538" i="15"/>
  <c r="Q539" i="15"/>
  <c r="R539" i="15"/>
  <c r="Q540" i="15"/>
  <c r="R540" i="15"/>
  <c r="Q541" i="15"/>
  <c r="R541" i="15"/>
  <c r="I542" i="15"/>
  <c r="L542" i="15"/>
  <c r="M542" i="15"/>
  <c r="N542" i="15"/>
  <c r="O542" i="15" s="1"/>
  <c r="Q542" i="15"/>
  <c r="R542" i="15"/>
  <c r="Q543" i="15"/>
  <c r="R543" i="15"/>
  <c r="Q544" i="15"/>
  <c r="R544" i="15"/>
  <c r="Q545" i="15"/>
  <c r="R545" i="15"/>
  <c r="Q546" i="15"/>
  <c r="R546" i="15"/>
  <c r="Q547" i="15"/>
  <c r="R547" i="15"/>
  <c r="Q548" i="15"/>
  <c r="R548" i="15"/>
  <c r="Q549" i="15"/>
  <c r="R549" i="15"/>
  <c r="Q550" i="15"/>
  <c r="R550" i="15"/>
  <c r="Q551" i="15"/>
  <c r="R551" i="15"/>
  <c r="Q552" i="15"/>
  <c r="R552" i="15"/>
  <c r="Q553" i="15"/>
  <c r="R553" i="15"/>
  <c r="Q554" i="15"/>
  <c r="R554" i="15"/>
  <c r="Q555" i="15"/>
  <c r="R555" i="15"/>
  <c r="Q556" i="15"/>
  <c r="R556" i="15"/>
  <c r="Q557" i="15"/>
  <c r="R557" i="15"/>
  <c r="Q558" i="15"/>
  <c r="R558" i="15"/>
  <c r="Q559" i="15"/>
  <c r="R559" i="15"/>
  <c r="Q560" i="15"/>
  <c r="R560" i="15"/>
  <c r="Q561" i="15"/>
  <c r="R561" i="15"/>
  <c r="Q562" i="15"/>
  <c r="R562" i="15"/>
  <c r="Q563" i="15"/>
  <c r="R563" i="15"/>
  <c r="Q564" i="15"/>
  <c r="R564" i="15"/>
  <c r="K565" i="15"/>
  <c r="N565" i="15" s="1"/>
  <c r="O565" i="15" s="1"/>
  <c r="L565" i="15"/>
  <c r="M565" i="15"/>
  <c r="Q565" i="15"/>
  <c r="R565" i="15"/>
  <c r="Q566" i="15"/>
  <c r="R566" i="15"/>
  <c r="Q567" i="15"/>
  <c r="R567" i="15"/>
  <c r="Q568" i="15"/>
  <c r="R568" i="15"/>
  <c r="Q569" i="15"/>
  <c r="R569" i="15"/>
  <c r="K570" i="15"/>
  <c r="L570" i="15"/>
  <c r="M570" i="15"/>
  <c r="N570" i="15"/>
  <c r="O570" i="15" s="1"/>
  <c r="Q570" i="15"/>
  <c r="R570" i="15"/>
  <c r="Q571" i="15"/>
  <c r="R571" i="15"/>
  <c r="Q572" i="15"/>
  <c r="R572" i="15"/>
  <c r="Q573" i="15"/>
  <c r="R573" i="15"/>
  <c r="Q574" i="15"/>
  <c r="R574" i="15"/>
  <c r="Q575" i="15"/>
  <c r="R575" i="15"/>
  <c r="Q576" i="15"/>
  <c r="R576" i="15"/>
  <c r="Q577" i="15"/>
  <c r="R577" i="15"/>
  <c r="Q578" i="15"/>
  <c r="R578" i="15"/>
  <c r="Q579" i="15"/>
  <c r="R579" i="15"/>
  <c r="Q580" i="15"/>
  <c r="R580" i="15"/>
  <c r="Q581" i="15"/>
  <c r="R581" i="15"/>
  <c r="L582" i="15"/>
  <c r="M582" i="15"/>
  <c r="N582" i="15"/>
  <c r="O582" i="15" s="1"/>
  <c r="Q582" i="15"/>
  <c r="R582" i="15"/>
  <c r="Q583" i="15"/>
  <c r="R583" i="15"/>
  <c r="L584" i="15"/>
  <c r="M584" i="15"/>
  <c r="N584" i="15"/>
  <c r="O584" i="15"/>
  <c r="Q584" i="15"/>
  <c r="R584" i="15"/>
  <c r="Q585" i="15"/>
  <c r="R585" i="15"/>
  <c r="Q586" i="15"/>
  <c r="R586" i="15"/>
  <c r="Q587" i="15"/>
  <c r="R587" i="15"/>
  <c r="Q588" i="15"/>
  <c r="R588" i="15"/>
  <c r="Q589" i="15"/>
  <c r="R589" i="15"/>
  <c r="Q590" i="15"/>
  <c r="R590" i="15"/>
  <c r="Q591" i="15"/>
  <c r="R591" i="15"/>
  <c r="Q592" i="15"/>
  <c r="R592" i="15"/>
  <c r="L593" i="15"/>
  <c r="M593" i="15"/>
  <c r="N593" i="15"/>
  <c r="O593" i="15" s="1"/>
  <c r="Q593" i="15"/>
  <c r="R593" i="15"/>
  <c r="Q594" i="15"/>
  <c r="R594" i="15"/>
  <c r="Q595" i="15"/>
  <c r="R595" i="15"/>
  <c r="Q596" i="15"/>
  <c r="R596" i="15"/>
  <c r="Q597" i="15"/>
  <c r="R597" i="15"/>
  <c r="Q598" i="15"/>
  <c r="R598" i="15"/>
  <c r="L599" i="15"/>
  <c r="M599" i="15"/>
  <c r="N599" i="15"/>
  <c r="O599" i="15" s="1"/>
  <c r="Q599" i="15"/>
  <c r="R599" i="15"/>
  <c r="Q600" i="15"/>
  <c r="R600" i="15"/>
  <c r="K601" i="15"/>
  <c r="L601" i="15"/>
  <c r="Q601" i="15"/>
  <c r="R601" i="15"/>
  <c r="K602" i="15"/>
  <c r="M602" i="15" s="1"/>
  <c r="L602" i="15"/>
  <c r="O602" i="15"/>
  <c r="Q602" i="15"/>
  <c r="R602" i="15"/>
  <c r="Q603" i="15"/>
  <c r="R603" i="15"/>
  <c r="Q604" i="15"/>
  <c r="R604" i="15"/>
  <c r="Q605" i="15"/>
  <c r="R605" i="15"/>
  <c r="Q606" i="15"/>
  <c r="R606" i="15"/>
  <c r="I607" i="15"/>
  <c r="K607" i="15" s="1"/>
  <c r="M607" i="15" s="1"/>
  <c r="N607" i="15"/>
  <c r="O607" i="15"/>
  <c r="Q607" i="15"/>
  <c r="R607" i="15"/>
  <c r="Q608" i="15"/>
  <c r="R608" i="15"/>
  <c r="K609" i="15"/>
  <c r="M609" i="15" s="1"/>
  <c r="L609" i="15"/>
  <c r="O609" i="15"/>
  <c r="Q609" i="15"/>
  <c r="R609" i="15"/>
  <c r="L610" i="15"/>
  <c r="M610" i="15"/>
  <c r="Q610" i="15"/>
  <c r="R610" i="15"/>
  <c r="K611" i="15"/>
  <c r="M611" i="15" s="1"/>
  <c r="L611" i="15"/>
  <c r="O611" i="15"/>
  <c r="Q611" i="15"/>
  <c r="R611" i="15"/>
  <c r="K612" i="15"/>
  <c r="L612" i="15"/>
  <c r="M612" i="15"/>
  <c r="O612" i="15"/>
  <c r="Q612" i="15"/>
  <c r="R612" i="15"/>
  <c r="I613" i="15"/>
  <c r="L613" i="15" s="1"/>
  <c r="N613" i="15"/>
  <c r="K613" i="15" s="1"/>
  <c r="M613" i="15" s="1"/>
  <c r="O613" i="15"/>
  <c r="Q613" i="15"/>
  <c r="R613" i="15"/>
  <c r="L614" i="15"/>
  <c r="M614" i="15"/>
  <c r="Q614" i="15"/>
  <c r="R614" i="15"/>
  <c r="L615" i="15"/>
  <c r="M615" i="15"/>
  <c r="Q615" i="15"/>
  <c r="R615" i="15"/>
  <c r="L616" i="15"/>
  <c r="M616" i="15"/>
  <c r="Q616" i="15"/>
  <c r="R616" i="15"/>
  <c r="K617" i="15"/>
  <c r="M617" i="15" s="1"/>
  <c r="L617" i="15"/>
  <c r="O617" i="15"/>
  <c r="Q617" i="15"/>
  <c r="R617" i="15"/>
  <c r="L618" i="15"/>
  <c r="M618" i="15"/>
  <c r="N618" i="15"/>
  <c r="O618" i="15" s="1"/>
  <c r="Q618" i="15"/>
  <c r="R618" i="15"/>
  <c r="L619" i="15"/>
  <c r="M619" i="15"/>
  <c r="N619" i="15"/>
  <c r="O619" i="15" s="1"/>
  <c r="Q619" i="15"/>
  <c r="R619" i="15"/>
  <c r="L620" i="15"/>
  <c r="M620" i="15"/>
  <c r="Q620" i="15"/>
  <c r="R620" i="15"/>
  <c r="K621" i="15"/>
  <c r="L621" i="15"/>
  <c r="M621" i="15"/>
  <c r="O621" i="15"/>
  <c r="Q621" i="15"/>
  <c r="R621" i="15"/>
  <c r="K622" i="15"/>
  <c r="M622" i="15" s="1"/>
  <c r="L622" i="15"/>
  <c r="O622" i="15"/>
  <c r="Q622" i="15"/>
  <c r="R622" i="15"/>
  <c r="K623" i="15"/>
  <c r="M623" i="15" s="1"/>
  <c r="L623" i="15"/>
  <c r="O623" i="15"/>
  <c r="Q623" i="15"/>
  <c r="R623" i="15"/>
  <c r="Q624" i="15"/>
  <c r="R624" i="15"/>
  <c r="I625" i="15"/>
  <c r="L625" i="15"/>
  <c r="N625" i="15"/>
  <c r="O625" i="15"/>
  <c r="Q625" i="15"/>
  <c r="R625" i="15"/>
  <c r="L626" i="15"/>
  <c r="M626" i="15"/>
  <c r="Q626" i="15"/>
  <c r="R626" i="15"/>
  <c r="L627" i="15"/>
  <c r="M627" i="15"/>
  <c r="Q627" i="15"/>
  <c r="R627" i="15"/>
  <c r="L628" i="15"/>
  <c r="M628" i="15"/>
  <c r="Q628" i="15"/>
  <c r="R628" i="15"/>
  <c r="I629" i="15"/>
  <c r="L629" i="15"/>
  <c r="N629" i="15"/>
  <c r="O629" i="15" s="1"/>
  <c r="Q629" i="15"/>
  <c r="R629" i="15"/>
  <c r="K630" i="15"/>
  <c r="M630" i="15" s="1"/>
  <c r="L630" i="15"/>
  <c r="O630" i="15"/>
  <c r="Q630" i="15"/>
  <c r="R630" i="15"/>
  <c r="Q631" i="15"/>
  <c r="R631" i="15"/>
  <c r="L632" i="15"/>
  <c r="M632" i="15"/>
  <c r="Q632" i="15"/>
  <c r="R632" i="15"/>
  <c r="L633" i="15"/>
  <c r="M633" i="15"/>
  <c r="Q633" i="15"/>
  <c r="R633" i="15"/>
  <c r="L634" i="15"/>
  <c r="N634" i="15"/>
  <c r="O634" i="15" s="1"/>
  <c r="Q634" i="15"/>
  <c r="R634" i="15"/>
  <c r="L635" i="15"/>
  <c r="N635" i="15"/>
  <c r="O635" i="15" s="1"/>
  <c r="Q635" i="15"/>
  <c r="R635" i="15"/>
  <c r="L636" i="15"/>
  <c r="M636" i="15"/>
  <c r="Q636" i="15"/>
  <c r="R636" i="15"/>
  <c r="K637" i="15"/>
  <c r="M637" i="15" s="1"/>
  <c r="L637" i="15"/>
  <c r="O637" i="15"/>
  <c r="Q637" i="15"/>
  <c r="R637" i="15"/>
  <c r="I638" i="15"/>
  <c r="L638" i="15"/>
  <c r="N638" i="15"/>
  <c r="K638" i="15" s="1"/>
  <c r="M638" i="15" s="1"/>
  <c r="O638" i="15"/>
  <c r="Q638" i="15"/>
  <c r="R638" i="15"/>
  <c r="K639" i="15"/>
  <c r="L639" i="15"/>
  <c r="M639" i="15"/>
  <c r="O639" i="15"/>
  <c r="Q639" i="15"/>
  <c r="R639" i="15"/>
  <c r="K640" i="15"/>
  <c r="L640" i="15"/>
  <c r="M640" i="15"/>
  <c r="O640" i="15"/>
  <c r="Q640" i="15"/>
  <c r="R640" i="15"/>
  <c r="K641" i="15"/>
  <c r="M641" i="15" s="1"/>
  <c r="L641" i="15"/>
  <c r="O641" i="15"/>
  <c r="Q641" i="15"/>
  <c r="R641" i="15"/>
  <c r="K642" i="15"/>
  <c r="L642" i="15"/>
  <c r="M642" i="15"/>
  <c r="O642" i="15"/>
  <c r="Q642" i="15"/>
  <c r="R642" i="15"/>
  <c r="K643" i="15"/>
  <c r="M643" i="15" s="1"/>
  <c r="L643" i="15"/>
  <c r="O643" i="15"/>
  <c r="Q643" i="15"/>
  <c r="R643" i="15"/>
  <c r="K644" i="15"/>
  <c r="M644" i="15" s="1"/>
  <c r="L644" i="15"/>
  <c r="O644" i="15"/>
  <c r="Q644" i="15"/>
  <c r="R644" i="15"/>
  <c r="K645" i="15"/>
  <c r="L645" i="15"/>
  <c r="M645" i="15"/>
  <c r="O645" i="15"/>
  <c r="Q645" i="15"/>
  <c r="R645" i="15"/>
  <c r="K646" i="15"/>
  <c r="M646" i="15" s="1"/>
  <c r="L646" i="15"/>
  <c r="O646" i="15"/>
  <c r="Q646" i="15"/>
  <c r="R646" i="15"/>
  <c r="K647" i="15"/>
  <c r="M647" i="15" s="1"/>
  <c r="L647" i="15"/>
  <c r="O647" i="15"/>
  <c r="Q647" i="15"/>
  <c r="R647" i="15"/>
  <c r="K648" i="15"/>
  <c r="L648" i="15"/>
  <c r="M648" i="15"/>
  <c r="O648" i="15"/>
  <c r="Q648" i="15"/>
  <c r="R648" i="15"/>
  <c r="K649" i="15"/>
  <c r="M649" i="15" s="1"/>
  <c r="L649" i="15"/>
  <c r="O649" i="15"/>
  <c r="Q649" i="15"/>
  <c r="R649" i="15"/>
  <c r="I650" i="15"/>
  <c r="L650" i="15"/>
  <c r="N650" i="15"/>
  <c r="O650" i="15"/>
  <c r="Q650" i="15"/>
  <c r="R650" i="15"/>
  <c r="K651" i="15"/>
  <c r="M651" i="15" s="1"/>
  <c r="L651" i="15"/>
  <c r="O651" i="15"/>
  <c r="Q651" i="15"/>
  <c r="R651" i="15"/>
  <c r="K652" i="15"/>
  <c r="L652" i="15"/>
  <c r="M652" i="15"/>
  <c r="O652" i="15"/>
  <c r="Q652" i="15"/>
  <c r="R652" i="15"/>
  <c r="K653" i="15"/>
  <c r="M653" i="15" s="1"/>
  <c r="L653" i="15"/>
  <c r="O653" i="15"/>
  <c r="Q653" i="15"/>
  <c r="R653" i="15"/>
  <c r="K654" i="15"/>
  <c r="M654" i="15" s="1"/>
  <c r="L654" i="15"/>
  <c r="O654" i="15"/>
  <c r="Q654" i="15"/>
  <c r="R654" i="15"/>
  <c r="K655" i="15"/>
  <c r="M655" i="15" s="1"/>
  <c r="L655" i="15"/>
  <c r="O655" i="15"/>
  <c r="Q655" i="15"/>
  <c r="R655" i="15"/>
  <c r="K656" i="15"/>
  <c r="M656" i="15" s="1"/>
  <c r="L656" i="15"/>
  <c r="O656" i="15"/>
  <c r="Q656" i="15"/>
  <c r="R656" i="15"/>
  <c r="K657" i="15"/>
  <c r="M657" i="15" s="1"/>
  <c r="L657" i="15"/>
  <c r="N657" i="15"/>
  <c r="O657" i="15" s="1"/>
  <c r="Q657" i="15"/>
  <c r="R657" i="15"/>
  <c r="K658" i="15"/>
  <c r="M658" i="15" s="1"/>
  <c r="L658" i="15"/>
  <c r="O658" i="15"/>
  <c r="Q658" i="15"/>
  <c r="R658" i="15"/>
  <c r="K659" i="15"/>
  <c r="M659" i="15" s="1"/>
  <c r="L659" i="15"/>
  <c r="O659" i="15"/>
  <c r="Q659" i="15"/>
  <c r="R659" i="15"/>
  <c r="K660" i="15"/>
  <c r="L660" i="15"/>
  <c r="M660" i="15"/>
  <c r="O660" i="15"/>
  <c r="Q660" i="15"/>
  <c r="R660" i="15"/>
  <c r="K661" i="15"/>
  <c r="M661" i="15" s="1"/>
  <c r="L661" i="15"/>
  <c r="O661" i="15"/>
  <c r="Q661" i="15"/>
  <c r="R661" i="15"/>
  <c r="I662" i="15"/>
  <c r="L662" i="15"/>
  <c r="N662" i="15"/>
  <c r="Q662" i="15"/>
  <c r="R662" i="15"/>
  <c r="K663" i="15"/>
  <c r="L663" i="15"/>
  <c r="M663" i="15"/>
  <c r="O663" i="15"/>
  <c r="Q663" i="15"/>
  <c r="R663" i="15"/>
  <c r="K664" i="15"/>
  <c r="M664" i="15" s="1"/>
  <c r="L664" i="15"/>
  <c r="O664" i="15"/>
  <c r="Q664" i="15"/>
  <c r="R664" i="15"/>
  <c r="K665" i="15"/>
  <c r="L665" i="15"/>
  <c r="M665" i="15"/>
  <c r="Q665" i="15"/>
  <c r="R665" i="15"/>
  <c r="K666" i="15"/>
  <c r="M666" i="15" s="1"/>
  <c r="L666" i="15"/>
  <c r="O666" i="15"/>
  <c r="Q666" i="15"/>
  <c r="R666" i="15"/>
  <c r="I667" i="15"/>
  <c r="O667" i="15" s="1"/>
  <c r="K667" i="15"/>
  <c r="M667" i="15" s="1"/>
  <c r="L667" i="15"/>
  <c r="Q667" i="15"/>
  <c r="R667" i="15"/>
  <c r="K668" i="15"/>
  <c r="L668" i="15"/>
  <c r="M668" i="15"/>
  <c r="O668" i="15"/>
  <c r="Q668" i="15"/>
  <c r="R668" i="15"/>
  <c r="K669" i="15"/>
  <c r="M669" i="15" s="1"/>
  <c r="L669" i="15"/>
  <c r="O669" i="15"/>
  <c r="Q669" i="15"/>
  <c r="R669" i="15"/>
  <c r="I670" i="15"/>
  <c r="K670" i="15"/>
  <c r="M670" i="15" s="1"/>
  <c r="L670" i="15"/>
  <c r="N670" i="15"/>
  <c r="O670" i="15" s="1"/>
  <c r="Q670" i="15"/>
  <c r="R670" i="15"/>
  <c r="L671" i="15"/>
  <c r="M671" i="15"/>
  <c r="O671" i="15"/>
  <c r="Q671" i="15"/>
  <c r="R671" i="15"/>
  <c r="K634" i="15" l="1"/>
  <c r="M634" i="15" s="1"/>
  <c r="O381" i="15"/>
  <c r="P381" i="15"/>
  <c r="P382" i="15" s="1"/>
  <c r="P383" i="15" s="1"/>
  <c r="P384" i="15" s="1"/>
  <c r="P385" i="15" s="1"/>
  <c r="P386" i="15" s="1"/>
  <c r="P387" i="15" s="1"/>
  <c r="P388" i="15" s="1"/>
  <c r="P389" i="15" s="1"/>
  <c r="P390" i="15" s="1"/>
  <c r="P391" i="15" s="1"/>
  <c r="P392" i="15" s="1"/>
  <c r="P393" i="15" s="1"/>
  <c r="P394" i="15" s="1"/>
  <c r="P395" i="15" s="1"/>
  <c r="P396" i="15" s="1"/>
  <c r="P397" i="15" s="1"/>
  <c r="P398" i="15" s="1"/>
  <c r="P399" i="15" s="1"/>
  <c r="P400" i="15" s="1"/>
  <c r="P401" i="15" s="1"/>
  <c r="P402" i="15" s="1"/>
  <c r="P403" i="15" s="1"/>
  <c r="P404" i="15" s="1"/>
  <c r="P405" i="15" s="1"/>
  <c r="P406" i="15" s="1"/>
  <c r="P407" i="15" s="1"/>
  <c r="P408" i="15" s="1"/>
  <c r="P409" i="15" s="1"/>
  <c r="P410" i="15" s="1"/>
  <c r="P411" i="15" s="1"/>
  <c r="P412" i="15" s="1"/>
  <c r="P413" i="15" s="1"/>
  <c r="P414" i="15" s="1"/>
  <c r="P415" i="15" s="1"/>
  <c r="P416" i="15" s="1"/>
  <c r="P417" i="15" s="1"/>
  <c r="P418" i="15" s="1"/>
  <c r="P419" i="15" s="1"/>
  <c r="P420" i="15" s="1"/>
  <c r="P421" i="15" s="1"/>
  <c r="P422" i="15" s="1"/>
  <c r="P423" i="15" s="1"/>
  <c r="P424" i="15" s="1"/>
  <c r="P425" i="15" s="1"/>
  <c r="P426" i="15" s="1"/>
  <c r="P427" i="15" s="1"/>
  <c r="P428" i="15" s="1"/>
  <c r="P429" i="15" s="1"/>
  <c r="P430" i="15" s="1"/>
  <c r="P431" i="15" s="1"/>
  <c r="P432" i="15" s="1"/>
  <c r="P433" i="15" s="1"/>
  <c r="P434" i="15" s="1"/>
  <c r="P435" i="15" s="1"/>
  <c r="P436" i="15" s="1"/>
  <c r="P437" i="15" s="1"/>
  <c r="P438" i="15" s="1"/>
  <c r="P439" i="15" s="1"/>
  <c r="P440" i="15" s="1"/>
  <c r="P441" i="15" s="1"/>
  <c r="P442" i="15" s="1"/>
  <c r="P443" i="15" s="1"/>
  <c r="P444" i="15" s="1"/>
  <c r="P445" i="15" s="1"/>
  <c r="P446" i="15" s="1"/>
  <c r="P447" i="15" s="1"/>
  <c r="P448" i="15" s="1"/>
  <c r="P449" i="15" s="1"/>
  <c r="P450" i="15" s="1"/>
  <c r="P451" i="15" s="1"/>
  <c r="P452" i="15" s="1"/>
  <c r="P453" i="15" s="1"/>
  <c r="P454" i="15" s="1"/>
  <c r="P455" i="15" s="1"/>
  <c r="P456" i="15" s="1"/>
  <c r="P457" i="15" s="1"/>
  <c r="P458" i="15" s="1"/>
  <c r="P459" i="15" s="1"/>
  <c r="P460" i="15" s="1"/>
  <c r="P461" i="15" s="1"/>
  <c r="P462" i="15" s="1"/>
  <c r="P463" i="15" s="1"/>
  <c r="P464" i="15" s="1"/>
  <c r="P465" i="15" s="1"/>
  <c r="P466" i="15" s="1"/>
  <c r="P467" i="15" s="1"/>
  <c r="P468" i="15" s="1"/>
  <c r="P469" i="15" s="1"/>
  <c r="P470" i="15" s="1"/>
  <c r="P471" i="15" s="1"/>
  <c r="P472" i="15" s="1"/>
  <c r="P473" i="15" s="1"/>
  <c r="P474" i="15" s="1"/>
  <c r="P475" i="15" s="1"/>
  <c r="P476" i="15" s="1"/>
  <c r="P477" i="15" s="1"/>
  <c r="P478" i="15" s="1"/>
  <c r="P479" i="15" s="1"/>
  <c r="P480" i="15" s="1"/>
  <c r="P481" i="15" s="1"/>
  <c r="P482" i="15" s="1"/>
  <c r="P483" i="15" s="1"/>
  <c r="P484" i="15" s="1"/>
  <c r="P485" i="15" s="1"/>
  <c r="P486" i="15" s="1"/>
  <c r="P487" i="15" s="1"/>
  <c r="P488" i="15" s="1"/>
  <c r="P489" i="15" s="1"/>
  <c r="P490" i="15" s="1"/>
  <c r="P491" i="15" s="1"/>
  <c r="P492" i="15" s="1"/>
  <c r="P493" i="15" s="1"/>
  <c r="P494" i="15" s="1"/>
  <c r="P495" i="15" s="1"/>
  <c r="P496" i="15" s="1"/>
  <c r="P497" i="15" s="1"/>
  <c r="P498" i="15" s="1"/>
  <c r="P499" i="15" s="1"/>
  <c r="P500" i="15" s="1"/>
  <c r="P501" i="15" s="1"/>
  <c r="P502" i="15" s="1"/>
  <c r="P503" i="15" s="1"/>
  <c r="P504" i="15" s="1"/>
  <c r="P505" i="15" s="1"/>
  <c r="P506" i="15" s="1"/>
  <c r="P507" i="15" s="1"/>
  <c r="P508" i="15" s="1"/>
  <c r="P509" i="15" s="1"/>
  <c r="P510" i="15" s="1"/>
  <c r="P511" i="15" s="1"/>
  <c r="P512" i="15" s="1"/>
  <c r="P513" i="15" s="1"/>
  <c r="P514" i="15" s="1"/>
  <c r="P515" i="15" s="1"/>
  <c r="P516" i="15" s="1"/>
  <c r="P517" i="15" s="1"/>
  <c r="P518" i="15" s="1"/>
  <c r="P519" i="15" s="1"/>
  <c r="P520" i="15" s="1"/>
  <c r="P521" i="15" s="1"/>
  <c r="P522" i="15" s="1"/>
  <c r="P523" i="15" s="1"/>
  <c r="P524" i="15" s="1"/>
  <c r="P525" i="15" s="1"/>
  <c r="P526" i="15" s="1"/>
  <c r="P527" i="15" s="1"/>
  <c r="P528" i="15" s="1"/>
  <c r="P529" i="15" s="1"/>
  <c r="P530" i="15" s="1"/>
  <c r="P531" i="15" s="1"/>
  <c r="P532" i="15" s="1"/>
  <c r="P533" i="15" s="1"/>
  <c r="P534" i="15" s="1"/>
  <c r="P535" i="15" s="1"/>
  <c r="P536" i="15" s="1"/>
  <c r="P537" i="15" s="1"/>
  <c r="P538" i="15" s="1"/>
  <c r="P539" i="15" s="1"/>
  <c r="P540" i="15" s="1"/>
  <c r="P541" i="15" s="1"/>
  <c r="P542" i="15" s="1"/>
  <c r="P543" i="15" s="1"/>
  <c r="P544" i="15" s="1"/>
  <c r="P545" i="15" s="1"/>
  <c r="P546" i="15" s="1"/>
  <c r="P547" i="15" s="1"/>
  <c r="P548" i="15" s="1"/>
  <c r="P549" i="15" s="1"/>
  <c r="P550" i="15" s="1"/>
  <c r="P551" i="15" s="1"/>
  <c r="P552" i="15" s="1"/>
  <c r="P553" i="15" s="1"/>
  <c r="P554" i="15" s="1"/>
  <c r="P555" i="15" s="1"/>
  <c r="P556" i="15" s="1"/>
  <c r="P557" i="15" s="1"/>
  <c r="P558" i="15" s="1"/>
  <c r="P559" i="15" s="1"/>
  <c r="P560" i="15" s="1"/>
  <c r="P561" i="15" s="1"/>
  <c r="P562" i="15" s="1"/>
  <c r="P563" i="15" s="1"/>
  <c r="P564" i="15" s="1"/>
  <c r="P565" i="15" s="1"/>
  <c r="P566" i="15" s="1"/>
  <c r="P567" i="15" s="1"/>
  <c r="P568" i="15" s="1"/>
  <c r="P569" i="15" s="1"/>
  <c r="P570" i="15" s="1"/>
  <c r="P571" i="15" s="1"/>
  <c r="P572" i="15" s="1"/>
  <c r="P573" i="15" s="1"/>
  <c r="P574" i="15" s="1"/>
  <c r="P575" i="15" s="1"/>
  <c r="P576" i="15" s="1"/>
  <c r="P577" i="15" s="1"/>
  <c r="P578" i="15" s="1"/>
  <c r="P579" i="15" s="1"/>
  <c r="P580" i="15" s="1"/>
  <c r="P581" i="15" s="1"/>
  <c r="P582" i="15" s="1"/>
  <c r="P583" i="15" s="1"/>
  <c r="P584" i="15" s="1"/>
  <c r="P585" i="15" s="1"/>
  <c r="P586" i="15" s="1"/>
  <c r="P587" i="15" s="1"/>
  <c r="P588" i="15" s="1"/>
  <c r="P589" i="15" s="1"/>
  <c r="P590" i="15" s="1"/>
  <c r="P591" i="15" s="1"/>
  <c r="P592" i="15" s="1"/>
  <c r="P593" i="15" s="1"/>
  <c r="P594" i="15" s="1"/>
  <c r="P595" i="15" s="1"/>
  <c r="P596" i="15" s="1"/>
  <c r="P597" i="15" s="1"/>
  <c r="P598" i="15" s="1"/>
  <c r="P599" i="15" s="1"/>
  <c r="P600" i="15" s="1"/>
  <c r="K635" i="15"/>
  <c r="M635" i="15" s="1"/>
  <c r="K625" i="15"/>
  <c r="M625" i="15" s="1"/>
  <c r="M601" i="15"/>
  <c r="N601" i="15"/>
  <c r="O519" i="15"/>
  <c r="O510" i="15"/>
  <c r="K650" i="15"/>
  <c r="M650" i="15" s="1"/>
  <c r="O449" i="15"/>
  <c r="K629" i="15"/>
  <c r="M629" i="15" s="1"/>
  <c r="K662" i="15"/>
  <c r="M662" i="15" s="1"/>
  <c r="O662" i="15" s="1"/>
  <c r="L607" i="15"/>
  <c r="N665" i="15"/>
  <c r="O665" i="15" l="1"/>
  <c r="O601" i="15"/>
  <c r="P601" i="15"/>
  <c r="P602" i="15" s="1"/>
  <c r="P603" i="15" s="1"/>
  <c r="P604" i="15" s="1"/>
  <c r="P605" i="15" s="1"/>
  <c r="P606" i="15" s="1"/>
  <c r="P607" i="15" s="1"/>
  <c r="P608" i="15" s="1"/>
  <c r="P609" i="15" s="1"/>
  <c r="P610" i="15" s="1"/>
  <c r="P611" i="15" s="1"/>
  <c r="P612" i="15" s="1"/>
  <c r="P613" i="15" s="1"/>
  <c r="P614" i="15" s="1"/>
  <c r="P615" i="15" s="1"/>
  <c r="P616" i="15" s="1"/>
  <c r="P617" i="15" s="1"/>
  <c r="P618" i="15" s="1"/>
  <c r="P619" i="15" s="1"/>
  <c r="P620" i="15" s="1"/>
  <c r="P621" i="15" s="1"/>
  <c r="P622" i="15" s="1"/>
  <c r="P623" i="15" s="1"/>
  <c r="P624" i="15" s="1"/>
  <c r="P625" i="15" s="1"/>
  <c r="P626" i="15" s="1"/>
  <c r="P627" i="15" s="1"/>
  <c r="P628" i="15" s="1"/>
  <c r="P629" i="15" s="1"/>
  <c r="P630" i="15" s="1"/>
  <c r="P631" i="15" s="1"/>
  <c r="P632" i="15" s="1"/>
  <c r="P633" i="15" s="1"/>
  <c r="P634" i="15" s="1"/>
  <c r="P635" i="15" s="1"/>
  <c r="P636" i="15" s="1"/>
  <c r="P637" i="15" s="1"/>
  <c r="P638" i="15" s="1"/>
  <c r="P639" i="15" s="1"/>
  <c r="P640" i="15" s="1"/>
  <c r="P641" i="15" s="1"/>
  <c r="P642" i="15" s="1"/>
  <c r="P643" i="15" s="1"/>
  <c r="P644" i="15" s="1"/>
  <c r="P645" i="15" s="1"/>
  <c r="P646" i="15" s="1"/>
  <c r="P647" i="15" s="1"/>
  <c r="P648" i="15" s="1"/>
  <c r="P649" i="15" s="1"/>
  <c r="P650" i="15" s="1"/>
  <c r="P651" i="15" s="1"/>
  <c r="P652" i="15" s="1"/>
  <c r="P653" i="15" s="1"/>
  <c r="P654" i="15" s="1"/>
  <c r="P655" i="15" s="1"/>
  <c r="P656" i="15" s="1"/>
  <c r="P657" i="15" s="1"/>
  <c r="P658" i="15" s="1"/>
  <c r="P659" i="15" s="1"/>
  <c r="P660" i="15" s="1"/>
  <c r="P661" i="15" s="1"/>
  <c r="P662" i="15" s="1"/>
  <c r="P663" i="15" s="1"/>
  <c r="P664" i="15" s="1"/>
  <c r="P665" i="15" s="1"/>
  <c r="P666" i="15" s="1"/>
  <c r="P667" i="15" s="1"/>
  <c r="P668" i="15" s="1"/>
  <c r="P669" i="15" s="1"/>
  <c r="P670" i="15" s="1"/>
  <c r="P671" i="15" s="1"/>
  <c r="P672" i="15" s="1"/>
  <c r="P673" i="15" s="1"/>
  <c r="P674" i="15" s="1"/>
  <c r="Z2" i="2"/>
  <c r="Z2" i="3"/>
  <c r="O26" i="2"/>
  <c r="O27" i="2" s="1"/>
  <c r="O28" i="2" s="1"/>
  <c r="O29" i="2" s="1"/>
  <c r="O30" i="2" s="1"/>
  <c r="O31" i="2" s="1"/>
  <c r="O32" i="2" s="1"/>
  <c r="O33" i="2" s="1"/>
  <c r="O34" i="2" s="1"/>
  <c r="O35" i="2" s="1"/>
  <c r="O36" i="2" s="1"/>
  <c r="O37" i="2" s="1"/>
  <c r="O38" i="2" s="1"/>
  <c r="O14" i="3"/>
  <c r="O15" i="3"/>
  <c r="O16" i="3" s="1"/>
  <c r="O17" i="3" s="1"/>
  <c r="O18" i="3" s="1"/>
  <c r="O19" i="3" s="1"/>
  <c r="O20" i="3" s="1"/>
  <c r="O21" i="3" s="1"/>
  <c r="O22" i="3" s="1"/>
  <c r="O23" i="3" s="1"/>
  <c r="O24" i="3" s="1"/>
  <c r="O43" i="24"/>
  <c r="O44" i="24"/>
  <c r="O45" i="24" s="1"/>
  <c r="O46" i="24" s="1"/>
  <c r="O47" i="24" s="1"/>
  <c r="O48" i="24" s="1"/>
  <c r="O49" i="24" s="1"/>
  <c r="O50" i="24" s="1"/>
  <c r="O51" i="24" s="1"/>
  <c r="O52" i="24" s="1"/>
  <c r="O53" i="24" s="1"/>
  <c r="O54" i="24" s="1"/>
  <c r="O55" i="24" s="1"/>
  <c r="O56" i="24" s="1"/>
  <c r="P21" i="13" l="1"/>
  <c r="O21" i="13"/>
  <c r="L21" i="13"/>
  <c r="M21" i="13"/>
  <c r="N21" i="13"/>
  <c r="Q21" i="13"/>
  <c r="R21" i="13"/>
  <c r="W2" i="24"/>
  <c r="Z2" i="24"/>
  <c r="U17" i="13" s="1"/>
  <c r="Z2" i="25"/>
  <c r="O14" i="27"/>
  <c r="O15" i="27" s="1"/>
  <c r="O16" i="27" s="1"/>
  <c r="O17" i="27" s="1"/>
  <c r="O18" i="27" s="1"/>
  <c r="O19" i="27" s="1"/>
  <c r="O20" i="27" s="1"/>
  <c r="O21" i="27" s="1"/>
  <c r="O22" i="27" s="1"/>
  <c r="O23" i="27" s="1"/>
  <c r="O24" i="27" s="1"/>
  <c r="O25" i="27" s="1"/>
  <c r="O26" i="27" s="1"/>
  <c r="O27" i="27" s="1"/>
  <c r="Z2" i="27"/>
  <c r="X2" i="27"/>
  <c r="W2" i="27"/>
  <c r="Y2" i="27" s="1"/>
  <c r="U2" i="27"/>
  <c r="T2" i="27"/>
  <c r="V2" i="27" s="1"/>
  <c r="S2" i="27"/>
  <c r="R2" i="27"/>
  <c r="Q2" i="27"/>
  <c r="O2" i="27"/>
  <c r="O3" i="27" s="1"/>
  <c r="O4" i="27" s="1"/>
  <c r="O5" i="27" s="1"/>
  <c r="O6" i="27" s="1"/>
  <c r="O7" i="27" s="1"/>
  <c r="O8" i="27" s="1"/>
  <c r="O9" i="27" s="1"/>
  <c r="O10" i="27" s="1"/>
  <c r="O11" i="27" s="1"/>
  <c r="O12" i="27" s="1"/>
  <c r="O13" i="27" s="1"/>
  <c r="M9" i="13"/>
  <c r="N9" i="13"/>
  <c r="O9" i="13"/>
  <c r="P9" i="13"/>
  <c r="Q9" i="13"/>
  <c r="R9" i="13"/>
  <c r="S9" i="13"/>
  <c r="T9" i="13"/>
  <c r="U9" i="13"/>
  <c r="L9" i="13"/>
  <c r="O2" i="24"/>
  <c r="Q2" i="24"/>
  <c r="R2" i="24" s="1"/>
  <c r="M17" i="13" s="1"/>
  <c r="O3" i="24"/>
  <c r="O4" i="24" s="1"/>
  <c r="O5" i="24" s="1"/>
  <c r="O6" i="24" s="1"/>
  <c r="O7" i="24" s="1"/>
  <c r="O8" i="24" s="1"/>
  <c r="O9" i="24" s="1"/>
  <c r="O10" i="24" s="1"/>
  <c r="O11" i="24" s="1"/>
  <c r="O12" i="24" s="1"/>
  <c r="O13" i="24" s="1"/>
  <c r="O14" i="24" s="1"/>
  <c r="O15" i="24" s="1"/>
  <c r="O16" i="24" s="1"/>
  <c r="O17" i="24" s="1"/>
  <c r="O18" i="24" s="1"/>
  <c r="O19" i="24" s="1"/>
  <c r="O20" i="24" s="1"/>
  <c r="O21" i="24" s="1"/>
  <c r="O22" i="24" s="1"/>
  <c r="O23" i="24" s="1"/>
  <c r="O24" i="24" s="1"/>
  <c r="O25" i="24" s="1"/>
  <c r="O26" i="24" s="1"/>
  <c r="O27" i="24" s="1"/>
  <c r="O28" i="24" s="1"/>
  <c r="O29" i="24" s="1"/>
  <c r="O30" i="24" s="1"/>
  <c r="O31" i="24" s="1"/>
  <c r="O32" i="24" s="1"/>
  <c r="O33" i="24" s="1"/>
  <c r="O34" i="24" s="1"/>
  <c r="O35" i="24" s="1"/>
  <c r="O36" i="24" s="1"/>
  <c r="O37" i="24" s="1"/>
  <c r="O38" i="24" s="1"/>
  <c r="O39" i="24" s="1"/>
  <c r="O40" i="24" s="1"/>
  <c r="O41" i="24" s="1"/>
  <c r="O42" i="24" s="1"/>
  <c r="X2" i="25"/>
  <c r="W2" i="25"/>
  <c r="U2" i="25"/>
  <c r="T2" i="25"/>
  <c r="S2" i="25"/>
  <c r="Q2" i="25"/>
  <c r="R2" i="25" s="1"/>
  <c r="O2" i="25"/>
  <c r="O3" i="25" s="1"/>
  <c r="O4" i="25" s="1"/>
  <c r="O5" i="25" s="1"/>
  <c r="O6" i="25" s="1"/>
  <c r="O7" i="25" s="1"/>
  <c r="O8" i="25" s="1"/>
  <c r="O9" i="25" s="1"/>
  <c r="O10" i="25" s="1"/>
  <c r="O11" i="25" s="1"/>
  <c r="O12" i="25" s="1"/>
  <c r="O13" i="25" s="1"/>
  <c r="O14" i="25" s="1"/>
  <c r="O15" i="25" s="1"/>
  <c r="O16" i="25" s="1"/>
  <c r="O17" i="25" s="1"/>
  <c r="O18" i="25" s="1"/>
  <c r="O19" i="25" s="1"/>
  <c r="O20" i="25" s="1"/>
  <c r="O21" i="25" s="1"/>
  <c r="O22" i="25" s="1"/>
  <c r="O23" i="25" s="1"/>
  <c r="O24" i="25" s="1"/>
  <c r="O25" i="25" s="1"/>
  <c r="O26" i="25" s="1"/>
  <c r="O27" i="25" s="1"/>
  <c r="O28" i="25" s="1"/>
  <c r="O29" i="25" s="1"/>
  <c r="O30" i="25" s="1"/>
  <c r="O31" i="25" s="1"/>
  <c r="O32" i="25" s="1"/>
  <c r="O33" i="25" s="1"/>
  <c r="O34" i="25" s="1"/>
  <c r="O35" i="25" s="1"/>
  <c r="O36" i="25" s="1"/>
  <c r="O37" i="25" s="1"/>
  <c r="O38" i="25" s="1"/>
  <c r="O39" i="25" s="1"/>
  <c r="O40" i="25" s="1"/>
  <c r="O41" i="25" s="1"/>
  <c r="O42" i="25" s="1"/>
  <c r="O43" i="25" s="1"/>
  <c r="O44" i="25" s="1"/>
  <c r="O45" i="25" s="1"/>
  <c r="O46" i="25" s="1"/>
  <c r="O47" i="25" s="1"/>
  <c r="O48" i="25" s="1"/>
  <c r="X2" i="24"/>
  <c r="S17" i="13" s="1"/>
  <c r="U2" i="24"/>
  <c r="P17" i="13" s="1"/>
  <c r="T2" i="24"/>
  <c r="O17" i="13" s="1"/>
  <c r="S2" i="24"/>
  <c r="N17" i="13" s="1"/>
  <c r="M13" i="13"/>
  <c r="N13" i="13"/>
  <c r="O13" i="13"/>
  <c r="P13" i="13"/>
  <c r="Q13" i="13"/>
  <c r="R13" i="13"/>
  <c r="S13" i="13"/>
  <c r="T13" i="13"/>
  <c r="U13" i="13"/>
  <c r="L13" i="13"/>
  <c r="M5" i="13"/>
  <c r="N5" i="13"/>
  <c r="O5" i="13"/>
  <c r="P5" i="13"/>
  <c r="Q5" i="13"/>
  <c r="R5" i="13"/>
  <c r="S5" i="13"/>
  <c r="T5" i="13"/>
  <c r="U5" i="13"/>
  <c r="L5" i="13"/>
  <c r="O6" i="23"/>
  <c r="O2" i="23"/>
  <c r="O3" i="23" s="1"/>
  <c r="O4" i="23" s="1"/>
  <c r="O5" i="23" s="1"/>
  <c r="Z2" i="23"/>
  <c r="X2" i="23"/>
  <c r="W2" i="23"/>
  <c r="U2" i="23"/>
  <c r="T2" i="23"/>
  <c r="V2" i="23" s="1"/>
  <c r="S2" i="23"/>
  <c r="Q2" i="23"/>
  <c r="R2" i="23" s="1"/>
  <c r="O2" i="22"/>
  <c r="Q2" i="22"/>
  <c r="O3" i="22"/>
  <c r="O4" i="22" s="1"/>
  <c r="O5" i="22" s="1"/>
  <c r="O6" i="22" s="1"/>
  <c r="O7" i="22" s="1"/>
  <c r="O8" i="22" s="1"/>
  <c r="O9" i="22" s="1"/>
  <c r="O10" i="22" s="1"/>
  <c r="O11" i="22" s="1"/>
  <c r="O12" i="22" s="1"/>
  <c r="O13" i="22" s="1"/>
  <c r="O14" i="22" s="1"/>
  <c r="O15" i="22" s="1"/>
  <c r="O16" i="22" s="1"/>
  <c r="O17" i="22" s="1"/>
  <c r="O18" i="22" s="1"/>
  <c r="O19" i="22" s="1"/>
  <c r="Z2" i="22"/>
  <c r="X2" i="22"/>
  <c r="W2" i="22"/>
  <c r="Y2" i="22" s="1"/>
  <c r="U2" i="22"/>
  <c r="T2" i="22"/>
  <c r="S2" i="22"/>
  <c r="R2" i="22"/>
  <c r="AF2" i="8"/>
  <c r="AD2" i="8"/>
  <c r="AC2" i="8"/>
  <c r="AA2" i="8"/>
  <c r="Z2" i="8"/>
  <c r="Y2" i="8"/>
  <c r="W2" i="8"/>
  <c r="X2" i="8" s="1"/>
  <c r="R3" i="8"/>
  <c r="R4" i="8" s="1"/>
  <c r="R5" i="8" s="1"/>
  <c r="R6" i="8" s="1"/>
  <c r="R7" i="8" s="1"/>
  <c r="R8" i="8" s="1"/>
  <c r="R9" i="8" s="1"/>
  <c r="R10" i="8" s="1"/>
  <c r="R11" i="8" s="1"/>
  <c r="R12" i="8" s="1"/>
  <c r="R13" i="8" s="1"/>
  <c r="R14" i="8" s="1"/>
  <c r="R15" i="8" s="1"/>
  <c r="R16" i="8" s="1"/>
  <c r="R17" i="8" s="1"/>
  <c r="R18" i="8" s="1"/>
  <c r="R19" i="8" s="1"/>
  <c r="R20" i="8" s="1"/>
  <c r="R21" i="8" s="1"/>
  <c r="R22" i="8" s="1"/>
  <c r="R23" i="8" s="1"/>
  <c r="R24" i="8" s="1"/>
  <c r="R25" i="8" s="1"/>
  <c r="R26" i="8" s="1"/>
  <c r="R27" i="8" s="1"/>
  <c r="R28" i="8" s="1"/>
  <c r="R29" i="8" s="1"/>
  <c r="R30" i="8" s="1"/>
  <c r="R31" i="8" s="1"/>
  <c r="R32" i="8" s="1"/>
  <c r="R33" i="8" s="1"/>
  <c r="R34" i="8" s="1"/>
  <c r="R35" i="8" s="1"/>
  <c r="R36" i="8" s="1"/>
  <c r="R37" i="8" s="1"/>
  <c r="R38" i="8" s="1"/>
  <c r="R39" i="8" s="1"/>
  <c r="R40" i="8" s="1"/>
  <c r="R41" i="8" s="1"/>
  <c r="R42" i="8" s="1"/>
  <c r="R43" i="8" s="1"/>
  <c r="R44" i="8" s="1"/>
  <c r="R45" i="8" s="1"/>
  <c r="R46" i="8" s="1"/>
  <c r="R47" i="8" s="1"/>
  <c r="R48" i="8" s="1"/>
  <c r="R49" i="8" s="1"/>
  <c r="R50" i="8" s="1"/>
  <c r="R51" i="8" s="1"/>
  <c r="R52" i="8" s="1"/>
  <c r="R53" i="8" s="1"/>
  <c r="R54" i="8" s="1"/>
  <c r="R55" i="8" s="1"/>
  <c r="R56" i="8" s="1"/>
  <c r="R57" i="8" s="1"/>
  <c r="R58" i="8" s="1"/>
  <c r="R59" i="8" s="1"/>
  <c r="R60" i="8" s="1"/>
  <c r="R61" i="8" s="1"/>
  <c r="R62" i="8" s="1"/>
  <c r="R63" i="8" s="1"/>
  <c r="R64" i="8" s="1"/>
  <c r="R65" i="8" s="1"/>
  <c r="R66" i="8" s="1"/>
  <c r="R67" i="8" s="1"/>
  <c r="R68" i="8" s="1"/>
  <c r="R69" i="8" s="1"/>
  <c r="R70" i="8" s="1"/>
  <c r="R71" i="8" s="1"/>
  <c r="R72" i="8" s="1"/>
  <c r="R73" i="8" s="1"/>
  <c r="R74" i="8" s="1"/>
  <c r="R75" i="8" s="1"/>
  <c r="R76" i="8" s="1"/>
  <c r="R77" i="8" s="1"/>
  <c r="R78" i="8" s="1"/>
  <c r="R79" i="8" s="1"/>
  <c r="R80" i="8" s="1"/>
  <c r="R81" i="8" s="1"/>
  <c r="R82" i="8" s="1"/>
  <c r="R83" i="8" s="1"/>
  <c r="R84" i="8" s="1"/>
  <c r="R85" i="8" s="1"/>
  <c r="R86" i="8" s="1"/>
  <c r="R87" i="8" s="1"/>
  <c r="R88" i="8" s="1"/>
  <c r="R89" i="8" s="1"/>
  <c r="R90" i="8" s="1"/>
  <c r="R91" i="8" s="1"/>
  <c r="R92" i="8" s="1"/>
  <c r="R93" i="8" s="1"/>
  <c r="R94" i="8" s="1"/>
  <c r="R95" i="8" s="1"/>
  <c r="R96" i="8" s="1"/>
  <c r="R97" i="8" s="1"/>
  <c r="R98" i="8" s="1"/>
  <c r="R99" i="8" s="1"/>
  <c r="R100" i="8" s="1"/>
  <c r="R101" i="8" s="1"/>
  <c r="R102" i="8" s="1"/>
  <c r="R103" i="8" s="1"/>
  <c r="R104" i="8" s="1"/>
  <c r="R105" i="8" s="1"/>
  <c r="R106" i="8" s="1"/>
  <c r="R107" i="8" s="1"/>
  <c r="R108" i="8" s="1"/>
  <c r="R109" i="8" s="1"/>
  <c r="R110" i="8" s="1"/>
  <c r="R111" i="8" s="1"/>
  <c r="R112" i="8" s="1"/>
  <c r="R113" i="8" s="1"/>
  <c r="R114" i="8" s="1"/>
  <c r="R115" i="8" s="1"/>
  <c r="R116" i="8" s="1"/>
  <c r="R117" i="8" s="1"/>
  <c r="R118" i="8" s="1"/>
  <c r="R119" i="8" s="1"/>
  <c r="R120" i="8" s="1"/>
  <c r="R121" i="8" s="1"/>
  <c r="R122" i="8" s="1"/>
  <c r="R123" i="8" s="1"/>
  <c r="R124" i="8" s="1"/>
  <c r="R125" i="8" s="1"/>
  <c r="R126" i="8" s="1"/>
  <c r="R127" i="8" s="1"/>
  <c r="R128" i="8" s="1"/>
  <c r="R129" i="8" s="1"/>
  <c r="R130" i="8" s="1"/>
  <c r="R131" i="8" s="1"/>
  <c r="R132" i="8" s="1"/>
  <c r="R133" i="8" s="1"/>
  <c r="R134" i="8" s="1"/>
  <c r="R135" i="8" s="1"/>
  <c r="R136" i="8" s="1"/>
  <c r="R137" i="8" s="1"/>
  <c r="R138" i="8" s="1"/>
  <c r="R139" i="8" s="1"/>
  <c r="R140" i="8" s="1"/>
  <c r="R141" i="8" s="1"/>
  <c r="R142" i="8" s="1"/>
  <c r="R143" i="8" s="1"/>
  <c r="R144" i="8" s="1"/>
  <c r="R145" i="8" s="1"/>
  <c r="R146" i="8" s="1"/>
  <c r="R147" i="8" s="1"/>
  <c r="R148" i="8" s="1"/>
  <c r="R149" i="8" s="1"/>
  <c r="R150" i="8" s="1"/>
  <c r="R151" i="8" s="1"/>
  <c r="R152" i="8" s="1"/>
  <c r="R153" i="8" s="1"/>
  <c r="R154" i="8" s="1"/>
  <c r="R155" i="8" s="1"/>
  <c r="R156" i="8" s="1"/>
  <c r="R157" i="8" s="1"/>
  <c r="R158" i="8" s="1"/>
  <c r="R159" i="8" s="1"/>
  <c r="R160" i="8" s="1"/>
  <c r="R161" i="8" s="1"/>
  <c r="R162" i="8" s="1"/>
  <c r="R163" i="8" s="1"/>
  <c r="R164" i="8" s="1"/>
  <c r="R165" i="8" s="1"/>
  <c r="R166" i="8" s="1"/>
  <c r="R167" i="8" s="1"/>
  <c r="R168" i="8" s="1"/>
  <c r="R169" i="8" s="1"/>
  <c r="R170" i="8" s="1"/>
  <c r="R171" i="8" s="1"/>
  <c r="R172" i="8" s="1"/>
  <c r="R173" i="8" s="1"/>
  <c r="R174" i="8" s="1"/>
  <c r="R175" i="8" s="1"/>
  <c r="R176" i="8" s="1"/>
  <c r="R177" i="8" s="1"/>
  <c r="R178" i="8" s="1"/>
  <c r="R179" i="8" s="1"/>
  <c r="R180" i="8" s="1"/>
  <c r="R181" i="8" s="1"/>
  <c r="R182" i="8" s="1"/>
  <c r="R183" i="8" s="1"/>
  <c r="R184" i="8" s="1"/>
  <c r="R185" i="8" s="1"/>
  <c r="R186" i="8" s="1"/>
  <c r="R187" i="8" s="1"/>
  <c r="R188" i="8" s="1"/>
  <c r="R189" i="8" s="1"/>
  <c r="R190" i="8" s="1"/>
  <c r="R191" i="8" s="1"/>
  <c r="R192" i="8" s="1"/>
  <c r="R193" i="8" s="1"/>
  <c r="R194" i="8" s="1"/>
  <c r="R195" i="8" s="1"/>
  <c r="R196" i="8" s="1"/>
  <c r="R197" i="8" s="1"/>
  <c r="R198" i="8" s="1"/>
  <c r="R199" i="8" s="1"/>
  <c r="R200" i="8" s="1"/>
  <c r="R201" i="8" s="1"/>
  <c r="R202" i="8" s="1"/>
  <c r="R203" i="8" s="1"/>
  <c r="R204" i="8" s="1"/>
  <c r="R205" i="8" s="1"/>
  <c r="R206" i="8" s="1"/>
  <c r="R207" i="8" s="1"/>
  <c r="R208" i="8" s="1"/>
  <c r="R209" i="8" s="1"/>
  <c r="R210" i="8" s="1"/>
  <c r="R211" i="8" s="1"/>
  <c r="R212" i="8" s="1"/>
  <c r="R213" i="8" s="1"/>
  <c r="R214" i="8" s="1"/>
  <c r="R215" i="8" s="1"/>
  <c r="R216" i="8" s="1"/>
  <c r="R217" i="8" s="1"/>
  <c r="R218" i="8" s="1"/>
  <c r="R219" i="8" s="1"/>
  <c r="R220" i="8" s="1"/>
  <c r="R221" i="8" s="1"/>
  <c r="R222" i="8" s="1"/>
  <c r="R223" i="8" s="1"/>
  <c r="R224" i="8" s="1"/>
  <c r="R225" i="8" s="1"/>
  <c r="R226" i="8" s="1"/>
  <c r="R227" i="8" s="1"/>
  <c r="R228" i="8" s="1"/>
  <c r="R229" i="8" s="1"/>
  <c r="R230" i="8" s="1"/>
  <c r="R231" i="8" s="1"/>
  <c r="R232" i="8" s="1"/>
  <c r="R233" i="8" s="1"/>
  <c r="R234" i="8" s="1"/>
  <c r="R235" i="8" s="1"/>
  <c r="R236" i="8" s="1"/>
  <c r="R237" i="8" s="1"/>
  <c r="R238" i="8" s="1"/>
  <c r="R239" i="8" s="1"/>
  <c r="R240" i="8" s="1"/>
  <c r="R241" i="8" s="1"/>
  <c r="R242" i="8" s="1"/>
  <c r="R243" i="8" s="1"/>
  <c r="R244" i="8" s="1"/>
  <c r="R245" i="8" s="1"/>
  <c r="R246" i="8" s="1"/>
  <c r="R247" i="8" s="1"/>
  <c r="R248" i="8" s="1"/>
  <c r="Q3" i="8"/>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Q230" i="8" s="1"/>
  <c r="Q231" i="8" s="1"/>
  <c r="Q232" i="8" s="1"/>
  <c r="Q233" i="8" s="1"/>
  <c r="Q234" i="8" s="1"/>
  <c r="Q235" i="8" s="1"/>
  <c r="Q236" i="8" s="1"/>
  <c r="Q237" i="8" s="1"/>
  <c r="Q238" i="8" s="1"/>
  <c r="Q239" i="8" s="1"/>
  <c r="Q240" i="8" s="1"/>
  <c r="Q241" i="8" s="1"/>
  <c r="Q242" i="8" s="1"/>
  <c r="Q243" i="8" s="1"/>
  <c r="Q244" i="8" s="1"/>
  <c r="Q245" i="8" s="1"/>
  <c r="Q246" i="8" s="1"/>
  <c r="Q247" i="8" s="1"/>
  <c r="Q248" i="8" s="1"/>
  <c r="P2" i="8"/>
  <c r="P3" i="8" s="1"/>
  <c r="P4" i="8" s="1"/>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P43" i="8" s="1"/>
  <c r="P44" i="8" s="1"/>
  <c r="P45" i="8" s="1"/>
  <c r="P46" i="8" s="1"/>
  <c r="P47" i="8" s="1"/>
  <c r="P48" i="8" s="1"/>
  <c r="P49" i="8" s="1"/>
  <c r="P50" i="8" s="1"/>
  <c r="P51" i="8" s="1"/>
  <c r="P52" i="8" s="1"/>
  <c r="P53" i="8" s="1"/>
  <c r="P54" i="8" s="1"/>
  <c r="P55" i="8" s="1"/>
  <c r="P56" i="8" s="1"/>
  <c r="P57" i="8" s="1"/>
  <c r="P58" i="8" s="1"/>
  <c r="P59" i="8" s="1"/>
  <c r="P60" i="8" s="1"/>
  <c r="P61" i="8" s="1"/>
  <c r="P62" i="8" s="1"/>
  <c r="P63" i="8" s="1"/>
  <c r="P64" i="8" s="1"/>
  <c r="P65" i="8" s="1"/>
  <c r="P66" i="8" s="1"/>
  <c r="P67" i="8" s="1"/>
  <c r="P68" i="8" s="1"/>
  <c r="P69" i="8" s="1"/>
  <c r="P70" i="8" s="1"/>
  <c r="P71" i="8" s="1"/>
  <c r="P72" i="8" s="1"/>
  <c r="P73" i="8" s="1"/>
  <c r="P74" i="8" s="1"/>
  <c r="P75" i="8" s="1"/>
  <c r="P76" i="8" s="1"/>
  <c r="P77" i="8" s="1"/>
  <c r="P78" i="8" s="1"/>
  <c r="P79" i="8" s="1"/>
  <c r="P80" i="8" s="1"/>
  <c r="P81" i="8" s="1"/>
  <c r="P82" i="8" s="1"/>
  <c r="P83" i="8" s="1"/>
  <c r="P84" i="8" s="1"/>
  <c r="P85" i="8" s="1"/>
  <c r="P86" i="8" s="1"/>
  <c r="P87" i="8" s="1"/>
  <c r="P88" i="8" s="1"/>
  <c r="P89" i="8" s="1"/>
  <c r="P90" i="8" s="1"/>
  <c r="P91" i="8" s="1"/>
  <c r="P92" i="8" s="1"/>
  <c r="P93" i="8" s="1"/>
  <c r="P94" i="8" s="1"/>
  <c r="P95" i="8" s="1"/>
  <c r="P96" i="8" s="1"/>
  <c r="P97" i="8" s="1"/>
  <c r="P98" i="8" s="1"/>
  <c r="P99" i="8" s="1"/>
  <c r="P100" i="8" s="1"/>
  <c r="P101" i="8" s="1"/>
  <c r="P102" i="8" s="1"/>
  <c r="P103" i="8" s="1"/>
  <c r="P104" i="8" s="1"/>
  <c r="P105" i="8" s="1"/>
  <c r="P106" i="8" s="1"/>
  <c r="P107" i="8" s="1"/>
  <c r="P108" i="8" s="1"/>
  <c r="P109" i="8" s="1"/>
  <c r="P110" i="8" s="1"/>
  <c r="P111" i="8" s="1"/>
  <c r="P112" i="8" s="1"/>
  <c r="P113" i="8" s="1"/>
  <c r="P114" i="8" s="1"/>
  <c r="P115" i="8" s="1"/>
  <c r="P116" i="8" s="1"/>
  <c r="P117" i="8" s="1"/>
  <c r="P118" i="8" s="1"/>
  <c r="P119" i="8" s="1"/>
  <c r="P120" i="8" s="1"/>
  <c r="P121" i="8" s="1"/>
  <c r="P122" i="8" s="1"/>
  <c r="P123" i="8" s="1"/>
  <c r="P124" i="8" s="1"/>
  <c r="P125" i="8" s="1"/>
  <c r="P126" i="8" s="1"/>
  <c r="P127" i="8" s="1"/>
  <c r="P128" i="8" s="1"/>
  <c r="P129" i="8" s="1"/>
  <c r="P130" i="8" s="1"/>
  <c r="P131" i="8" s="1"/>
  <c r="P132" i="8" s="1"/>
  <c r="P133" i="8" s="1"/>
  <c r="P134" i="8" s="1"/>
  <c r="P135" i="8" s="1"/>
  <c r="P136" i="8" s="1"/>
  <c r="P137" i="8" s="1"/>
  <c r="P138" i="8" s="1"/>
  <c r="P139" i="8" s="1"/>
  <c r="P140" i="8" s="1"/>
  <c r="P141" i="8" s="1"/>
  <c r="P142" i="8" s="1"/>
  <c r="P143" i="8" s="1"/>
  <c r="P144" i="8" s="1"/>
  <c r="P145" i="8" s="1"/>
  <c r="P146" i="8" s="1"/>
  <c r="P147" i="8" s="1"/>
  <c r="P148" i="8" s="1"/>
  <c r="P149" i="8" s="1"/>
  <c r="P150" i="8" s="1"/>
  <c r="P151" i="8" s="1"/>
  <c r="P152" i="8" s="1"/>
  <c r="P153" i="8" s="1"/>
  <c r="P154" i="8" s="1"/>
  <c r="P155" i="8" s="1"/>
  <c r="P156" i="8" s="1"/>
  <c r="P157" i="8" s="1"/>
  <c r="P158" i="8" s="1"/>
  <c r="P159" i="8" s="1"/>
  <c r="P160" i="8" s="1"/>
  <c r="P161" i="8" s="1"/>
  <c r="P162" i="8" s="1"/>
  <c r="P163" i="8" s="1"/>
  <c r="P164" i="8" s="1"/>
  <c r="P165" i="8" s="1"/>
  <c r="P166" i="8" s="1"/>
  <c r="P167" i="8" s="1"/>
  <c r="P168" i="8" s="1"/>
  <c r="P169" i="8" s="1"/>
  <c r="P170" i="8" s="1"/>
  <c r="P171" i="8" s="1"/>
  <c r="P172" i="8" s="1"/>
  <c r="P173" i="8" s="1"/>
  <c r="P174" i="8" s="1"/>
  <c r="P175" i="8" s="1"/>
  <c r="P176" i="8" s="1"/>
  <c r="P177" i="8" s="1"/>
  <c r="P178" i="8" s="1"/>
  <c r="P179" i="8" s="1"/>
  <c r="P180" i="8" s="1"/>
  <c r="P181" i="8" s="1"/>
  <c r="P182" i="8" s="1"/>
  <c r="P183" i="8" s="1"/>
  <c r="P184" i="8" s="1"/>
  <c r="P185" i="8" s="1"/>
  <c r="P186" i="8" s="1"/>
  <c r="P187" i="8" s="1"/>
  <c r="P188" i="8" s="1"/>
  <c r="P189" i="8" s="1"/>
  <c r="P190" i="8" s="1"/>
  <c r="P191" i="8" s="1"/>
  <c r="P192" i="8" s="1"/>
  <c r="P193" i="8" s="1"/>
  <c r="P194" i="8" s="1"/>
  <c r="P195" i="8" s="1"/>
  <c r="P196" i="8" s="1"/>
  <c r="P197" i="8" s="1"/>
  <c r="P198" i="8" s="1"/>
  <c r="P199" i="8" s="1"/>
  <c r="P200" i="8" s="1"/>
  <c r="P201" i="8" s="1"/>
  <c r="P202" i="8" s="1"/>
  <c r="P203" i="8" s="1"/>
  <c r="P204" i="8" s="1"/>
  <c r="P205" i="8" s="1"/>
  <c r="P206" i="8" s="1"/>
  <c r="P207" i="8" s="1"/>
  <c r="P208" i="8" s="1"/>
  <c r="P209" i="8" s="1"/>
  <c r="P210" i="8" s="1"/>
  <c r="P211" i="8" s="1"/>
  <c r="P212" i="8" s="1"/>
  <c r="P213" i="8" s="1"/>
  <c r="P214" i="8" s="1"/>
  <c r="P215" i="8" s="1"/>
  <c r="P216" i="8" s="1"/>
  <c r="P217" i="8" s="1"/>
  <c r="P218" i="8" s="1"/>
  <c r="P219" i="8" s="1"/>
  <c r="P220" i="8" s="1"/>
  <c r="P221" i="8" s="1"/>
  <c r="P222" i="8" s="1"/>
  <c r="P223" i="8" s="1"/>
  <c r="P224" i="8" s="1"/>
  <c r="P225" i="8" s="1"/>
  <c r="P226" i="8" s="1"/>
  <c r="P227" i="8" s="1"/>
  <c r="P228" i="8" s="1"/>
  <c r="P229" i="8" s="1"/>
  <c r="P230" i="8" s="1"/>
  <c r="P231" i="8" s="1"/>
  <c r="P232" i="8" s="1"/>
  <c r="P233" i="8" s="1"/>
  <c r="P234" i="8" s="1"/>
  <c r="P235" i="8" s="1"/>
  <c r="P236" i="8" s="1"/>
  <c r="P237" i="8" s="1"/>
  <c r="P238" i="8" s="1"/>
  <c r="P239" i="8" s="1"/>
  <c r="P240" i="8" s="1"/>
  <c r="P241" i="8" s="1"/>
  <c r="P242" i="8" s="1"/>
  <c r="P243" i="8" s="1"/>
  <c r="P244" i="8" s="1"/>
  <c r="P245" i="8" s="1"/>
  <c r="P246" i="8" s="1"/>
  <c r="P247" i="8" s="1"/>
  <c r="P248" i="8" s="1"/>
  <c r="O2" i="8"/>
  <c r="O3" i="8" s="1"/>
  <c r="O4" i="8" s="1"/>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B13" i="13"/>
  <c r="C13" i="13"/>
  <c r="D13" i="13"/>
  <c r="E13" i="13"/>
  <c r="F13" i="13"/>
  <c r="G13" i="13"/>
  <c r="H13" i="13"/>
  <c r="I13" i="13"/>
  <c r="J13" i="13"/>
  <c r="A13" i="13"/>
  <c r="O5" i="3"/>
  <c r="O6" i="3" s="1"/>
  <c r="O7" i="3" s="1"/>
  <c r="O8" i="3" s="1"/>
  <c r="O9" i="3" s="1"/>
  <c r="O10" i="3" s="1"/>
  <c r="O11" i="3" s="1"/>
  <c r="O12" i="3" s="1"/>
  <c r="O13" i="3" s="1"/>
  <c r="X2" i="3"/>
  <c r="W2" i="3"/>
  <c r="Y2" i="3" s="1"/>
  <c r="U2" i="3"/>
  <c r="T2" i="3"/>
  <c r="V2" i="3" s="1"/>
  <c r="S2" i="3"/>
  <c r="Q2" i="3"/>
  <c r="R2" i="3" s="1"/>
  <c r="O2" i="3"/>
  <c r="O3" i="3" s="1"/>
  <c r="O4" i="3" s="1"/>
  <c r="O4" i="21"/>
  <c r="O2" i="21"/>
  <c r="O3" i="21" s="1"/>
  <c r="O5" i="21" s="1"/>
  <c r="O6" i="21" s="1"/>
  <c r="O7" i="21" s="1"/>
  <c r="O8" i="21" s="1"/>
  <c r="O9" i="21" s="1"/>
  <c r="O10" i="21" s="1"/>
  <c r="O11" i="21" s="1"/>
  <c r="O4" i="2"/>
  <c r="O5" i="2" s="1"/>
  <c r="O6" i="2" s="1"/>
  <c r="O7" i="2" s="1"/>
  <c r="O8" i="2" s="1"/>
  <c r="O9" i="2" s="1"/>
  <c r="O10" i="2" s="1"/>
  <c r="O11" i="2" s="1"/>
  <c r="O12" i="2" s="1"/>
  <c r="O13" i="2" s="1"/>
  <c r="O14" i="2" s="1"/>
  <c r="O15" i="2" s="1"/>
  <c r="O16" i="2" s="1"/>
  <c r="O17" i="2" s="1"/>
  <c r="O18" i="2" s="1"/>
  <c r="O19" i="2" s="1"/>
  <c r="O20" i="2" s="1"/>
  <c r="O21" i="2" s="1"/>
  <c r="O22" i="2" s="1"/>
  <c r="O23" i="2" s="1"/>
  <c r="O24" i="2" s="1"/>
  <c r="O25" i="2" s="1"/>
  <c r="O3" i="2"/>
  <c r="O2" i="2"/>
  <c r="Z2" i="21"/>
  <c r="X2" i="21"/>
  <c r="W2" i="21"/>
  <c r="Y2" i="21" s="1"/>
  <c r="U2" i="21"/>
  <c r="T2" i="21"/>
  <c r="V2" i="21" s="1"/>
  <c r="S2" i="21"/>
  <c r="Q2" i="21"/>
  <c r="R2" i="21" s="1"/>
  <c r="X2" i="2"/>
  <c r="W2" i="2"/>
  <c r="U2" i="2"/>
  <c r="T2" i="2"/>
  <c r="S2" i="2"/>
  <c r="Q2" i="2"/>
  <c r="R2" i="2" s="1"/>
  <c r="AB2" i="8" l="1"/>
  <c r="Y2" i="24"/>
  <c r="T17" i="13" s="1"/>
  <c r="L17" i="13"/>
  <c r="R17" i="13"/>
  <c r="Y2" i="25"/>
  <c r="V2" i="25"/>
  <c r="V2" i="24"/>
  <c r="Q17" i="13" s="1"/>
  <c r="Y2" i="23"/>
  <c r="V2" i="22"/>
  <c r="AE2" i="8"/>
  <c r="X9" i="13"/>
  <c r="Y9" i="13"/>
  <c r="Z9" i="13"/>
  <c r="AA9" i="13"/>
  <c r="AB9" i="13"/>
  <c r="AC9" i="13"/>
  <c r="AD9" i="13"/>
  <c r="AE9" i="13"/>
  <c r="AF9" i="13"/>
  <c r="W9" i="13"/>
  <c r="X5" i="13"/>
  <c r="Y5" i="13"/>
  <c r="Z5" i="13"/>
  <c r="AA5" i="13"/>
  <c r="AB5" i="13"/>
  <c r="AC5" i="13"/>
  <c r="AD5" i="13"/>
  <c r="AE5" i="13"/>
  <c r="AF5" i="13"/>
  <c r="W5" i="13"/>
  <c r="X2" i="19"/>
  <c r="V2" i="19"/>
  <c r="U2" i="19"/>
  <c r="S2" i="19"/>
  <c r="R2" i="19"/>
  <c r="Q2" i="19"/>
  <c r="O2" i="19"/>
  <c r="P2" i="19" s="1"/>
  <c r="W2" i="18"/>
  <c r="U2" i="18"/>
  <c r="T2" i="18"/>
  <c r="R2" i="18"/>
  <c r="Q2" i="18"/>
  <c r="P2" i="18"/>
  <c r="N2" i="18"/>
  <c r="O2" i="18" s="1"/>
  <c r="T2" i="19" l="1"/>
  <c r="W2" i="19"/>
  <c r="S2" i="18"/>
  <c r="V2" i="18"/>
  <c r="X2" i="11" l="1"/>
  <c r="U25" i="13" s="1"/>
  <c r="V2" i="11"/>
  <c r="S25" i="13" s="1"/>
  <c r="U2" i="11"/>
  <c r="W2" i="11" s="1"/>
  <c r="T25" i="13" s="1"/>
  <c r="S2" i="11"/>
  <c r="P25" i="13" s="1"/>
  <c r="R2" i="11"/>
  <c r="T2" i="11" s="1"/>
  <c r="Q25" i="13" s="1"/>
  <c r="Q2" i="11"/>
  <c r="N25" i="13" s="1"/>
  <c r="O2" i="11"/>
  <c r="P2" i="11" s="1"/>
  <c r="M25" i="13" s="1"/>
  <c r="J17" i="13"/>
  <c r="H17" i="13"/>
  <c r="G17" i="13"/>
  <c r="E17" i="13"/>
  <c r="C17" i="13"/>
  <c r="A17" i="13"/>
  <c r="O25" i="13" l="1"/>
  <c r="R25" i="13"/>
  <c r="L25" i="13"/>
  <c r="F17" i="13"/>
  <c r="D17" i="13"/>
  <c r="I17" i="13"/>
  <c r="B17" i="13"/>
  <c r="J9" i="13"/>
  <c r="H9" i="13"/>
  <c r="E9" i="13"/>
  <c r="C9" i="13"/>
  <c r="H5" i="13"/>
  <c r="G5" i="13"/>
  <c r="B9" i="13" l="1"/>
  <c r="A9" i="13"/>
  <c r="F9" i="13"/>
  <c r="D9" i="13"/>
  <c r="I9" i="13"/>
  <c r="G9" i="13"/>
  <c r="Y2" i="2"/>
  <c r="I5" i="13" s="1"/>
  <c r="A5" i="13" l="1"/>
  <c r="B5" i="13"/>
  <c r="C5" i="13"/>
  <c r="S137" i="1" l="1"/>
  <c r="T137" i="1"/>
  <c r="U137" i="1"/>
  <c r="V137" i="1"/>
  <c r="S138" i="1"/>
  <c r="T138" i="1"/>
  <c r="U138" i="1"/>
  <c r="V138" i="1"/>
  <c r="U132" i="1"/>
  <c r="V132" i="1"/>
  <c r="U133" i="1"/>
  <c r="V133" i="1"/>
  <c r="U134" i="1"/>
  <c r="V134" i="1"/>
  <c r="U135" i="1"/>
  <c r="V135" i="1"/>
  <c r="U136" i="1"/>
  <c r="V136" i="1"/>
  <c r="V131" i="1"/>
  <c r="T131" i="1"/>
  <c r="U131" i="1"/>
  <c r="S131" i="1"/>
  <c r="T132" i="1"/>
  <c r="T133" i="1"/>
  <c r="T134" i="1"/>
  <c r="T135" i="1"/>
  <c r="T136" i="1"/>
  <c r="S132" i="1"/>
  <c r="S133" i="1"/>
  <c r="S134" i="1"/>
  <c r="S135" i="1"/>
  <c r="S136" i="1"/>
  <c r="AB5" i="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Z4" i="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Y4" i="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X4" i="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AG2" i="1"/>
  <c r="AF2" i="1"/>
  <c r="AE2" i="1"/>
  <c r="AD2" i="1"/>
  <c r="U1" i="1"/>
  <c r="R1" i="1"/>
  <c r="Q1" i="1"/>
  <c r="E5" i="13" l="1"/>
  <c r="J5" i="13"/>
  <c r="D5" i="13"/>
  <c r="V2" i="2"/>
  <c r="T1" i="1"/>
  <c r="V1" i="1"/>
  <c r="S1" i="1"/>
  <c r="F5" i="13" l="1"/>
</calcChain>
</file>

<file path=xl/sharedStrings.xml><?xml version="1.0" encoding="utf-8"?>
<sst xmlns="http://schemas.openxmlformats.org/spreadsheetml/2006/main" count="9151" uniqueCount="436">
  <si>
    <t>Seasonal</t>
  </si>
  <si>
    <t>Non-Seasonal</t>
  </si>
  <si>
    <t>Confirm</t>
  </si>
  <si>
    <t>Collab</t>
  </si>
  <si>
    <t>Non-Collab</t>
  </si>
  <si>
    <t>Seasonal/Collab</t>
  </si>
  <si>
    <t>Asset</t>
  </si>
  <si>
    <t>Directional</t>
  </si>
  <si>
    <t>Open</t>
  </si>
  <si>
    <t>Close</t>
  </si>
  <si>
    <t>Ticker</t>
  </si>
  <si>
    <t>All Trades</t>
  </si>
  <si>
    <t>Winning Trades</t>
  </si>
  <si>
    <t>Losing Trades</t>
  </si>
  <si>
    <t xml:space="preserve">Running </t>
  </si>
  <si>
    <t>P/M</t>
  </si>
  <si>
    <t>Collab?</t>
  </si>
  <si>
    <t>Sznl?</t>
  </si>
  <si>
    <t>First Try?</t>
  </si>
  <si>
    <t>Week</t>
  </si>
  <si>
    <t>Class</t>
  </si>
  <si>
    <t>Vehicle</t>
  </si>
  <si>
    <t>DTE</t>
  </si>
  <si>
    <t>Bias</t>
  </si>
  <si>
    <t>Shares</t>
  </si>
  <si>
    <t>Value</t>
  </si>
  <si>
    <t>Price</t>
  </si>
  <si>
    <t>Symbol</t>
  </si>
  <si>
    <t>P&amp;L</t>
  </si>
  <si>
    <t>Return</t>
  </si>
  <si>
    <t>PnL</t>
  </si>
  <si>
    <t>P</t>
  </si>
  <si>
    <t>Y</t>
  </si>
  <si>
    <t>Below +D</t>
  </si>
  <si>
    <t>Currency</t>
  </si>
  <si>
    <t>Forex</t>
  </si>
  <si>
    <t>Short</t>
  </si>
  <si>
    <t>USDCHF</t>
  </si>
  <si>
    <t>Long</t>
  </si>
  <si>
    <t>EURUSD</t>
  </si>
  <si>
    <t>M</t>
  </si>
  <si>
    <t>Commodity</t>
  </si>
  <si>
    <t>Options</t>
  </si>
  <si>
    <t>USO</t>
  </si>
  <si>
    <t/>
  </si>
  <si>
    <t>N</t>
  </si>
  <si>
    <t>Above +U</t>
  </si>
  <si>
    <t>Index</t>
  </si>
  <si>
    <t>SPY</t>
  </si>
  <si>
    <t>Stocks</t>
  </si>
  <si>
    <t>NVDA</t>
  </si>
  <si>
    <t>Futures</t>
  </si>
  <si>
    <t>CL</t>
  </si>
  <si>
    <t>GOOG</t>
  </si>
  <si>
    <t>Below +U</t>
  </si>
  <si>
    <t>IWM</t>
  </si>
  <si>
    <t>Equity</t>
  </si>
  <si>
    <t>AAPL</t>
  </si>
  <si>
    <t>JPM</t>
  </si>
  <si>
    <t>OZK</t>
  </si>
  <si>
    <t>BWA</t>
  </si>
  <si>
    <t>GBPUSD</t>
  </si>
  <si>
    <t>BLDR</t>
  </si>
  <si>
    <t>PAAS</t>
  </si>
  <si>
    <t>ASML</t>
  </si>
  <si>
    <t>RYAAY</t>
  </si>
  <si>
    <t>WMT</t>
  </si>
  <si>
    <t>Below+D</t>
  </si>
  <si>
    <t>MLCO</t>
  </si>
  <si>
    <t>Bonds</t>
  </si>
  <si>
    <t>ETF</t>
  </si>
  <si>
    <t>TLT</t>
  </si>
  <si>
    <t>KEY</t>
  </si>
  <si>
    <t>DISH</t>
  </si>
  <si>
    <t>EDU</t>
  </si>
  <si>
    <t>SANM</t>
  </si>
  <si>
    <t>HAE</t>
  </si>
  <si>
    <t>MRK</t>
  </si>
  <si>
    <t>EXPD</t>
  </si>
  <si>
    <t>TSLA</t>
  </si>
  <si>
    <t>HDB</t>
  </si>
  <si>
    <t>WEAT</t>
  </si>
  <si>
    <t>CF</t>
  </si>
  <si>
    <t>MSFT</t>
  </si>
  <si>
    <t>NA</t>
  </si>
  <si>
    <t>ABNB</t>
  </si>
  <si>
    <t>YW</t>
  </si>
  <si>
    <t>NG</t>
  </si>
  <si>
    <t>NKD</t>
  </si>
  <si>
    <t>C</t>
  </si>
  <si>
    <t>SBUX</t>
  </si>
  <si>
    <t>MAT</t>
  </si>
  <si>
    <t>EURNOK</t>
  </si>
  <si>
    <t>USDNOK</t>
  </si>
  <si>
    <t>MELI</t>
  </si>
  <si>
    <t>DX</t>
  </si>
  <si>
    <t>SMH</t>
  </si>
  <si>
    <t>SLV</t>
  </si>
  <si>
    <t>AIG</t>
  </si>
  <si>
    <t>DEO</t>
  </si>
  <si>
    <t>DHR</t>
  </si>
  <si>
    <t>GOLD</t>
  </si>
  <si>
    <t>Above +D</t>
  </si>
  <si>
    <t>SKYW</t>
  </si>
  <si>
    <t>MDB</t>
  </si>
  <si>
    <t>AXTA</t>
  </si>
  <si>
    <t>CADCHF</t>
  </si>
  <si>
    <t>NXDT</t>
  </si>
  <si>
    <t>DBRG</t>
  </si>
  <si>
    <t>NRG</t>
  </si>
  <si>
    <t>MASI</t>
  </si>
  <si>
    <t>UHAL</t>
  </si>
  <si>
    <t>EXPI</t>
  </si>
  <si>
    <t>HA</t>
  </si>
  <si>
    <t xml:space="preserve">P </t>
  </si>
  <si>
    <t>EURSEK</t>
  </si>
  <si>
    <t>USDCNH</t>
  </si>
  <si>
    <t>USDSEK</t>
  </si>
  <si>
    <t>USDJPY</t>
  </si>
  <si>
    <t>SMCI</t>
  </si>
  <si>
    <t>DOMO</t>
  </si>
  <si>
    <t>IDXX</t>
  </si>
  <si>
    <t>SNBR</t>
  </si>
  <si>
    <t>CSCO</t>
  </si>
  <si>
    <t>KWEB</t>
  </si>
  <si>
    <t>FCFS</t>
  </si>
  <si>
    <t>CME</t>
  </si>
  <si>
    <t>CHFJPY</t>
  </si>
  <si>
    <t>HXL</t>
  </si>
  <si>
    <t>CC</t>
  </si>
  <si>
    <t>ES</t>
  </si>
  <si>
    <t>JBHT</t>
  </si>
  <si>
    <t>ESTX50</t>
  </si>
  <si>
    <t>MBT</t>
  </si>
  <si>
    <t>10y</t>
  </si>
  <si>
    <t>ZS</t>
  </si>
  <si>
    <t>SB</t>
  </si>
  <si>
    <t>RTY</t>
  </si>
  <si>
    <t>NQ</t>
  </si>
  <si>
    <t>RB</t>
  </si>
  <si>
    <t>GC</t>
  </si>
  <si>
    <t>Option Strategy</t>
  </si>
  <si>
    <t>Closing Date</t>
  </si>
  <si>
    <t>Contracts</t>
  </si>
  <si>
    <t>Open Value</t>
  </si>
  <si>
    <t>Close Value</t>
  </si>
  <si>
    <t>AMZN</t>
  </si>
  <si>
    <t>Call Spread</t>
  </si>
  <si>
    <t>Put Spread</t>
  </si>
  <si>
    <t>Puts</t>
  </si>
  <si>
    <t>GLD</t>
  </si>
  <si>
    <t>CVBF</t>
  </si>
  <si>
    <t>Calls</t>
  </si>
  <si>
    <t>TNK</t>
  </si>
  <si>
    <t>BLK</t>
  </si>
  <si>
    <t>DIA</t>
  </si>
  <si>
    <t>Bear Call Spread</t>
  </si>
  <si>
    <t>COIN</t>
  </si>
  <si>
    <t>Total Trades</t>
  </si>
  <si>
    <t>Win %</t>
  </si>
  <si>
    <t>Lose %</t>
  </si>
  <si>
    <t>Win/Loss Ratio</t>
  </si>
  <si>
    <t>Total PnL</t>
  </si>
  <si>
    <t>Avg Win%</t>
  </si>
  <si>
    <t>Avg Loss%</t>
  </si>
  <si>
    <t>Direction</t>
  </si>
  <si>
    <t>Close Shares</t>
  </si>
  <si>
    <t>Open Shares</t>
  </si>
  <si>
    <t>Close Price</t>
  </si>
  <si>
    <t>PnL %</t>
  </si>
  <si>
    <t>KRE</t>
  </si>
  <si>
    <t>UNP</t>
  </si>
  <si>
    <t>CANE</t>
  </si>
  <si>
    <t>AFRM</t>
  </si>
  <si>
    <t>SNAP</t>
  </si>
  <si>
    <t>CADJPY</t>
  </si>
  <si>
    <t>USDSGD</t>
  </si>
  <si>
    <t>AUDCHF</t>
  </si>
  <si>
    <t>EURCAD</t>
  </si>
  <si>
    <t>EURHUF</t>
  </si>
  <si>
    <t>USDCZK</t>
  </si>
  <si>
    <t>USDPLN</t>
  </si>
  <si>
    <t>USDCAD</t>
  </si>
  <si>
    <t>NZDJPY</t>
  </si>
  <si>
    <t>NZDUSD</t>
  </si>
  <si>
    <t>MXNJPY</t>
  </si>
  <si>
    <t>USDMXN</t>
  </si>
  <si>
    <t>EURCHF</t>
  </si>
  <si>
    <t>AUDCAD</t>
  </si>
  <si>
    <t>UVXY</t>
  </si>
  <si>
    <t>CNX</t>
  </si>
  <si>
    <t>GDXJ</t>
  </si>
  <si>
    <t>Call</t>
  </si>
  <si>
    <t>QQQ</t>
  </si>
  <si>
    <t>Close Date</t>
  </si>
  <si>
    <t>USDZAR</t>
  </si>
  <si>
    <t>CHFNOK</t>
  </si>
  <si>
    <t>Stock</t>
  </si>
  <si>
    <t>BA</t>
  </si>
  <si>
    <t>FBP</t>
  </si>
  <si>
    <t>DKS</t>
  </si>
  <si>
    <t>DELL</t>
  </si>
  <si>
    <t>AAOI</t>
  </si>
  <si>
    <t>IONQ</t>
  </si>
  <si>
    <t>CVNA</t>
  </si>
  <si>
    <t>SOXS</t>
  </si>
  <si>
    <t>SQ</t>
  </si>
  <si>
    <t>AEHR</t>
  </si>
  <si>
    <t>APP</t>
  </si>
  <si>
    <t>AKAM</t>
  </si>
  <si>
    <t>FSLY</t>
  </si>
  <si>
    <t>WOLF</t>
  </si>
  <si>
    <t>DKNG</t>
  </si>
  <si>
    <t>UBER</t>
  </si>
  <si>
    <t>PHM</t>
  </si>
  <si>
    <t>SOXL</t>
  </si>
  <si>
    <t>VRT</t>
  </si>
  <si>
    <t>CRWD</t>
  </si>
  <si>
    <t>XLP</t>
  </si>
  <si>
    <t>NTNX</t>
  </si>
  <si>
    <t>ACMR</t>
  </si>
  <si>
    <t>NFLX</t>
  </si>
  <si>
    <t>CELH</t>
  </si>
  <si>
    <t>JBL</t>
  </si>
  <si>
    <t>META</t>
  </si>
  <si>
    <t>PLTR</t>
  </si>
  <si>
    <t>DDOG</t>
  </si>
  <si>
    <t>DASH</t>
  </si>
  <si>
    <t>IOT</t>
  </si>
  <si>
    <t>PATH</t>
  </si>
  <si>
    <t>U</t>
  </si>
  <si>
    <t>UPST</t>
  </si>
  <si>
    <t>TNA</t>
  </si>
  <si>
    <t>PDD</t>
  </si>
  <si>
    <t>PODD</t>
  </si>
  <si>
    <t>GPS</t>
  </si>
  <si>
    <t>BAC</t>
  </si>
  <si>
    <t>WSM</t>
  </si>
  <si>
    <t>STNE</t>
  </si>
  <si>
    <t>INTC</t>
  </si>
  <si>
    <t>XLK</t>
  </si>
  <si>
    <t>TSM</t>
  </si>
  <si>
    <t>TDOC</t>
  </si>
  <si>
    <t>MNDY</t>
  </si>
  <si>
    <t>S</t>
  </si>
  <si>
    <t>McKinley Options</t>
  </si>
  <si>
    <t>McKinley Delta 1</t>
  </si>
  <si>
    <t>PJ Options</t>
  </si>
  <si>
    <t>Total 
Trades</t>
  </si>
  <si>
    <t>Losing Percentage</t>
  </si>
  <si>
    <t>Winning Percentage</t>
  </si>
  <si>
    <t>Average 
Win</t>
  </si>
  <si>
    <t>Average
 Loss</t>
  </si>
  <si>
    <t>Win/Loss 
Ratio</t>
  </si>
  <si>
    <t>Total 
PnL</t>
  </si>
  <si>
    <t>Average 
Win ($)</t>
  </si>
  <si>
    <t>Average
 Loss ($)</t>
  </si>
  <si>
    <t>Win/Loss 
Ratio ($)</t>
  </si>
  <si>
    <t>Avg Win($)</t>
  </si>
  <si>
    <t>Avg Loss($)</t>
  </si>
  <si>
    <t>Win/Loss Ratio ($)</t>
  </si>
  <si>
    <t>PJ Delta 1</t>
  </si>
  <si>
    <t>LNG</t>
  </si>
  <si>
    <t>MES</t>
  </si>
  <si>
    <t>CVS</t>
  </si>
  <si>
    <t>HD</t>
  </si>
  <si>
    <t>BABA</t>
  </si>
  <si>
    <t>BYDDF</t>
  </si>
  <si>
    <t>CRH</t>
  </si>
  <si>
    <t>CCL</t>
  </si>
  <si>
    <t>URI</t>
  </si>
  <si>
    <t>SRUUF</t>
  </si>
  <si>
    <t>UBS</t>
  </si>
  <si>
    <t>PANW</t>
  </si>
  <si>
    <t>CCJ</t>
  </si>
  <si>
    <t>CRSP</t>
  </si>
  <si>
    <t>Option</t>
  </si>
  <si>
    <t>FAST</t>
  </si>
  <si>
    <t>INFA</t>
  </si>
  <si>
    <t>Merrill Lynch (Collaborative)</t>
  </si>
  <si>
    <t>Individually Managed (IBKR)</t>
  </si>
  <si>
    <t>Collaborative (IBKR)</t>
  </si>
  <si>
    <t>Type</t>
  </si>
  <si>
    <t>D1</t>
  </si>
  <si>
    <t>Kind</t>
  </si>
  <si>
    <t>ML</t>
  </si>
  <si>
    <t>Instrument</t>
  </si>
  <si>
    <t>NOKUSD</t>
  </si>
  <si>
    <t>AMD</t>
  </si>
  <si>
    <t>LEN</t>
  </si>
  <si>
    <t>CNVA</t>
  </si>
  <si>
    <t>SYM</t>
  </si>
  <si>
    <t>ES Day Trades</t>
  </si>
  <si>
    <t>PWR</t>
  </si>
  <si>
    <t>AI</t>
  </si>
  <si>
    <t>SOUN</t>
  </si>
  <si>
    <t>SRTS</t>
  </si>
  <si>
    <t>RBLX</t>
  </si>
  <si>
    <t>MTTR</t>
  </si>
  <si>
    <t>BIRD</t>
  </si>
  <si>
    <t>PI</t>
  </si>
  <si>
    <t>VICR</t>
  </si>
  <si>
    <t>FCX</t>
  </si>
  <si>
    <t>F</t>
  </si>
  <si>
    <t>CND</t>
  </si>
  <si>
    <t>CTVA</t>
  </si>
  <si>
    <t>HAYW</t>
  </si>
  <si>
    <t>ZIM</t>
  </si>
  <si>
    <t>BTU</t>
  </si>
  <si>
    <t>SBSW</t>
  </si>
  <si>
    <t>PALL</t>
  </si>
  <si>
    <t>NEM</t>
  </si>
  <si>
    <t>RIG</t>
  </si>
  <si>
    <t>CLF</t>
  </si>
  <si>
    <t>DM</t>
  </si>
  <si>
    <t>MTDR</t>
  </si>
  <si>
    <t>WSC</t>
  </si>
  <si>
    <t>BROS</t>
  </si>
  <si>
    <t>TWTR</t>
  </si>
  <si>
    <t>CHK</t>
  </si>
  <si>
    <t>CHEF</t>
  </si>
  <si>
    <t>FNKO</t>
  </si>
  <si>
    <t>SGML</t>
  </si>
  <si>
    <t>ENPH</t>
  </si>
  <si>
    <t>KRTX</t>
  </si>
  <si>
    <t>CLH</t>
  </si>
  <si>
    <t>DADA</t>
  </si>
  <si>
    <t>W</t>
  </si>
  <si>
    <t>CRDO</t>
  </si>
  <si>
    <t>GFS</t>
  </si>
  <si>
    <t>TBBK</t>
  </si>
  <si>
    <t>Garrett Options</t>
  </si>
  <si>
    <t>Garrett Delta 1</t>
  </si>
  <si>
    <t>MC</t>
  </si>
  <si>
    <t>PC</t>
  </si>
  <si>
    <t>DT</t>
  </si>
  <si>
    <t>Rolling PnL</t>
  </si>
  <si>
    <t>ARM</t>
  </si>
  <si>
    <t>CLSK</t>
  </si>
  <si>
    <t>IBM</t>
  </si>
  <si>
    <t>Equity PnL</t>
  </si>
  <si>
    <t>Forex PnL</t>
  </si>
  <si>
    <t>Futs PnL</t>
  </si>
  <si>
    <t>CHFHUF</t>
  </si>
  <si>
    <t>MPC</t>
  </si>
  <si>
    <t>LMND</t>
  </si>
  <si>
    <t>MRO</t>
  </si>
  <si>
    <t>HOOD</t>
  </si>
  <si>
    <t>Row Labels</t>
  </si>
  <si>
    <t>Grand Total</t>
  </si>
  <si>
    <t>Sum of PnL</t>
  </si>
  <si>
    <t>Column Labels</t>
  </si>
  <si>
    <t>Year</t>
  </si>
  <si>
    <t>Month</t>
  </si>
  <si>
    <t>Shares2</t>
  </si>
  <si>
    <t>LYFT</t>
  </si>
  <si>
    <t>PSTG</t>
  </si>
  <si>
    <t>VRNS</t>
  </si>
  <si>
    <t>TWLO</t>
  </si>
  <si>
    <t>TZA</t>
  </si>
  <si>
    <t>CMRE</t>
  </si>
  <si>
    <t>NET</t>
  </si>
  <si>
    <t>VKTX</t>
  </si>
  <si>
    <t>ON</t>
  </si>
  <si>
    <t>GTLB</t>
  </si>
  <si>
    <t>CMCSA</t>
  </si>
  <si>
    <t>MRNA</t>
  </si>
  <si>
    <t>ONH</t>
  </si>
  <si>
    <t>No</t>
  </si>
  <si>
    <t>Yes</t>
  </si>
  <si>
    <t>OMF</t>
  </si>
  <si>
    <t>FROG</t>
  </si>
  <si>
    <t>CARR</t>
  </si>
  <si>
    <t>JMIA</t>
  </si>
  <si>
    <t>BITI</t>
  </si>
  <si>
    <t>NCLH</t>
  </si>
  <si>
    <t>POWL</t>
  </si>
  <si>
    <t>GBPCHF</t>
  </si>
  <si>
    <t>GS</t>
  </si>
  <si>
    <t>LLY</t>
  </si>
  <si>
    <t>AVAV</t>
  </si>
  <si>
    <t>NU</t>
  </si>
  <si>
    <t>SLB</t>
  </si>
  <si>
    <t>AXON</t>
  </si>
  <si>
    <t>MU</t>
  </si>
  <si>
    <t>ELF</t>
  </si>
  <si>
    <t>HIMS</t>
  </si>
  <si>
    <t>ERJ</t>
  </si>
  <si>
    <t>ALAB</t>
  </si>
  <si>
    <t>PLL</t>
  </si>
  <si>
    <t>SQQQ</t>
  </si>
  <si>
    <t>MAG</t>
  </si>
  <si>
    <t>NNOX</t>
  </si>
  <si>
    <t>XLE</t>
  </si>
  <si>
    <t>ARKK</t>
  </si>
  <si>
    <t>SOFR</t>
  </si>
  <si>
    <t>HG</t>
  </si>
  <si>
    <t>MNQ</t>
  </si>
  <si>
    <t>ZW</t>
  </si>
  <si>
    <t>MET</t>
  </si>
  <si>
    <t>TOST</t>
  </si>
  <si>
    <t>CGC</t>
  </si>
  <si>
    <t>SMTC</t>
  </si>
  <si>
    <t>GME</t>
  </si>
  <si>
    <t>DIS</t>
  </si>
  <si>
    <t>MA</t>
  </si>
  <si>
    <t>CAT</t>
  </si>
  <si>
    <t>TGT</t>
  </si>
  <si>
    <t>ANF</t>
  </si>
  <si>
    <t>NVAX</t>
  </si>
  <si>
    <t>Entry Date</t>
  </si>
  <si>
    <t>BOOT</t>
  </si>
  <si>
    <t>LPG</t>
  </si>
  <si>
    <t>RDDT</t>
  </si>
  <si>
    <t>KC</t>
  </si>
  <si>
    <t>CHFCNH</t>
  </si>
  <si>
    <t>USDHUF</t>
  </si>
  <si>
    <t>GBPJPY</t>
  </si>
  <si>
    <t>Multiplier</t>
  </si>
  <si>
    <t>ARGT</t>
  </si>
  <si>
    <t>HUBB</t>
  </si>
  <si>
    <t>KOPN</t>
  </si>
  <si>
    <t>PYPL</t>
  </si>
  <si>
    <t>SCCO</t>
  </si>
  <si>
    <t>Account</t>
  </si>
  <si>
    <t>SNOW</t>
  </si>
  <si>
    <t>VNOM</t>
  </si>
  <si>
    <t>XLV</t>
  </si>
  <si>
    <t>XOM</t>
  </si>
  <si>
    <t>IBKR</t>
  </si>
  <si>
    <t>McKinley</t>
  </si>
  <si>
    <t>P.J</t>
  </si>
  <si>
    <t>Day Trade</t>
  </si>
  <si>
    <t>McK Collaborative</t>
  </si>
  <si>
    <t>P.J. Collaborative</t>
  </si>
  <si>
    <t>KLAC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</si>
</sst>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_(&quot;$&quot;* #,##0.0_);_(&quot;$&quot;* \(#,##0.0\);_(&quot;$&quot;* &quot;-&quot;??_);_(@_)"/>
  </numFmts>
  <fonts count="9" x14ac:knownFonts="1">
    <font>
      <sz val="11"/>
      <color theme="1"/>
      <name val="Aptos Narrow"/>
      <family val="2"/>
      <scheme val="minor"/>
    </font>
    <font>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z val="10"/>
      <color theme="1"/>
      <name val="Roboto"/>
    </font>
    <font>
      <b/>
      <sz val="10"/>
      <color theme="1"/>
      <name val="Roboto"/>
    </font>
    <font>
      <sz val="10"/>
      <color theme="0"/>
      <name val="Roboto"/>
    </font>
    <font>
      <sz val="8"/>
      <name val="Aptos Narrow"/>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00334C"/>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7">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top style="thin">
        <color indexed="64"/>
      </top>
      <bottom/>
      <diagonal/>
    </border>
    <border>
      <left/>
      <right style="thin">
        <color theme="0" tint="-0.14996795556505021"/>
      </right>
      <top style="thin">
        <color indexed="64"/>
      </top>
      <bottom/>
      <diagonal/>
    </border>
    <border>
      <left/>
      <right style="thin">
        <color theme="0"/>
      </right>
      <top style="thin">
        <color indexed="64"/>
      </top>
      <bottom/>
      <diagonal/>
    </border>
    <border>
      <left style="thin">
        <color theme="0"/>
      </left>
      <right/>
      <top style="thin">
        <color indexed="64"/>
      </top>
      <bottom/>
      <diagonal/>
    </border>
    <border>
      <left/>
      <right/>
      <top/>
      <bottom style="thin">
        <color indexed="64"/>
      </bottom>
      <diagonal/>
    </border>
    <border>
      <left style="thin">
        <color theme="0" tint="-0.14996795556505021"/>
      </left>
      <right/>
      <top/>
      <bottom style="thin">
        <color indexed="64"/>
      </bottom>
      <diagonal/>
    </border>
    <border>
      <left/>
      <right style="thin">
        <color theme="0" tint="-0.14996795556505021"/>
      </right>
      <top/>
      <bottom style="thin">
        <color indexed="64"/>
      </bottom>
      <diagonal/>
    </border>
    <border>
      <left/>
      <right style="thin">
        <color theme="0"/>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14" fontId="3" fillId="2" borderId="1" xfId="1" applyNumberFormat="1" applyFont="1" applyFill="1" applyBorder="1" applyAlignment="1">
      <alignment horizontal="center"/>
    </xf>
    <xf numFmtId="1" fontId="3" fillId="2" borderId="1" xfId="1" applyNumberFormat="1" applyFont="1" applyFill="1" applyBorder="1" applyAlignment="1">
      <alignment horizontal="center"/>
    </xf>
    <xf numFmtId="164" fontId="3" fillId="2" borderId="2" xfId="1" applyNumberFormat="1" applyFont="1" applyFill="1" applyBorder="1"/>
    <xf numFmtId="43" fontId="3" fillId="2" borderId="1" xfId="1" applyFont="1" applyFill="1" applyBorder="1"/>
    <xf numFmtId="43" fontId="3" fillId="2" borderId="3" xfId="1" applyFont="1" applyFill="1" applyBorder="1"/>
    <xf numFmtId="164" fontId="3" fillId="2" borderId="1" xfId="1" applyNumberFormat="1" applyFont="1" applyFill="1" applyBorder="1"/>
    <xf numFmtId="43" fontId="3" fillId="2" borderId="1" xfId="1" applyFont="1" applyFill="1" applyBorder="1" applyAlignment="1">
      <alignment horizontal="center"/>
    </xf>
    <xf numFmtId="164" fontId="3" fillId="2" borderId="2" xfId="0" applyNumberFormat="1" applyFont="1" applyFill="1" applyBorder="1" applyAlignment="1">
      <alignment horizontal="right"/>
    </xf>
    <xf numFmtId="10" fontId="3" fillId="2" borderId="1" xfId="0" applyNumberFormat="1" applyFont="1" applyFill="1" applyBorder="1" applyAlignment="1">
      <alignment horizontal="right"/>
    </xf>
    <xf numFmtId="10" fontId="3" fillId="2" borderId="3" xfId="0" applyNumberFormat="1" applyFont="1" applyFill="1" applyBorder="1" applyAlignment="1">
      <alignment horizontal="right"/>
    </xf>
    <xf numFmtId="0" fontId="0" fillId="2" borderId="0" xfId="0" applyFill="1" applyAlignment="1">
      <alignment horizontal="center"/>
    </xf>
    <xf numFmtId="0" fontId="0" fillId="3" borderId="0" xfId="0" applyFill="1"/>
    <xf numFmtId="14" fontId="2" fillId="4" borderId="1" xfId="0" applyNumberFormat="1" applyFont="1" applyFill="1" applyBorder="1" applyAlignment="1">
      <alignment horizontal="center"/>
    </xf>
    <xf numFmtId="49" fontId="2" fillId="4" borderId="1" xfId="0" applyNumberFormat="1" applyFont="1" applyFill="1" applyBorder="1" applyAlignment="1">
      <alignment horizontal="center"/>
    </xf>
    <xf numFmtId="1" fontId="2" fillId="4" borderId="1" xfId="0" applyNumberFormat="1" applyFont="1" applyFill="1" applyBorder="1" applyAlignment="1">
      <alignment horizontal="center"/>
    </xf>
    <xf numFmtId="43" fontId="2" fillId="4" borderId="1" xfId="1" applyFont="1" applyFill="1" applyBorder="1" applyAlignment="1">
      <alignment horizontal="center"/>
    </xf>
    <xf numFmtId="43" fontId="2" fillId="4" borderId="0" xfId="1" applyFont="1" applyFill="1" applyBorder="1" applyAlignment="1">
      <alignment horizontal="center"/>
    </xf>
    <xf numFmtId="14" fontId="2" fillId="4" borderId="8" xfId="0" applyNumberFormat="1" applyFont="1" applyFill="1" applyBorder="1" applyAlignment="1">
      <alignment horizontal="center"/>
    </xf>
    <xf numFmtId="1" fontId="2" fillId="4" borderId="8" xfId="0" applyNumberFormat="1" applyFont="1" applyFill="1" applyBorder="1" applyAlignment="1">
      <alignment horizontal="center"/>
    </xf>
    <xf numFmtId="0" fontId="2" fillId="4" borderId="9" xfId="0" applyFont="1" applyFill="1" applyBorder="1" applyAlignment="1">
      <alignment horizontal="center"/>
    </xf>
    <xf numFmtId="43" fontId="2" fillId="4" borderId="8" xfId="1" applyFont="1" applyFill="1" applyBorder="1" applyAlignment="1">
      <alignment horizontal="center"/>
    </xf>
    <xf numFmtId="43" fontId="2" fillId="4" borderId="10" xfId="1" applyFont="1" applyFill="1" applyBorder="1" applyAlignment="1">
      <alignment horizontal="center"/>
    </xf>
    <xf numFmtId="0" fontId="2" fillId="4" borderId="8"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0" xfId="0" applyFont="1" applyFill="1" applyAlignment="1">
      <alignment horizontal="center"/>
    </xf>
    <xf numFmtId="14" fontId="4" fillId="3" borderId="0" xfId="0" applyNumberFormat="1" applyFont="1" applyFill="1" applyAlignment="1">
      <alignment horizontal="center"/>
    </xf>
    <xf numFmtId="1" fontId="4" fillId="3" borderId="0" xfId="0" applyNumberFormat="1" applyFont="1" applyFill="1" applyAlignment="1">
      <alignment horizontal="center"/>
    </xf>
    <xf numFmtId="164" fontId="4" fillId="3" borderId="0" xfId="1" applyNumberFormat="1" applyFont="1" applyFill="1" applyBorder="1"/>
    <xf numFmtId="43" fontId="4" fillId="3" borderId="0" xfId="1" applyFont="1" applyFill="1"/>
    <xf numFmtId="43" fontId="4" fillId="3" borderId="13" xfId="1" applyFont="1" applyFill="1" applyBorder="1"/>
    <xf numFmtId="164" fontId="4" fillId="3" borderId="0" xfId="1" applyNumberFormat="1" applyFont="1" applyFill="1"/>
    <xf numFmtId="14" fontId="4" fillId="3" borderId="3" xfId="0" applyNumberFormat="1" applyFont="1" applyFill="1" applyBorder="1" applyAlignment="1">
      <alignment horizontal="center"/>
    </xf>
    <xf numFmtId="43" fontId="4" fillId="3" borderId="14" xfId="3" applyNumberFormat="1" applyFont="1" applyFill="1" applyBorder="1"/>
    <xf numFmtId="10" fontId="4" fillId="3" borderId="0" xfId="3" applyNumberFormat="1" applyFont="1" applyFill="1"/>
    <xf numFmtId="43" fontId="4" fillId="3" borderId="14" xfId="1" applyFont="1" applyFill="1" applyBorder="1"/>
    <xf numFmtId="10" fontId="4" fillId="3" borderId="13" xfId="3" applyNumberFormat="1" applyFont="1" applyFill="1" applyBorder="1"/>
    <xf numFmtId="44" fontId="0" fillId="3" borderId="0" xfId="0" applyNumberFormat="1" applyFill="1"/>
    <xf numFmtId="14" fontId="4" fillId="3" borderId="13" xfId="0" applyNumberFormat="1" applyFont="1" applyFill="1" applyBorder="1" applyAlignment="1">
      <alignment horizontal="center"/>
    </xf>
    <xf numFmtId="44" fontId="0" fillId="3" borderId="0" xfId="2" applyFont="1" applyFill="1"/>
    <xf numFmtId="43" fontId="4" fillId="3" borderId="13" xfId="1" applyFont="1" applyFill="1" applyBorder="1" applyAlignment="1">
      <alignment horizontal="center"/>
    </xf>
    <xf numFmtId="14" fontId="0" fillId="3" borderId="0" xfId="0" applyNumberFormat="1" applyFill="1"/>
    <xf numFmtId="1" fontId="0" fillId="3" borderId="0" xfId="0" applyNumberFormat="1" applyFill="1"/>
    <xf numFmtId="0" fontId="0" fillId="3" borderId="13" xfId="0" applyFill="1" applyBorder="1"/>
    <xf numFmtId="9" fontId="0" fillId="0" borderId="0" xfId="3" applyFont="1"/>
    <xf numFmtId="165" fontId="2" fillId="4" borderId="11" xfId="3" applyNumberFormat="1" applyFont="1" applyFill="1" applyBorder="1" applyAlignment="1">
      <alignment horizontal="center"/>
    </xf>
    <xf numFmtId="165" fontId="0" fillId="0" borderId="0" xfId="3" applyNumberFormat="1" applyFont="1"/>
    <xf numFmtId="44" fontId="2" fillId="4" borderId="9" xfId="2" applyFont="1" applyFill="1" applyBorder="1" applyAlignment="1">
      <alignment horizontal="center"/>
    </xf>
    <xf numFmtId="44" fontId="0" fillId="0" borderId="0" xfId="2" applyFont="1"/>
    <xf numFmtId="14" fontId="0" fillId="0" borderId="0" xfId="0" applyNumberFormat="1"/>
    <xf numFmtId="14" fontId="2" fillId="4" borderId="9" xfId="0" applyNumberFormat="1" applyFont="1" applyFill="1" applyBorder="1" applyAlignment="1">
      <alignment horizontal="center"/>
    </xf>
    <xf numFmtId="2" fontId="0" fillId="0" borderId="0" xfId="0" applyNumberFormat="1"/>
    <xf numFmtId="10" fontId="2" fillId="4" borderId="11" xfId="3" applyNumberFormat="1" applyFont="1" applyFill="1" applyBorder="1" applyAlignment="1">
      <alignment horizontal="center"/>
    </xf>
    <xf numFmtId="10" fontId="0" fillId="0" borderId="0" xfId="3" applyNumberFormat="1" applyFont="1"/>
    <xf numFmtId="44" fontId="2" fillId="4" borderId="11" xfId="2" applyFont="1" applyFill="1" applyBorder="1" applyAlignment="1">
      <alignment horizontal="center"/>
    </xf>
    <xf numFmtId="166" fontId="2" fillId="4" borderId="11" xfId="2" applyNumberFormat="1" applyFont="1" applyFill="1" applyBorder="1" applyAlignment="1">
      <alignment horizontal="center"/>
    </xf>
    <xf numFmtId="166" fontId="0" fillId="0" borderId="0" xfId="2" applyNumberFormat="1" applyFont="1"/>
    <xf numFmtId="1" fontId="2" fillId="4" borderId="11" xfId="3" applyNumberFormat="1" applyFont="1" applyFill="1" applyBorder="1" applyAlignment="1">
      <alignment horizontal="center"/>
    </xf>
    <xf numFmtId="1" fontId="0" fillId="0" borderId="0" xfId="0" applyNumberFormat="1"/>
    <xf numFmtId="14" fontId="0" fillId="0" borderId="0" xfId="0" applyNumberFormat="1" applyAlignment="1">
      <alignment horizontal="right"/>
    </xf>
    <xf numFmtId="14" fontId="2" fillId="4" borderId="11" xfId="3" applyNumberFormat="1" applyFont="1" applyFill="1" applyBorder="1" applyAlignment="1">
      <alignment horizontal="center"/>
    </xf>
    <xf numFmtId="166" fontId="2" fillId="4" borderId="9" xfId="2" applyNumberFormat="1" applyFont="1" applyFill="1" applyBorder="1" applyAlignment="1">
      <alignment horizontal="center"/>
    </xf>
    <xf numFmtId="0" fontId="0" fillId="0" borderId="0" xfId="0" applyAlignment="1">
      <alignment horizontal="center"/>
    </xf>
    <xf numFmtId="9" fontId="0" fillId="0" borderId="0" xfId="3" applyFont="1" applyAlignment="1">
      <alignment horizontal="center"/>
    </xf>
    <xf numFmtId="2" fontId="0" fillId="0" borderId="0" xfId="0" applyNumberFormat="1" applyAlignment="1">
      <alignment horizontal="center"/>
    </xf>
    <xf numFmtId="166" fontId="0" fillId="0" borderId="0" xfId="2" applyNumberFormat="1" applyFont="1" applyAlignment="1">
      <alignment horizontal="center"/>
    </xf>
    <xf numFmtId="44" fontId="0" fillId="0" borderId="0" xfId="0" applyNumberFormat="1" applyAlignment="1">
      <alignment horizontal="center"/>
    </xf>
    <xf numFmtId="44" fontId="0" fillId="0" borderId="0" xfId="2" applyFont="1" applyAlignment="1">
      <alignment horizontal="center"/>
    </xf>
    <xf numFmtId="14" fontId="2" fillId="4" borderId="9" xfId="0" applyNumberFormat="1" applyFont="1" applyFill="1" applyBorder="1" applyAlignment="1">
      <alignment horizontal="right"/>
    </xf>
    <xf numFmtId="167" fontId="2" fillId="4" borderId="9" xfId="2" applyNumberFormat="1" applyFont="1" applyFill="1" applyBorder="1" applyAlignment="1">
      <alignment horizontal="center"/>
    </xf>
    <xf numFmtId="167" fontId="0" fillId="0" borderId="0" xfId="2" applyNumberFormat="1" applyFont="1"/>
    <xf numFmtId="44" fontId="0" fillId="0" borderId="0" xfId="0" applyNumberFormat="1"/>
    <xf numFmtId="44" fontId="2" fillId="4" borderId="0" xfId="2" applyFont="1" applyFill="1" applyBorder="1" applyAlignment="1">
      <alignment horizontal="center"/>
    </xf>
    <xf numFmtId="0" fontId="0" fillId="5" borderId="16" xfId="0" applyFill="1" applyBorder="1"/>
    <xf numFmtId="0" fontId="0" fillId="5" borderId="15" xfId="0" applyFill="1" applyBorder="1"/>
    <xf numFmtId="0" fontId="0" fillId="0" borderId="16" xfId="0" applyBorder="1"/>
    <xf numFmtId="0" fontId="0" fillId="0" borderId="15" xfId="0" applyBorder="1"/>
    <xf numFmtId="0" fontId="0" fillId="0" borderId="0" xfId="0" pivotButton="1"/>
    <xf numFmtId="44" fontId="0" fillId="0" borderId="0" xfId="0" applyNumberFormat="1" applyAlignment="1">
      <alignment horizontal="left"/>
    </xf>
    <xf numFmtId="44" fontId="0" fillId="0" borderId="0" xfId="0" applyNumberFormat="1" applyAlignment="1">
      <alignment horizontal="left" indent="1"/>
    </xf>
    <xf numFmtId="14" fontId="0" fillId="5" borderId="15" xfId="0" applyNumberFormat="1" applyFill="1" applyBorder="1" applyAlignment="1">
      <alignment horizontal="right"/>
    </xf>
    <xf numFmtId="44" fontId="0" fillId="5" borderId="15" xfId="2" applyFont="1" applyFill="1" applyBorder="1"/>
    <xf numFmtId="165" fontId="0" fillId="5" borderId="15" xfId="3" applyNumberFormat="1" applyFont="1" applyFill="1" applyBorder="1"/>
    <xf numFmtId="14" fontId="0" fillId="0" borderId="15" xfId="0" applyNumberFormat="1" applyBorder="1" applyAlignment="1">
      <alignment horizontal="right"/>
    </xf>
    <xf numFmtId="44" fontId="0" fillId="0" borderId="15" xfId="2" applyFont="1" applyBorder="1"/>
    <xf numFmtId="165" fontId="0" fillId="0" borderId="15" xfId="3" applyNumberFormat="1" applyFont="1" applyBorder="1"/>
    <xf numFmtId="9" fontId="2" fillId="4" borderId="11" xfId="3" applyFont="1" applyFill="1" applyBorder="1" applyAlignment="1">
      <alignment horizontal="center"/>
    </xf>
    <xf numFmtId="1" fontId="0" fillId="0" borderId="0" xfId="2" applyNumberFormat="1" applyFont="1"/>
    <xf numFmtId="14" fontId="2" fillId="4" borderId="9" xfId="2" applyNumberFormat="1" applyFont="1" applyFill="1" applyBorder="1" applyAlignment="1">
      <alignment horizontal="center"/>
    </xf>
    <xf numFmtId="14" fontId="0" fillId="0" borderId="0" xfId="2" applyNumberFormat="1" applyFont="1"/>
    <xf numFmtId="0" fontId="5" fillId="3" borderId="0" xfId="0" applyFont="1" applyFill="1" applyAlignment="1">
      <alignment horizontal="center" vertical="center"/>
    </xf>
    <xf numFmtId="9" fontId="5" fillId="3" borderId="0" xfId="3" applyFont="1" applyFill="1" applyBorder="1" applyAlignment="1">
      <alignment horizontal="center" vertical="center"/>
    </xf>
    <xf numFmtId="2" fontId="5" fillId="3" borderId="0" xfId="0" applyNumberFormat="1" applyFont="1" applyFill="1" applyAlignment="1">
      <alignment horizontal="center" vertical="center"/>
    </xf>
    <xf numFmtId="166" fontId="5" fillId="3" borderId="0" xfId="2" applyNumberFormat="1" applyFont="1" applyFill="1" applyBorder="1" applyAlignment="1">
      <alignment vertical="center"/>
    </xf>
    <xf numFmtId="166" fontId="5" fillId="3" borderId="0" xfId="2" applyNumberFormat="1" applyFont="1" applyFill="1" applyBorder="1" applyAlignment="1">
      <alignment horizontal="center" vertical="center"/>
    </xf>
    <xf numFmtId="0" fontId="5" fillId="3" borderId="0" xfId="0" applyFont="1" applyFill="1"/>
    <xf numFmtId="165" fontId="7" fillId="3" borderId="0" xfId="3" applyNumberFormat="1" applyFont="1" applyFill="1" applyBorder="1" applyAlignment="1">
      <alignment horizontal="center" wrapText="1"/>
    </xf>
    <xf numFmtId="166" fontId="7" fillId="3" borderId="0" xfId="2" applyNumberFormat="1" applyFont="1" applyFill="1" applyBorder="1" applyAlignment="1">
      <alignment horizontal="center" wrapText="1"/>
    </xf>
    <xf numFmtId="166" fontId="5" fillId="3" borderId="0" xfId="2" applyNumberFormat="1" applyFont="1" applyFill="1" applyBorder="1"/>
    <xf numFmtId="166" fontId="5" fillId="3" borderId="0" xfId="2" applyNumberFormat="1" applyFont="1" applyFill="1"/>
    <xf numFmtId="165" fontId="7" fillId="6" borderId="0" xfId="3" applyNumberFormat="1" applyFont="1" applyFill="1" applyBorder="1" applyAlignment="1">
      <alignment horizontal="center" wrapText="1"/>
    </xf>
    <xf numFmtId="166" fontId="7" fillId="6" borderId="0" xfId="2" applyNumberFormat="1" applyFont="1" applyFill="1" applyBorder="1" applyAlignment="1">
      <alignment horizontal="center" wrapText="1"/>
    </xf>
    <xf numFmtId="165" fontId="0" fillId="0" borderId="0" xfId="3" applyNumberFormat="1" applyFont="1" applyAlignment="1">
      <alignment horizontal="center"/>
    </xf>
    <xf numFmtId="165" fontId="0" fillId="0" borderId="0" xfId="0" applyNumberFormat="1"/>
    <xf numFmtId="2" fontId="2" fillId="4" borderId="9" xfId="2" applyNumberFormat="1" applyFont="1" applyFill="1" applyBorder="1" applyAlignment="1">
      <alignment horizontal="center"/>
    </xf>
    <xf numFmtId="2" fontId="0" fillId="0" borderId="0" xfId="2" applyNumberFormat="1" applyFont="1"/>
    <xf numFmtId="44" fontId="0" fillId="0" borderId="0" xfId="3" applyNumberFormat="1" applyFont="1"/>
    <xf numFmtId="0" fontId="6" fillId="3" borderId="0" xfId="0" applyFont="1" applyFill="1" applyAlignment="1">
      <alignment horizontal="center"/>
    </xf>
    <xf numFmtId="0" fontId="6" fillId="3" borderId="0" xfId="0" applyFont="1" applyFill="1" applyAlignment="1">
      <alignment horizontal="left"/>
    </xf>
    <xf numFmtId="0" fontId="2" fillId="4" borderId="4" xfId="0" applyFont="1" applyFill="1" applyBorder="1" applyAlignment="1">
      <alignment horizontal="center"/>
    </xf>
    <xf numFmtId="0" fontId="2" fillId="4" borderId="1"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44" fontId="0" fillId="0" borderId="0" xfId="2" applyNumberFormat="1" applyFont="1"/>
    <xf numFmtId="44" fontId="2" fillId="4" borderId="9" xfId="2"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24">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165" formatCode="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font>
        <b val="0"/>
        <i val="0"/>
        <strike val="0"/>
        <condense val="0"/>
        <extend val="0"/>
        <outline val="0"/>
        <shadow val="0"/>
        <u val="none"/>
        <vertAlign val="baseline"/>
        <sz val="11"/>
        <color theme="1"/>
        <name val="Aptos Narrow"/>
        <family val="2"/>
        <scheme val="minor"/>
      </font>
    </dxf>
    <dxf>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dxf>
    <dxf>
      <font>
        <b val="0"/>
        <i val="0"/>
        <strike val="0"/>
        <condense val="0"/>
        <extend val="0"/>
        <outline val="0"/>
        <shadow val="0"/>
        <u val="none"/>
        <vertAlign val="baseline"/>
        <sz val="11"/>
        <color theme="1"/>
        <name val="Aptos Narrow"/>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Trades'!$P$1</c:f>
              <c:strCache>
                <c:ptCount val="1"/>
                <c:pt idx="0">
                  <c:v> Rolling PnL </c:v>
                </c:pt>
              </c:strCache>
            </c:strRef>
          </c:tx>
          <c:spPr>
            <a:ln w="28575" cap="rnd">
              <a:solidFill>
                <a:schemeClr val="accent1"/>
              </a:solidFill>
              <a:round/>
            </a:ln>
            <a:effectLst/>
          </c:spPr>
          <c:marker>
            <c:symbol val="none"/>
          </c:marker>
          <c:cat>
            <c:numRef>
              <c:f>'All Trades'!$F$2:$F$674</c:f>
              <c:numCache>
                <c:formatCode>m/d/yyyy</c:formatCode>
                <c:ptCount val="673"/>
                <c:pt idx="0">
                  <c:v>44645</c:v>
                </c:pt>
                <c:pt idx="1">
                  <c:v>44679</c:v>
                </c:pt>
                <c:pt idx="2">
                  <c:v>44694</c:v>
                </c:pt>
                <c:pt idx="3">
                  <c:v>44708</c:v>
                </c:pt>
                <c:pt idx="4">
                  <c:v>44844</c:v>
                </c:pt>
                <c:pt idx="5">
                  <c:v>44925</c:v>
                </c:pt>
                <c:pt idx="6">
                  <c:v>44934</c:v>
                </c:pt>
                <c:pt idx="7">
                  <c:v>44946</c:v>
                </c:pt>
                <c:pt idx="8">
                  <c:v>44952</c:v>
                </c:pt>
                <c:pt idx="9">
                  <c:v>44957</c:v>
                </c:pt>
                <c:pt idx="10">
                  <c:v>44966</c:v>
                </c:pt>
                <c:pt idx="11">
                  <c:v>44970</c:v>
                </c:pt>
                <c:pt idx="12">
                  <c:v>44973</c:v>
                </c:pt>
                <c:pt idx="13">
                  <c:v>44978</c:v>
                </c:pt>
                <c:pt idx="14">
                  <c:v>44978</c:v>
                </c:pt>
                <c:pt idx="15">
                  <c:v>44979</c:v>
                </c:pt>
                <c:pt idx="16">
                  <c:v>44979</c:v>
                </c:pt>
                <c:pt idx="17">
                  <c:v>44980</c:v>
                </c:pt>
                <c:pt idx="18">
                  <c:v>44981</c:v>
                </c:pt>
                <c:pt idx="19">
                  <c:v>44981</c:v>
                </c:pt>
                <c:pt idx="20">
                  <c:v>44981</c:v>
                </c:pt>
                <c:pt idx="21">
                  <c:v>44984</c:v>
                </c:pt>
                <c:pt idx="22">
                  <c:v>44984</c:v>
                </c:pt>
                <c:pt idx="23">
                  <c:v>44984</c:v>
                </c:pt>
                <c:pt idx="24">
                  <c:v>44985</c:v>
                </c:pt>
                <c:pt idx="25">
                  <c:v>44986</c:v>
                </c:pt>
                <c:pt idx="26">
                  <c:v>44986</c:v>
                </c:pt>
                <c:pt idx="27">
                  <c:v>44987</c:v>
                </c:pt>
                <c:pt idx="28">
                  <c:v>44987</c:v>
                </c:pt>
                <c:pt idx="29">
                  <c:v>44988</c:v>
                </c:pt>
                <c:pt idx="30">
                  <c:v>44988</c:v>
                </c:pt>
                <c:pt idx="31">
                  <c:v>44988</c:v>
                </c:pt>
                <c:pt idx="32">
                  <c:v>44991</c:v>
                </c:pt>
                <c:pt idx="33">
                  <c:v>44992</c:v>
                </c:pt>
                <c:pt idx="34">
                  <c:v>44992</c:v>
                </c:pt>
                <c:pt idx="35">
                  <c:v>44992</c:v>
                </c:pt>
                <c:pt idx="36">
                  <c:v>44993</c:v>
                </c:pt>
                <c:pt idx="37">
                  <c:v>44993</c:v>
                </c:pt>
                <c:pt idx="38">
                  <c:v>44994</c:v>
                </c:pt>
                <c:pt idx="39">
                  <c:v>44994</c:v>
                </c:pt>
                <c:pt idx="40">
                  <c:v>44994</c:v>
                </c:pt>
                <c:pt idx="41">
                  <c:v>44995</c:v>
                </c:pt>
                <c:pt idx="42">
                  <c:v>44995</c:v>
                </c:pt>
                <c:pt idx="43">
                  <c:v>44995</c:v>
                </c:pt>
                <c:pt idx="44">
                  <c:v>44998</c:v>
                </c:pt>
                <c:pt idx="45">
                  <c:v>44998</c:v>
                </c:pt>
                <c:pt idx="46">
                  <c:v>44998</c:v>
                </c:pt>
                <c:pt idx="47">
                  <c:v>44999</c:v>
                </c:pt>
                <c:pt idx="48">
                  <c:v>44999</c:v>
                </c:pt>
                <c:pt idx="49">
                  <c:v>45001</c:v>
                </c:pt>
                <c:pt idx="50">
                  <c:v>45001</c:v>
                </c:pt>
                <c:pt idx="51">
                  <c:v>45001</c:v>
                </c:pt>
                <c:pt idx="52">
                  <c:v>45002</c:v>
                </c:pt>
                <c:pt idx="53">
                  <c:v>45002</c:v>
                </c:pt>
                <c:pt idx="54">
                  <c:v>45002</c:v>
                </c:pt>
                <c:pt idx="55">
                  <c:v>45002</c:v>
                </c:pt>
                <c:pt idx="56">
                  <c:v>45005</c:v>
                </c:pt>
                <c:pt idx="57">
                  <c:v>45006</c:v>
                </c:pt>
                <c:pt idx="58">
                  <c:v>45007</c:v>
                </c:pt>
                <c:pt idx="59">
                  <c:v>45007</c:v>
                </c:pt>
                <c:pt idx="60">
                  <c:v>45008</c:v>
                </c:pt>
                <c:pt idx="61">
                  <c:v>45008</c:v>
                </c:pt>
                <c:pt idx="62">
                  <c:v>45008</c:v>
                </c:pt>
                <c:pt idx="63">
                  <c:v>45009</c:v>
                </c:pt>
                <c:pt idx="64">
                  <c:v>45009</c:v>
                </c:pt>
                <c:pt idx="65">
                  <c:v>45009</c:v>
                </c:pt>
                <c:pt idx="66">
                  <c:v>45009</c:v>
                </c:pt>
                <c:pt idx="67">
                  <c:v>45013</c:v>
                </c:pt>
                <c:pt idx="68">
                  <c:v>45013</c:v>
                </c:pt>
                <c:pt idx="69">
                  <c:v>45014</c:v>
                </c:pt>
                <c:pt idx="70">
                  <c:v>45015</c:v>
                </c:pt>
                <c:pt idx="71">
                  <c:v>45015</c:v>
                </c:pt>
                <c:pt idx="72">
                  <c:v>45015</c:v>
                </c:pt>
                <c:pt idx="73">
                  <c:v>45016</c:v>
                </c:pt>
                <c:pt idx="74">
                  <c:v>45016</c:v>
                </c:pt>
                <c:pt idx="75">
                  <c:v>45016</c:v>
                </c:pt>
                <c:pt idx="76">
                  <c:v>45019</c:v>
                </c:pt>
                <c:pt idx="77">
                  <c:v>45019</c:v>
                </c:pt>
                <c:pt idx="78">
                  <c:v>45020</c:v>
                </c:pt>
                <c:pt idx="79">
                  <c:v>45020</c:v>
                </c:pt>
                <c:pt idx="80">
                  <c:v>45020</c:v>
                </c:pt>
                <c:pt idx="81">
                  <c:v>45021</c:v>
                </c:pt>
                <c:pt idx="82">
                  <c:v>45022</c:v>
                </c:pt>
                <c:pt idx="83">
                  <c:v>45022</c:v>
                </c:pt>
                <c:pt idx="84">
                  <c:v>45027</c:v>
                </c:pt>
                <c:pt idx="85">
                  <c:v>45027</c:v>
                </c:pt>
                <c:pt idx="86">
                  <c:v>45028</c:v>
                </c:pt>
                <c:pt idx="87">
                  <c:v>45029</c:v>
                </c:pt>
                <c:pt idx="88">
                  <c:v>45030</c:v>
                </c:pt>
                <c:pt idx="89">
                  <c:v>45033</c:v>
                </c:pt>
                <c:pt idx="90">
                  <c:v>45033</c:v>
                </c:pt>
                <c:pt idx="91">
                  <c:v>45033</c:v>
                </c:pt>
                <c:pt idx="92">
                  <c:v>45033</c:v>
                </c:pt>
                <c:pt idx="93">
                  <c:v>45033</c:v>
                </c:pt>
                <c:pt idx="94">
                  <c:v>45034</c:v>
                </c:pt>
                <c:pt idx="95">
                  <c:v>45036</c:v>
                </c:pt>
                <c:pt idx="96">
                  <c:v>45037</c:v>
                </c:pt>
                <c:pt idx="97">
                  <c:v>45037</c:v>
                </c:pt>
                <c:pt idx="98">
                  <c:v>45037</c:v>
                </c:pt>
                <c:pt idx="99">
                  <c:v>45037</c:v>
                </c:pt>
                <c:pt idx="100">
                  <c:v>45037</c:v>
                </c:pt>
                <c:pt idx="101">
                  <c:v>45040</c:v>
                </c:pt>
                <c:pt idx="102">
                  <c:v>45040</c:v>
                </c:pt>
                <c:pt idx="103">
                  <c:v>45041</c:v>
                </c:pt>
                <c:pt idx="104">
                  <c:v>45041</c:v>
                </c:pt>
                <c:pt idx="105">
                  <c:v>45041</c:v>
                </c:pt>
                <c:pt idx="106">
                  <c:v>45043</c:v>
                </c:pt>
                <c:pt idx="107">
                  <c:v>45043</c:v>
                </c:pt>
                <c:pt idx="108">
                  <c:v>45044</c:v>
                </c:pt>
                <c:pt idx="109">
                  <c:v>45044</c:v>
                </c:pt>
                <c:pt idx="110">
                  <c:v>45044</c:v>
                </c:pt>
                <c:pt idx="111">
                  <c:v>45047</c:v>
                </c:pt>
                <c:pt idx="112">
                  <c:v>45048</c:v>
                </c:pt>
                <c:pt idx="113">
                  <c:v>45048</c:v>
                </c:pt>
                <c:pt idx="114">
                  <c:v>45048</c:v>
                </c:pt>
                <c:pt idx="115">
                  <c:v>45049</c:v>
                </c:pt>
                <c:pt idx="116">
                  <c:v>45049</c:v>
                </c:pt>
                <c:pt idx="117">
                  <c:v>45051</c:v>
                </c:pt>
                <c:pt idx="118">
                  <c:v>45055</c:v>
                </c:pt>
                <c:pt idx="119">
                  <c:v>45056</c:v>
                </c:pt>
                <c:pt idx="120">
                  <c:v>45058</c:v>
                </c:pt>
                <c:pt idx="121">
                  <c:v>45058</c:v>
                </c:pt>
                <c:pt idx="122">
                  <c:v>45058</c:v>
                </c:pt>
                <c:pt idx="123">
                  <c:v>45058</c:v>
                </c:pt>
                <c:pt idx="124">
                  <c:v>45058</c:v>
                </c:pt>
                <c:pt idx="125">
                  <c:v>45062</c:v>
                </c:pt>
                <c:pt idx="126">
                  <c:v>45063</c:v>
                </c:pt>
                <c:pt idx="127">
                  <c:v>45063</c:v>
                </c:pt>
                <c:pt idx="128">
                  <c:v>45063</c:v>
                </c:pt>
                <c:pt idx="129">
                  <c:v>45063</c:v>
                </c:pt>
                <c:pt idx="130">
                  <c:v>45064</c:v>
                </c:pt>
                <c:pt idx="131">
                  <c:v>45064</c:v>
                </c:pt>
                <c:pt idx="132">
                  <c:v>45065</c:v>
                </c:pt>
                <c:pt idx="133">
                  <c:v>45065</c:v>
                </c:pt>
                <c:pt idx="134">
                  <c:v>45065</c:v>
                </c:pt>
                <c:pt idx="135">
                  <c:v>45065</c:v>
                </c:pt>
                <c:pt idx="136">
                  <c:v>45069</c:v>
                </c:pt>
                <c:pt idx="137">
                  <c:v>45069</c:v>
                </c:pt>
                <c:pt idx="138">
                  <c:v>45069</c:v>
                </c:pt>
                <c:pt idx="139">
                  <c:v>45070</c:v>
                </c:pt>
                <c:pt idx="140">
                  <c:v>45071</c:v>
                </c:pt>
                <c:pt idx="141">
                  <c:v>45071</c:v>
                </c:pt>
                <c:pt idx="142">
                  <c:v>45072</c:v>
                </c:pt>
                <c:pt idx="143">
                  <c:v>45076</c:v>
                </c:pt>
                <c:pt idx="144">
                  <c:v>45077</c:v>
                </c:pt>
                <c:pt idx="145">
                  <c:v>45078</c:v>
                </c:pt>
                <c:pt idx="146">
                  <c:v>45079</c:v>
                </c:pt>
                <c:pt idx="147">
                  <c:v>45082</c:v>
                </c:pt>
                <c:pt idx="148">
                  <c:v>45084</c:v>
                </c:pt>
                <c:pt idx="149">
                  <c:v>45084</c:v>
                </c:pt>
                <c:pt idx="150">
                  <c:v>45085</c:v>
                </c:pt>
                <c:pt idx="151">
                  <c:v>45086</c:v>
                </c:pt>
                <c:pt idx="152">
                  <c:v>45086</c:v>
                </c:pt>
                <c:pt idx="153">
                  <c:v>45089</c:v>
                </c:pt>
                <c:pt idx="154">
                  <c:v>45090</c:v>
                </c:pt>
                <c:pt idx="155">
                  <c:v>45091</c:v>
                </c:pt>
                <c:pt idx="156">
                  <c:v>45092</c:v>
                </c:pt>
                <c:pt idx="157">
                  <c:v>45092</c:v>
                </c:pt>
                <c:pt idx="158">
                  <c:v>45093</c:v>
                </c:pt>
                <c:pt idx="159">
                  <c:v>45093</c:v>
                </c:pt>
                <c:pt idx="160">
                  <c:v>45093</c:v>
                </c:pt>
                <c:pt idx="161">
                  <c:v>45093</c:v>
                </c:pt>
                <c:pt idx="162">
                  <c:v>45093</c:v>
                </c:pt>
                <c:pt idx="163">
                  <c:v>45097</c:v>
                </c:pt>
                <c:pt idx="164">
                  <c:v>45097</c:v>
                </c:pt>
                <c:pt idx="165">
                  <c:v>45097</c:v>
                </c:pt>
                <c:pt idx="166">
                  <c:v>45097</c:v>
                </c:pt>
                <c:pt idx="167">
                  <c:v>45103</c:v>
                </c:pt>
                <c:pt idx="168">
                  <c:v>45104</c:v>
                </c:pt>
                <c:pt idx="169">
                  <c:v>45105</c:v>
                </c:pt>
                <c:pt idx="170">
                  <c:v>45106</c:v>
                </c:pt>
                <c:pt idx="171">
                  <c:v>45107</c:v>
                </c:pt>
                <c:pt idx="172">
                  <c:v>45107</c:v>
                </c:pt>
                <c:pt idx="173">
                  <c:v>45107</c:v>
                </c:pt>
                <c:pt idx="174">
                  <c:v>45107</c:v>
                </c:pt>
                <c:pt idx="175">
                  <c:v>45107</c:v>
                </c:pt>
                <c:pt idx="176">
                  <c:v>45112</c:v>
                </c:pt>
                <c:pt idx="177">
                  <c:v>45114</c:v>
                </c:pt>
                <c:pt idx="178">
                  <c:v>45114</c:v>
                </c:pt>
                <c:pt idx="179">
                  <c:v>45117</c:v>
                </c:pt>
                <c:pt idx="180">
                  <c:v>45117</c:v>
                </c:pt>
                <c:pt idx="181">
                  <c:v>45118</c:v>
                </c:pt>
                <c:pt idx="182">
                  <c:v>45118</c:v>
                </c:pt>
                <c:pt idx="183">
                  <c:v>45118</c:v>
                </c:pt>
                <c:pt idx="184">
                  <c:v>45119</c:v>
                </c:pt>
                <c:pt idx="185">
                  <c:v>45119</c:v>
                </c:pt>
                <c:pt idx="186">
                  <c:v>45119</c:v>
                </c:pt>
                <c:pt idx="187">
                  <c:v>45119</c:v>
                </c:pt>
                <c:pt idx="188">
                  <c:v>45119</c:v>
                </c:pt>
                <c:pt idx="189">
                  <c:v>45119</c:v>
                </c:pt>
                <c:pt idx="190">
                  <c:v>45119</c:v>
                </c:pt>
                <c:pt idx="191">
                  <c:v>45119</c:v>
                </c:pt>
                <c:pt idx="192">
                  <c:v>45119</c:v>
                </c:pt>
                <c:pt idx="193">
                  <c:v>45120</c:v>
                </c:pt>
                <c:pt idx="194">
                  <c:v>45120</c:v>
                </c:pt>
                <c:pt idx="195">
                  <c:v>45121</c:v>
                </c:pt>
                <c:pt idx="196">
                  <c:v>45122</c:v>
                </c:pt>
                <c:pt idx="197">
                  <c:v>45122</c:v>
                </c:pt>
                <c:pt idx="198">
                  <c:v>45122</c:v>
                </c:pt>
                <c:pt idx="199">
                  <c:v>45123</c:v>
                </c:pt>
                <c:pt idx="200">
                  <c:v>45124</c:v>
                </c:pt>
                <c:pt idx="201">
                  <c:v>45124</c:v>
                </c:pt>
                <c:pt idx="202">
                  <c:v>45127</c:v>
                </c:pt>
                <c:pt idx="203">
                  <c:v>45128</c:v>
                </c:pt>
                <c:pt idx="204">
                  <c:v>45131</c:v>
                </c:pt>
                <c:pt idx="205">
                  <c:v>45131</c:v>
                </c:pt>
                <c:pt idx="206">
                  <c:v>45132</c:v>
                </c:pt>
                <c:pt idx="207">
                  <c:v>45133</c:v>
                </c:pt>
                <c:pt idx="208">
                  <c:v>45133</c:v>
                </c:pt>
                <c:pt idx="209">
                  <c:v>45134</c:v>
                </c:pt>
                <c:pt idx="210">
                  <c:v>45134</c:v>
                </c:pt>
                <c:pt idx="211">
                  <c:v>45141</c:v>
                </c:pt>
                <c:pt idx="212">
                  <c:v>45145</c:v>
                </c:pt>
                <c:pt idx="213">
                  <c:v>45146</c:v>
                </c:pt>
                <c:pt idx="214">
                  <c:v>45147</c:v>
                </c:pt>
                <c:pt idx="215">
                  <c:v>45156</c:v>
                </c:pt>
                <c:pt idx="216">
                  <c:v>45156</c:v>
                </c:pt>
                <c:pt idx="217">
                  <c:v>45167</c:v>
                </c:pt>
                <c:pt idx="218">
                  <c:v>45168</c:v>
                </c:pt>
                <c:pt idx="219">
                  <c:v>45168</c:v>
                </c:pt>
                <c:pt idx="220">
                  <c:v>45168</c:v>
                </c:pt>
                <c:pt idx="221">
                  <c:v>45171</c:v>
                </c:pt>
                <c:pt idx="222">
                  <c:v>45174</c:v>
                </c:pt>
                <c:pt idx="223">
                  <c:v>45175</c:v>
                </c:pt>
                <c:pt idx="224">
                  <c:v>45176</c:v>
                </c:pt>
                <c:pt idx="225">
                  <c:v>45177</c:v>
                </c:pt>
                <c:pt idx="226">
                  <c:v>45177</c:v>
                </c:pt>
                <c:pt idx="227">
                  <c:v>45179</c:v>
                </c:pt>
                <c:pt idx="228">
                  <c:v>45182</c:v>
                </c:pt>
                <c:pt idx="229">
                  <c:v>45182</c:v>
                </c:pt>
                <c:pt idx="230">
                  <c:v>45182</c:v>
                </c:pt>
                <c:pt idx="231">
                  <c:v>45182</c:v>
                </c:pt>
                <c:pt idx="232">
                  <c:v>45182</c:v>
                </c:pt>
                <c:pt idx="233">
                  <c:v>45183</c:v>
                </c:pt>
                <c:pt idx="234">
                  <c:v>45183</c:v>
                </c:pt>
                <c:pt idx="235">
                  <c:v>45183</c:v>
                </c:pt>
                <c:pt idx="236">
                  <c:v>45183</c:v>
                </c:pt>
                <c:pt idx="237">
                  <c:v>45188</c:v>
                </c:pt>
                <c:pt idx="238">
                  <c:v>45188</c:v>
                </c:pt>
                <c:pt idx="239">
                  <c:v>45189</c:v>
                </c:pt>
                <c:pt idx="240">
                  <c:v>45189</c:v>
                </c:pt>
                <c:pt idx="241">
                  <c:v>45189</c:v>
                </c:pt>
                <c:pt idx="242">
                  <c:v>45189</c:v>
                </c:pt>
                <c:pt idx="243">
                  <c:v>45189</c:v>
                </c:pt>
                <c:pt idx="244">
                  <c:v>45190</c:v>
                </c:pt>
                <c:pt idx="245">
                  <c:v>45190</c:v>
                </c:pt>
                <c:pt idx="246">
                  <c:v>45194</c:v>
                </c:pt>
                <c:pt idx="247">
                  <c:v>45195</c:v>
                </c:pt>
                <c:pt idx="248">
                  <c:v>45196</c:v>
                </c:pt>
                <c:pt idx="249">
                  <c:v>45197</c:v>
                </c:pt>
                <c:pt idx="250">
                  <c:v>45197</c:v>
                </c:pt>
                <c:pt idx="251">
                  <c:v>45198</c:v>
                </c:pt>
                <c:pt idx="252">
                  <c:v>45198</c:v>
                </c:pt>
                <c:pt idx="253">
                  <c:v>45198</c:v>
                </c:pt>
                <c:pt idx="254">
                  <c:v>45198</c:v>
                </c:pt>
                <c:pt idx="255">
                  <c:v>45198</c:v>
                </c:pt>
                <c:pt idx="256">
                  <c:v>45198</c:v>
                </c:pt>
                <c:pt idx="257">
                  <c:v>45198</c:v>
                </c:pt>
                <c:pt idx="258">
                  <c:v>45199</c:v>
                </c:pt>
                <c:pt idx="259">
                  <c:v>45200</c:v>
                </c:pt>
                <c:pt idx="260">
                  <c:v>45201</c:v>
                </c:pt>
                <c:pt idx="261">
                  <c:v>45201</c:v>
                </c:pt>
                <c:pt idx="262">
                  <c:v>45202</c:v>
                </c:pt>
                <c:pt idx="263">
                  <c:v>45202</c:v>
                </c:pt>
                <c:pt idx="264">
                  <c:v>45202</c:v>
                </c:pt>
                <c:pt idx="265">
                  <c:v>45202</c:v>
                </c:pt>
                <c:pt idx="266">
                  <c:v>45202</c:v>
                </c:pt>
                <c:pt idx="267">
                  <c:v>45203</c:v>
                </c:pt>
                <c:pt idx="268">
                  <c:v>45203</c:v>
                </c:pt>
                <c:pt idx="269">
                  <c:v>45203</c:v>
                </c:pt>
                <c:pt idx="270">
                  <c:v>45203</c:v>
                </c:pt>
                <c:pt idx="271">
                  <c:v>45203</c:v>
                </c:pt>
                <c:pt idx="272">
                  <c:v>45204</c:v>
                </c:pt>
                <c:pt idx="273">
                  <c:v>45205</c:v>
                </c:pt>
                <c:pt idx="274">
                  <c:v>45205</c:v>
                </c:pt>
                <c:pt idx="275">
                  <c:v>45205</c:v>
                </c:pt>
                <c:pt idx="276">
                  <c:v>45208</c:v>
                </c:pt>
                <c:pt idx="277">
                  <c:v>45209</c:v>
                </c:pt>
                <c:pt idx="278">
                  <c:v>45211</c:v>
                </c:pt>
                <c:pt idx="279">
                  <c:v>45211</c:v>
                </c:pt>
                <c:pt idx="280">
                  <c:v>45211</c:v>
                </c:pt>
                <c:pt idx="281">
                  <c:v>45211</c:v>
                </c:pt>
                <c:pt idx="282">
                  <c:v>45211</c:v>
                </c:pt>
                <c:pt idx="283">
                  <c:v>45215</c:v>
                </c:pt>
                <c:pt idx="284">
                  <c:v>45217</c:v>
                </c:pt>
                <c:pt idx="285">
                  <c:v>45217</c:v>
                </c:pt>
                <c:pt idx="286">
                  <c:v>45217</c:v>
                </c:pt>
                <c:pt idx="287">
                  <c:v>45218</c:v>
                </c:pt>
                <c:pt idx="288">
                  <c:v>45219</c:v>
                </c:pt>
                <c:pt idx="289">
                  <c:v>45219</c:v>
                </c:pt>
                <c:pt idx="290">
                  <c:v>45219</c:v>
                </c:pt>
                <c:pt idx="291">
                  <c:v>45219</c:v>
                </c:pt>
                <c:pt idx="292">
                  <c:v>45219</c:v>
                </c:pt>
                <c:pt idx="293">
                  <c:v>45219</c:v>
                </c:pt>
                <c:pt idx="294">
                  <c:v>45219</c:v>
                </c:pt>
                <c:pt idx="295">
                  <c:v>45223</c:v>
                </c:pt>
                <c:pt idx="296">
                  <c:v>45224</c:v>
                </c:pt>
                <c:pt idx="297">
                  <c:v>45224</c:v>
                </c:pt>
                <c:pt idx="298">
                  <c:v>45225</c:v>
                </c:pt>
                <c:pt idx="299">
                  <c:v>45225</c:v>
                </c:pt>
                <c:pt idx="300">
                  <c:v>45225</c:v>
                </c:pt>
                <c:pt idx="301">
                  <c:v>45225</c:v>
                </c:pt>
                <c:pt idx="302">
                  <c:v>45225</c:v>
                </c:pt>
                <c:pt idx="303">
                  <c:v>45226</c:v>
                </c:pt>
                <c:pt idx="304">
                  <c:v>45229</c:v>
                </c:pt>
                <c:pt idx="305">
                  <c:v>45231</c:v>
                </c:pt>
                <c:pt idx="306">
                  <c:v>45232</c:v>
                </c:pt>
                <c:pt idx="307">
                  <c:v>45232</c:v>
                </c:pt>
                <c:pt idx="308">
                  <c:v>45233</c:v>
                </c:pt>
                <c:pt idx="309">
                  <c:v>45238</c:v>
                </c:pt>
                <c:pt idx="310">
                  <c:v>45239</c:v>
                </c:pt>
                <c:pt idx="311">
                  <c:v>45239</c:v>
                </c:pt>
                <c:pt idx="312">
                  <c:v>45239</c:v>
                </c:pt>
                <c:pt idx="313">
                  <c:v>45244</c:v>
                </c:pt>
                <c:pt idx="314">
                  <c:v>45245</c:v>
                </c:pt>
                <c:pt idx="315">
                  <c:v>45245</c:v>
                </c:pt>
                <c:pt idx="316">
                  <c:v>45245</c:v>
                </c:pt>
                <c:pt idx="317">
                  <c:v>45246</c:v>
                </c:pt>
                <c:pt idx="318">
                  <c:v>45246</c:v>
                </c:pt>
                <c:pt idx="319">
                  <c:v>45247</c:v>
                </c:pt>
                <c:pt idx="320">
                  <c:v>45247</c:v>
                </c:pt>
                <c:pt idx="321">
                  <c:v>45250</c:v>
                </c:pt>
                <c:pt idx="322">
                  <c:v>45250</c:v>
                </c:pt>
                <c:pt idx="323">
                  <c:v>45250</c:v>
                </c:pt>
                <c:pt idx="324">
                  <c:v>45251</c:v>
                </c:pt>
                <c:pt idx="325">
                  <c:v>45254</c:v>
                </c:pt>
                <c:pt idx="326">
                  <c:v>45254</c:v>
                </c:pt>
                <c:pt idx="327">
                  <c:v>45254</c:v>
                </c:pt>
                <c:pt idx="328">
                  <c:v>45254</c:v>
                </c:pt>
                <c:pt idx="329">
                  <c:v>45257</c:v>
                </c:pt>
                <c:pt idx="330">
                  <c:v>45258</c:v>
                </c:pt>
                <c:pt idx="331">
                  <c:v>45258</c:v>
                </c:pt>
                <c:pt idx="332">
                  <c:v>45259</c:v>
                </c:pt>
                <c:pt idx="333">
                  <c:v>45260</c:v>
                </c:pt>
                <c:pt idx="334">
                  <c:v>45260</c:v>
                </c:pt>
                <c:pt idx="335">
                  <c:v>45261</c:v>
                </c:pt>
                <c:pt idx="336">
                  <c:v>45264</c:v>
                </c:pt>
                <c:pt idx="337">
                  <c:v>45264</c:v>
                </c:pt>
                <c:pt idx="338">
                  <c:v>45265</c:v>
                </c:pt>
                <c:pt idx="339">
                  <c:v>45265</c:v>
                </c:pt>
                <c:pt idx="340">
                  <c:v>45265</c:v>
                </c:pt>
                <c:pt idx="341">
                  <c:v>45266</c:v>
                </c:pt>
                <c:pt idx="342">
                  <c:v>45267</c:v>
                </c:pt>
                <c:pt idx="343">
                  <c:v>45268</c:v>
                </c:pt>
                <c:pt idx="344">
                  <c:v>45273</c:v>
                </c:pt>
                <c:pt idx="345">
                  <c:v>45273</c:v>
                </c:pt>
                <c:pt idx="346">
                  <c:v>45273</c:v>
                </c:pt>
                <c:pt idx="347">
                  <c:v>45274</c:v>
                </c:pt>
                <c:pt idx="348">
                  <c:v>45274</c:v>
                </c:pt>
                <c:pt idx="349">
                  <c:v>45274</c:v>
                </c:pt>
                <c:pt idx="350">
                  <c:v>45274</c:v>
                </c:pt>
                <c:pt idx="351">
                  <c:v>45275</c:v>
                </c:pt>
                <c:pt idx="352">
                  <c:v>45275</c:v>
                </c:pt>
                <c:pt idx="353">
                  <c:v>45276</c:v>
                </c:pt>
                <c:pt idx="354">
                  <c:v>45279</c:v>
                </c:pt>
                <c:pt idx="355">
                  <c:v>45281</c:v>
                </c:pt>
                <c:pt idx="356">
                  <c:v>45281</c:v>
                </c:pt>
                <c:pt idx="357">
                  <c:v>45282</c:v>
                </c:pt>
                <c:pt idx="358">
                  <c:v>45282</c:v>
                </c:pt>
                <c:pt idx="359">
                  <c:v>45287</c:v>
                </c:pt>
                <c:pt idx="360">
                  <c:v>45289</c:v>
                </c:pt>
                <c:pt idx="361">
                  <c:v>45289</c:v>
                </c:pt>
                <c:pt idx="362">
                  <c:v>45289</c:v>
                </c:pt>
                <c:pt idx="363">
                  <c:v>45289</c:v>
                </c:pt>
                <c:pt idx="364">
                  <c:v>45293</c:v>
                </c:pt>
                <c:pt idx="365">
                  <c:v>45293</c:v>
                </c:pt>
                <c:pt idx="366">
                  <c:v>45295</c:v>
                </c:pt>
                <c:pt idx="367">
                  <c:v>45295</c:v>
                </c:pt>
                <c:pt idx="368">
                  <c:v>45296</c:v>
                </c:pt>
                <c:pt idx="369">
                  <c:v>45296</c:v>
                </c:pt>
                <c:pt idx="370">
                  <c:v>45299</c:v>
                </c:pt>
                <c:pt idx="371">
                  <c:v>45300</c:v>
                </c:pt>
                <c:pt idx="372">
                  <c:v>45300</c:v>
                </c:pt>
                <c:pt idx="373">
                  <c:v>45301</c:v>
                </c:pt>
                <c:pt idx="374">
                  <c:v>45302</c:v>
                </c:pt>
                <c:pt idx="375">
                  <c:v>45302</c:v>
                </c:pt>
                <c:pt idx="376">
                  <c:v>45304</c:v>
                </c:pt>
                <c:pt idx="377">
                  <c:v>45307</c:v>
                </c:pt>
                <c:pt idx="378">
                  <c:v>45307</c:v>
                </c:pt>
                <c:pt idx="379">
                  <c:v>45308</c:v>
                </c:pt>
                <c:pt idx="380">
                  <c:v>45310</c:v>
                </c:pt>
                <c:pt idx="381">
                  <c:v>45310</c:v>
                </c:pt>
                <c:pt idx="382">
                  <c:v>45313</c:v>
                </c:pt>
                <c:pt idx="383">
                  <c:v>45313</c:v>
                </c:pt>
                <c:pt idx="384">
                  <c:v>45314</c:v>
                </c:pt>
                <c:pt idx="385">
                  <c:v>45314</c:v>
                </c:pt>
                <c:pt idx="386">
                  <c:v>45315</c:v>
                </c:pt>
                <c:pt idx="387">
                  <c:v>45316</c:v>
                </c:pt>
                <c:pt idx="388">
                  <c:v>45317</c:v>
                </c:pt>
                <c:pt idx="389">
                  <c:v>45320</c:v>
                </c:pt>
                <c:pt idx="390">
                  <c:v>45320</c:v>
                </c:pt>
                <c:pt idx="391">
                  <c:v>45320</c:v>
                </c:pt>
                <c:pt idx="392">
                  <c:v>45322</c:v>
                </c:pt>
                <c:pt idx="393">
                  <c:v>45322</c:v>
                </c:pt>
                <c:pt idx="394">
                  <c:v>45322</c:v>
                </c:pt>
                <c:pt idx="395">
                  <c:v>45323</c:v>
                </c:pt>
                <c:pt idx="396">
                  <c:v>45323</c:v>
                </c:pt>
                <c:pt idx="397">
                  <c:v>45323</c:v>
                </c:pt>
                <c:pt idx="398">
                  <c:v>45323</c:v>
                </c:pt>
                <c:pt idx="399">
                  <c:v>45323</c:v>
                </c:pt>
                <c:pt idx="400">
                  <c:v>45323</c:v>
                </c:pt>
                <c:pt idx="401">
                  <c:v>45323</c:v>
                </c:pt>
                <c:pt idx="402">
                  <c:v>45323</c:v>
                </c:pt>
                <c:pt idx="403">
                  <c:v>45324</c:v>
                </c:pt>
                <c:pt idx="404">
                  <c:v>45324</c:v>
                </c:pt>
                <c:pt idx="405">
                  <c:v>45327</c:v>
                </c:pt>
                <c:pt idx="406">
                  <c:v>45327</c:v>
                </c:pt>
                <c:pt idx="407">
                  <c:v>45328</c:v>
                </c:pt>
                <c:pt idx="408">
                  <c:v>45328</c:v>
                </c:pt>
                <c:pt idx="409">
                  <c:v>45328</c:v>
                </c:pt>
                <c:pt idx="410">
                  <c:v>45329</c:v>
                </c:pt>
                <c:pt idx="411">
                  <c:v>45330</c:v>
                </c:pt>
                <c:pt idx="412">
                  <c:v>45331</c:v>
                </c:pt>
                <c:pt idx="413">
                  <c:v>45334</c:v>
                </c:pt>
                <c:pt idx="414">
                  <c:v>45334</c:v>
                </c:pt>
                <c:pt idx="415">
                  <c:v>45335</c:v>
                </c:pt>
                <c:pt idx="416">
                  <c:v>45335</c:v>
                </c:pt>
                <c:pt idx="417">
                  <c:v>45335</c:v>
                </c:pt>
                <c:pt idx="418">
                  <c:v>45335</c:v>
                </c:pt>
                <c:pt idx="419">
                  <c:v>45337</c:v>
                </c:pt>
                <c:pt idx="420">
                  <c:v>45338</c:v>
                </c:pt>
                <c:pt idx="421">
                  <c:v>45338</c:v>
                </c:pt>
                <c:pt idx="422">
                  <c:v>45338</c:v>
                </c:pt>
                <c:pt idx="423">
                  <c:v>45338</c:v>
                </c:pt>
                <c:pt idx="424">
                  <c:v>45341</c:v>
                </c:pt>
                <c:pt idx="425">
                  <c:v>45342</c:v>
                </c:pt>
                <c:pt idx="426">
                  <c:v>45342</c:v>
                </c:pt>
                <c:pt idx="427">
                  <c:v>45342</c:v>
                </c:pt>
                <c:pt idx="428">
                  <c:v>45345</c:v>
                </c:pt>
                <c:pt idx="429">
                  <c:v>45345</c:v>
                </c:pt>
                <c:pt idx="430">
                  <c:v>45348</c:v>
                </c:pt>
                <c:pt idx="431">
                  <c:v>45349</c:v>
                </c:pt>
                <c:pt idx="432">
                  <c:v>45349</c:v>
                </c:pt>
                <c:pt idx="433">
                  <c:v>45349</c:v>
                </c:pt>
                <c:pt idx="434">
                  <c:v>45349</c:v>
                </c:pt>
                <c:pt idx="435">
                  <c:v>45349</c:v>
                </c:pt>
                <c:pt idx="436">
                  <c:v>45349</c:v>
                </c:pt>
                <c:pt idx="437">
                  <c:v>45350</c:v>
                </c:pt>
                <c:pt idx="438">
                  <c:v>45350</c:v>
                </c:pt>
                <c:pt idx="439">
                  <c:v>45350</c:v>
                </c:pt>
                <c:pt idx="440">
                  <c:v>45351</c:v>
                </c:pt>
                <c:pt idx="441">
                  <c:v>45351</c:v>
                </c:pt>
                <c:pt idx="442">
                  <c:v>45351</c:v>
                </c:pt>
                <c:pt idx="443">
                  <c:v>45351</c:v>
                </c:pt>
                <c:pt idx="444">
                  <c:v>45352</c:v>
                </c:pt>
                <c:pt idx="445">
                  <c:v>45352</c:v>
                </c:pt>
                <c:pt idx="446">
                  <c:v>45352</c:v>
                </c:pt>
                <c:pt idx="447">
                  <c:v>45352</c:v>
                </c:pt>
                <c:pt idx="448">
                  <c:v>45352</c:v>
                </c:pt>
                <c:pt idx="449">
                  <c:v>45355</c:v>
                </c:pt>
                <c:pt idx="450">
                  <c:v>45355</c:v>
                </c:pt>
                <c:pt idx="451">
                  <c:v>45356</c:v>
                </c:pt>
                <c:pt idx="452">
                  <c:v>45356</c:v>
                </c:pt>
                <c:pt idx="453">
                  <c:v>45356</c:v>
                </c:pt>
                <c:pt idx="454">
                  <c:v>45356</c:v>
                </c:pt>
                <c:pt idx="455">
                  <c:v>45357</c:v>
                </c:pt>
                <c:pt idx="456">
                  <c:v>45357</c:v>
                </c:pt>
                <c:pt idx="457">
                  <c:v>45357</c:v>
                </c:pt>
                <c:pt idx="458">
                  <c:v>45358</c:v>
                </c:pt>
                <c:pt idx="459">
                  <c:v>45358</c:v>
                </c:pt>
                <c:pt idx="460">
                  <c:v>45358</c:v>
                </c:pt>
                <c:pt idx="461">
                  <c:v>45359</c:v>
                </c:pt>
                <c:pt idx="462">
                  <c:v>45359</c:v>
                </c:pt>
                <c:pt idx="463">
                  <c:v>45359</c:v>
                </c:pt>
                <c:pt idx="464">
                  <c:v>45359</c:v>
                </c:pt>
                <c:pt idx="465">
                  <c:v>45359</c:v>
                </c:pt>
                <c:pt idx="466">
                  <c:v>45359</c:v>
                </c:pt>
                <c:pt idx="467">
                  <c:v>45359</c:v>
                </c:pt>
                <c:pt idx="468">
                  <c:v>45359</c:v>
                </c:pt>
                <c:pt idx="469">
                  <c:v>45359</c:v>
                </c:pt>
                <c:pt idx="470">
                  <c:v>45363</c:v>
                </c:pt>
                <c:pt idx="471">
                  <c:v>45363</c:v>
                </c:pt>
                <c:pt idx="472">
                  <c:v>45364</c:v>
                </c:pt>
                <c:pt idx="473">
                  <c:v>45364</c:v>
                </c:pt>
                <c:pt idx="474">
                  <c:v>45364</c:v>
                </c:pt>
                <c:pt idx="475">
                  <c:v>45365</c:v>
                </c:pt>
                <c:pt idx="476">
                  <c:v>45365</c:v>
                </c:pt>
                <c:pt idx="477">
                  <c:v>45365</c:v>
                </c:pt>
                <c:pt idx="478">
                  <c:v>45366</c:v>
                </c:pt>
                <c:pt idx="479">
                  <c:v>45366</c:v>
                </c:pt>
                <c:pt idx="480">
                  <c:v>45366</c:v>
                </c:pt>
                <c:pt idx="481">
                  <c:v>45366</c:v>
                </c:pt>
                <c:pt idx="482">
                  <c:v>45366</c:v>
                </c:pt>
                <c:pt idx="483">
                  <c:v>45366</c:v>
                </c:pt>
                <c:pt idx="484">
                  <c:v>45366</c:v>
                </c:pt>
                <c:pt idx="485">
                  <c:v>45366</c:v>
                </c:pt>
                <c:pt idx="486">
                  <c:v>45366</c:v>
                </c:pt>
                <c:pt idx="487">
                  <c:v>45369</c:v>
                </c:pt>
                <c:pt idx="488">
                  <c:v>45370</c:v>
                </c:pt>
                <c:pt idx="489">
                  <c:v>45370</c:v>
                </c:pt>
                <c:pt idx="490">
                  <c:v>45370</c:v>
                </c:pt>
                <c:pt idx="491">
                  <c:v>45370</c:v>
                </c:pt>
                <c:pt idx="492">
                  <c:v>45370</c:v>
                </c:pt>
                <c:pt idx="493">
                  <c:v>45370</c:v>
                </c:pt>
                <c:pt idx="494">
                  <c:v>45371</c:v>
                </c:pt>
                <c:pt idx="495">
                  <c:v>45371</c:v>
                </c:pt>
                <c:pt idx="496">
                  <c:v>45371</c:v>
                </c:pt>
                <c:pt idx="497">
                  <c:v>45371</c:v>
                </c:pt>
                <c:pt idx="498">
                  <c:v>45371</c:v>
                </c:pt>
                <c:pt idx="499">
                  <c:v>45372</c:v>
                </c:pt>
                <c:pt idx="500">
                  <c:v>45372</c:v>
                </c:pt>
                <c:pt idx="501">
                  <c:v>45372</c:v>
                </c:pt>
                <c:pt idx="502">
                  <c:v>45372</c:v>
                </c:pt>
                <c:pt idx="503">
                  <c:v>45373</c:v>
                </c:pt>
                <c:pt idx="504">
                  <c:v>45373</c:v>
                </c:pt>
                <c:pt idx="505">
                  <c:v>45375</c:v>
                </c:pt>
                <c:pt idx="506">
                  <c:v>45376</c:v>
                </c:pt>
                <c:pt idx="507">
                  <c:v>45376</c:v>
                </c:pt>
                <c:pt idx="508">
                  <c:v>45376</c:v>
                </c:pt>
                <c:pt idx="509">
                  <c:v>45376</c:v>
                </c:pt>
                <c:pt idx="510">
                  <c:v>45377</c:v>
                </c:pt>
                <c:pt idx="511">
                  <c:v>45378</c:v>
                </c:pt>
                <c:pt idx="512">
                  <c:v>45379</c:v>
                </c:pt>
                <c:pt idx="513">
                  <c:v>45379</c:v>
                </c:pt>
                <c:pt idx="514">
                  <c:v>45379</c:v>
                </c:pt>
                <c:pt idx="515">
                  <c:v>45383</c:v>
                </c:pt>
                <c:pt idx="516">
                  <c:v>45383</c:v>
                </c:pt>
                <c:pt idx="517">
                  <c:v>45383</c:v>
                </c:pt>
                <c:pt idx="518">
                  <c:v>45384</c:v>
                </c:pt>
                <c:pt idx="519">
                  <c:v>45384</c:v>
                </c:pt>
                <c:pt idx="520">
                  <c:v>45384</c:v>
                </c:pt>
                <c:pt idx="521">
                  <c:v>45384</c:v>
                </c:pt>
                <c:pt idx="522">
                  <c:v>45384</c:v>
                </c:pt>
                <c:pt idx="523">
                  <c:v>45386</c:v>
                </c:pt>
                <c:pt idx="524">
                  <c:v>45386</c:v>
                </c:pt>
                <c:pt idx="525">
                  <c:v>45386</c:v>
                </c:pt>
                <c:pt idx="526">
                  <c:v>45386</c:v>
                </c:pt>
                <c:pt idx="527">
                  <c:v>45386</c:v>
                </c:pt>
                <c:pt idx="528">
                  <c:v>45387</c:v>
                </c:pt>
                <c:pt idx="529">
                  <c:v>45387</c:v>
                </c:pt>
                <c:pt idx="530">
                  <c:v>45390</c:v>
                </c:pt>
                <c:pt idx="531">
                  <c:v>45391</c:v>
                </c:pt>
                <c:pt idx="532">
                  <c:v>45392</c:v>
                </c:pt>
                <c:pt idx="533">
                  <c:v>45392</c:v>
                </c:pt>
                <c:pt idx="534">
                  <c:v>45392</c:v>
                </c:pt>
                <c:pt idx="535">
                  <c:v>45393</c:v>
                </c:pt>
                <c:pt idx="536">
                  <c:v>45393</c:v>
                </c:pt>
                <c:pt idx="537">
                  <c:v>45393</c:v>
                </c:pt>
                <c:pt idx="538">
                  <c:v>45393</c:v>
                </c:pt>
                <c:pt idx="539">
                  <c:v>45394</c:v>
                </c:pt>
                <c:pt idx="540">
                  <c:v>45394</c:v>
                </c:pt>
                <c:pt idx="541">
                  <c:v>45397</c:v>
                </c:pt>
                <c:pt idx="542">
                  <c:v>45397</c:v>
                </c:pt>
                <c:pt idx="543">
                  <c:v>45397</c:v>
                </c:pt>
                <c:pt idx="544">
                  <c:v>45397</c:v>
                </c:pt>
                <c:pt idx="545">
                  <c:v>45398</c:v>
                </c:pt>
                <c:pt idx="546">
                  <c:v>45398</c:v>
                </c:pt>
                <c:pt idx="547">
                  <c:v>45400</c:v>
                </c:pt>
                <c:pt idx="548">
                  <c:v>45400</c:v>
                </c:pt>
                <c:pt idx="549">
                  <c:v>45401</c:v>
                </c:pt>
                <c:pt idx="550">
                  <c:v>45404</c:v>
                </c:pt>
                <c:pt idx="551">
                  <c:v>45405</c:v>
                </c:pt>
                <c:pt idx="552">
                  <c:v>45407</c:v>
                </c:pt>
                <c:pt idx="553">
                  <c:v>45407</c:v>
                </c:pt>
                <c:pt idx="554">
                  <c:v>45408</c:v>
                </c:pt>
                <c:pt idx="555">
                  <c:v>45408</c:v>
                </c:pt>
                <c:pt idx="556">
                  <c:v>45408</c:v>
                </c:pt>
                <c:pt idx="557">
                  <c:v>45411</c:v>
                </c:pt>
                <c:pt idx="558">
                  <c:v>45413</c:v>
                </c:pt>
                <c:pt idx="559">
                  <c:v>45413</c:v>
                </c:pt>
                <c:pt idx="560">
                  <c:v>45414</c:v>
                </c:pt>
                <c:pt idx="561">
                  <c:v>45415</c:v>
                </c:pt>
                <c:pt idx="562">
                  <c:v>45419</c:v>
                </c:pt>
                <c:pt idx="563">
                  <c:v>45419</c:v>
                </c:pt>
                <c:pt idx="564">
                  <c:v>45422</c:v>
                </c:pt>
                <c:pt idx="565">
                  <c:v>45422</c:v>
                </c:pt>
                <c:pt idx="566">
                  <c:v>45423</c:v>
                </c:pt>
                <c:pt idx="567">
                  <c:v>45425</c:v>
                </c:pt>
                <c:pt idx="568">
                  <c:v>45426</c:v>
                </c:pt>
                <c:pt idx="569">
                  <c:v>45428</c:v>
                </c:pt>
                <c:pt idx="570">
                  <c:v>45428</c:v>
                </c:pt>
                <c:pt idx="571">
                  <c:v>45429</c:v>
                </c:pt>
                <c:pt idx="572">
                  <c:v>45429</c:v>
                </c:pt>
                <c:pt idx="573">
                  <c:v>45430</c:v>
                </c:pt>
                <c:pt idx="574">
                  <c:v>45432</c:v>
                </c:pt>
                <c:pt idx="575">
                  <c:v>45432</c:v>
                </c:pt>
                <c:pt idx="576">
                  <c:v>45432</c:v>
                </c:pt>
                <c:pt idx="577">
                  <c:v>45432</c:v>
                </c:pt>
                <c:pt idx="578">
                  <c:v>45433</c:v>
                </c:pt>
                <c:pt idx="579">
                  <c:v>45433</c:v>
                </c:pt>
                <c:pt idx="580">
                  <c:v>45434</c:v>
                </c:pt>
                <c:pt idx="581">
                  <c:v>45435</c:v>
                </c:pt>
                <c:pt idx="582">
                  <c:v>45435</c:v>
                </c:pt>
                <c:pt idx="583">
                  <c:v>45436</c:v>
                </c:pt>
                <c:pt idx="584">
                  <c:v>45440</c:v>
                </c:pt>
                <c:pt idx="585">
                  <c:v>45440</c:v>
                </c:pt>
                <c:pt idx="586">
                  <c:v>45440</c:v>
                </c:pt>
                <c:pt idx="587">
                  <c:v>45440</c:v>
                </c:pt>
                <c:pt idx="588">
                  <c:v>45440</c:v>
                </c:pt>
                <c:pt idx="589">
                  <c:v>45442</c:v>
                </c:pt>
                <c:pt idx="590">
                  <c:v>45442</c:v>
                </c:pt>
                <c:pt idx="591">
                  <c:v>45443</c:v>
                </c:pt>
                <c:pt idx="592">
                  <c:v>45446</c:v>
                </c:pt>
                <c:pt idx="593">
                  <c:v>45448</c:v>
                </c:pt>
                <c:pt idx="594">
                  <c:v>45450</c:v>
                </c:pt>
                <c:pt idx="595">
                  <c:v>45450</c:v>
                </c:pt>
                <c:pt idx="596">
                  <c:v>45450</c:v>
                </c:pt>
                <c:pt idx="597">
                  <c:v>45450</c:v>
                </c:pt>
                <c:pt idx="598">
                  <c:v>45453</c:v>
                </c:pt>
                <c:pt idx="599">
                  <c:v>45454</c:v>
                </c:pt>
                <c:pt idx="600">
                  <c:v>45455</c:v>
                </c:pt>
                <c:pt idx="601">
                  <c:v>45456</c:v>
                </c:pt>
                <c:pt idx="602">
                  <c:v>45456</c:v>
                </c:pt>
                <c:pt idx="603">
                  <c:v>45457</c:v>
                </c:pt>
                <c:pt idx="604">
                  <c:v>45457</c:v>
                </c:pt>
                <c:pt idx="605">
                  <c:v>45457</c:v>
                </c:pt>
                <c:pt idx="606">
                  <c:v>45460</c:v>
                </c:pt>
                <c:pt idx="607">
                  <c:v>45460</c:v>
                </c:pt>
                <c:pt idx="608">
                  <c:v>45461</c:v>
                </c:pt>
                <c:pt idx="609">
                  <c:v>45461</c:v>
                </c:pt>
                <c:pt idx="610">
                  <c:v>45463</c:v>
                </c:pt>
                <c:pt idx="611">
                  <c:v>45463</c:v>
                </c:pt>
                <c:pt idx="612">
                  <c:v>45464</c:v>
                </c:pt>
                <c:pt idx="613">
                  <c:v>45464</c:v>
                </c:pt>
                <c:pt idx="614">
                  <c:v>45464</c:v>
                </c:pt>
                <c:pt idx="615">
                  <c:v>45467</c:v>
                </c:pt>
                <c:pt idx="616">
                  <c:v>45467</c:v>
                </c:pt>
                <c:pt idx="617">
                  <c:v>45467</c:v>
                </c:pt>
                <c:pt idx="618">
                  <c:v>45468</c:v>
                </c:pt>
                <c:pt idx="619">
                  <c:v>45468</c:v>
                </c:pt>
                <c:pt idx="620">
                  <c:v>45468</c:v>
                </c:pt>
                <c:pt idx="621">
                  <c:v>45469</c:v>
                </c:pt>
                <c:pt idx="622">
                  <c:v>45470</c:v>
                </c:pt>
                <c:pt idx="623">
                  <c:v>45470</c:v>
                </c:pt>
                <c:pt idx="624">
                  <c:v>45471</c:v>
                </c:pt>
                <c:pt idx="625">
                  <c:v>45471</c:v>
                </c:pt>
                <c:pt idx="626">
                  <c:v>45471</c:v>
                </c:pt>
                <c:pt idx="627">
                  <c:v>45471</c:v>
                </c:pt>
                <c:pt idx="628">
                  <c:v>45471</c:v>
                </c:pt>
                <c:pt idx="629">
                  <c:v>45473</c:v>
                </c:pt>
                <c:pt idx="630">
                  <c:v>45473</c:v>
                </c:pt>
                <c:pt idx="631">
                  <c:v>45474</c:v>
                </c:pt>
                <c:pt idx="632">
                  <c:v>45474</c:v>
                </c:pt>
                <c:pt idx="633">
                  <c:v>45474</c:v>
                </c:pt>
                <c:pt idx="634">
                  <c:v>45476</c:v>
                </c:pt>
                <c:pt idx="635">
                  <c:v>45478</c:v>
                </c:pt>
                <c:pt idx="636">
                  <c:v>45478</c:v>
                </c:pt>
                <c:pt idx="637">
                  <c:v>45483</c:v>
                </c:pt>
                <c:pt idx="638">
                  <c:v>45484</c:v>
                </c:pt>
                <c:pt idx="639">
                  <c:v>45485</c:v>
                </c:pt>
                <c:pt idx="640">
                  <c:v>45485</c:v>
                </c:pt>
                <c:pt idx="641">
                  <c:v>45485</c:v>
                </c:pt>
                <c:pt idx="642">
                  <c:v>45485</c:v>
                </c:pt>
                <c:pt idx="643">
                  <c:v>45489</c:v>
                </c:pt>
                <c:pt idx="644">
                  <c:v>45489</c:v>
                </c:pt>
                <c:pt idx="645">
                  <c:v>45490</c:v>
                </c:pt>
                <c:pt idx="646">
                  <c:v>45490</c:v>
                </c:pt>
                <c:pt idx="647">
                  <c:v>45490</c:v>
                </c:pt>
                <c:pt idx="648">
                  <c:v>45490</c:v>
                </c:pt>
                <c:pt idx="649">
                  <c:v>45490</c:v>
                </c:pt>
                <c:pt idx="650">
                  <c:v>45490</c:v>
                </c:pt>
                <c:pt idx="651">
                  <c:v>45491</c:v>
                </c:pt>
                <c:pt idx="652">
                  <c:v>45492</c:v>
                </c:pt>
                <c:pt idx="653">
                  <c:v>45492</c:v>
                </c:pt>
                <c:pt idx="654">
                  <c:v>45492</c:v>
                </c:pt>
                <c:pt idx="655">
                  <c:v>45492</c:v>
                </c:pt>
                <c:pt idx="656">
                  <c:v>45492</c:v>
                </c:pt>
                <c:pt idx="657">
                  <c:v>45492</c:v>
                </c:pt>
                <c:pt idx="658">
                  <c:v>45495</c:v>
                </c:pt>
                <c:pt idx="659">
                  <c:v>45495</c:v>
                </c:pt>
                <c:pt idx="660">
                  <c:v>45495</c:v>
                </c:pt>
                <c:pt idx="661">
                  <c:v>45497</c:v>
                </c:pt>
                <c:pt idx="662">
                  <c:v>45497</c:v>
                </c:pt>
                <c:pt idx="663">
                  <c:v>45497</c:v>
                </c:pt>
                <c:pt idx="664">
                  <c:v>45498</c:v>
                </c:pt>
                <c:pt idx="665">
                  <c:v>45498</c:v>
                </c:pt>
                <c:pt idx="666">
                  <c:v>45498</c:v>
                </c:pt>
                <c:pt idx="667">
                  <c:v>45498</c:v>
                </c:pt>
                <c:pt idx="668">
                  <c:v>45498</c:v>
                </c:pt>
                <c:pt idx="669">
                  <c:v>45504</c:v>
                </c:pt>
                <c:pt idx="670">
                  <c:v>45504</c:v>
                </c:pt>
                <c:pt idx="671">
                  <c:v>45504</c:v>
                </c:pt>
                <c:pt idx="672">
                  <c:v>45504</c:v>
                </c:pt>
              </c:numCache>
            </c:numRef>
          </c:cat>
          <c:val>
            <c:numRef>
              <c:f>'All Trades'!$P$2:$P$674</c:f>
              <c:numCache>
                <c:formatCode>_("$"* #,##0.00_);_("$"* \(#,##0.00\);_("$"* "-"??_);_(@_)</c:formatCode>
                <c:ptCount val="673"/>
                <c:pt idx="0">
                  <c:v>-2307.4800000000005</c:v>
                </c:pt>
                <c:pt idx="1">
                  <c:v>9043.869999999999</c:v>
                </c:pt>
                <c:pt idx="2">
                  <c:v>7359.7999999999993</c:v>
                </c:pt>
                <c:pt idx="3">
                  <c:v>3837.9199999999992</c:v>
                </c:pt>
                <c:pt idx="4">
                  <c:v>10044.019999999999</c:v>
                </c:pt>
                <c:pt idx="5">
                  <c:v>14621.039999999999</c:v>
                </c:pt>
                <c:pt idx="6">
                  <c:v>17191.170000000006</c:v>
                </c:pt>
                <c:pt idx="7">
                  <c:v>17330.140000000007</c:v>
                </c:pt>
                <c:pt idx="8">
                  <c:v>16304.739999999983</c:v>
                </c:pt>
                <c:pt idx="9">
                  <c:v>18335.989999999983</c:v>
                </c:pt>
                <c:pt idx="10">
                  <c:v>16213.890000000007</c:v>
                </c:pt>
                <c:pt idx="11">
                  <c:v>19736.910000000007</c:v>
                </c:pt>
                <c:pt idx="12">
                  <c:v>26087.309999999914</c:v>
                </c:pt>
                <c:pt idx="13">
                  <c:v>24087.309999999914</c:v>
                </c:pt>
                <c:pt idx="14">
                  <c:v>24168.309999999914</c:v>
                </c:pt>
                <c:pt idx="15">
                  <c:v>24085.809999999914</c:v>
                </c:pt>
                <c:pt idx="16">
                  <c:v>27318.209999999937</c:v>
                </c:pt>
                <c:pt idx="17">
                  <c:v>25283.009999999984</c:v>
                </c:pt>
                <c:pt idx="18">
                  <c:v>22847.81000000003</c:v>
                </c:pt>
                <c:pt idx="19">
                  <c:v>21145.709999999937</c:v>
                </c:pt>
                <c:pt idx="20">
                  <c:v>26101.709999999937</c:v>
                </c:pt>
                <c:pt idx="21">
                  <c:v>24084.109999999844</c:v>
                </c:pt>
                <c:pt idx="22">
                  <c:v>23733.409999999891</c:v>
                </c:pt>
                <c:pt idx="23">
                  <c:v>36064.409999999887</c:v>
                </c:pt>
                <c:pt idx="24">
                  <c:v>37446.809999999794</c:v>
                </c:pt>
                <c:pt idx="25">
                  <c:v>41322.809999999794</c:v>
                </c:pt>
                <c:pt idx="26">
                  <c:v>59777.889999999868</c:v>
                </c:pt>
                <c:pt idx="27">
                  <c:v>53711.889999999868</c:v>
                </c:pt>
                <c:pt idx="28">
                  <c:v>47809.090000000055</c:v>
                </c:pt>
                <c:pt idx="29">
                  <c:v>43699.090000000055</c:v>
                </c:pt>
                <c:pt idx="30">
                  <c:v>39655.090000000055</c:v>
                </c:pt>
                <c:pt idx="31">
                  <c:v>35619.889999999868</c:v>
                </c:pt>
                <c:pt idx="32">
                  <c:v>31700.889999999868</c:v>
                </c:pt>
                <c:pt idx="33">
                  <c:v>29465.689999999682</c:v>
                </c:pt>
                <c:pt idx="34">
                  <c:v>27598.089999999589</c:v>
                </c:pt>
                <c:pt idx="35">
                  <c:v>26962.889999999403</c:v>
                </c:pt>
                <c:pt idx="36">
                  <c:v>23873.829999999405</c:v>
                </c:pt>
                <c:pt idx="37">
                  <c:v>25214.329999999405</c:v>
                </c:pt>
                <c:pt idx="38">
                  <c:v>24567.329999999405</c:v>
                </c:pt>
                <c:pt idx="39">
                  <c:v>46001.329999999405</c:v>
                </c:pt>
                <c:pt idx="40">
                  <c:v>52809.679999999411</c:v>
                </c:pt>
                <c:pt idx="41">
                  <c:v>56276.489999999409</c:v>
                </c:pt>
                <c:pt idx="42">
                  <c:v>59948.559999999408</c:v>
                </c:pt>
                <c:pt idx="43">
                  <c:v>64404.559999999408</c:v>
                </c:pt>
                <c:pt idx="44">
                  <c:v>61836.959999999315</c:v>
                </c:pt>
                <c:pt idx="45">
                  <c:v>59819.359999999222</c:v>
                </c:pt>
                <c:pt idx="46">
                  <c:v>66926.759999999136</c:v>
                </c:pt>
                <c:pt idx="47">
                  <c:v>62048.259999999136</c:v>
                </c:pt>
                <c:pt idx="48">
                  <c:v>79188.05999999895</c:v>
                </c:pt>
                <c:pt idx="49">
                  <c:v>73122.05999999895</c:v>
                </c:pt>
                <c:pt idx="50">
                  <c:v>67243.55999999895</c:v>
                </c:pt>
                <c:pt idx="51">
                  <c:v>68346.55999999895</c:v>
                </c:pt>
                <c:pt idx="52">
                  <c:v>70921.499999998952</c:v>
                </c:pt>
                <c:pt idx="53">
                  <c:v>64375.499999998952</c:v>
                </c:pt>
                <c:pt idx="54">
                  <c:v>61831.499999998952</c:v>
                </c:pt>
                <c:pt idx="55">
                  <c:v>59975.099999999045</c:v>
                </c:pt>
                <c:pt idx="56">
                  <c:v>53159.099999999045</c:v>
                </c:pt>
                <c:pt idx="57">
                  <c:v>52905.599999999045</c:v>
                </c:pt>
                <c:pt idx="58">
                  <c:v>49958.539999999048</c:v>
                </c:pt>
                <c:pt idx="59">
                  <c:v>60142.539999999048</c:v>
                </c:pt>
                <c:pt idx="60">
                  <c:v>51792.039999999048</c:v>
                </c:pt>
                <c:pt idx="61">
                  <c:v>47646.339999998861</c:v>
                </c:pt>
                <c:pt idx="62">
                  <c:v>53804.899999998859</c:v>
                </c:pt>
                <c:pt idx="63">
                  <c:v>53288.479999998846</c:v>
                </c:pt>
                <c:pt idx="64">
                  <c:v>49085.719999998844</c:v>
                </c:pt>
                <c:pt idx="65">
                  <c:v>64237.2799999989</c:v>
                </c:pt>
                <c:pt idx="66">
                  <c:v>60068.2799999989</c:v>
                </c:pt>
                <c:pt idx="67">
                  <c:v>58502.2799999989</c:v>
                </c:pt>
                <c:pt idx="68">
                  <c:v>64436.2799999989</c:v>
                </c:pt>
                <c:pt idx="69">
                  <c:v>58370.2799999989</c:v>
                </c:pt>
                <c:pt idx="70">
                  <c:v>54701.2799999989</c:v>
                </c:pt>
                <c:pt idx="71">
                  <c:v>51727.2799999989</c:v>
                </c:pt>
                <c:pt idx="72">
                  <c:v>53933.2799999989</c:v>
                </c:pt>
                <c:pt idx="73">
                  <c:v>49955.489999998899</c:v>
                </c:pt>
                <c:pt idx="74">
                  <c:v>43008.689999998154</c:v>
                </c:pt>
                <c:pt idx="75">
                  <c:v>40105.88999999834</c:v>
                </c:pt>
                <c:pt idx="76">
                  <c:v>33852.38999999834</c:v>
                </c:pt>
                <c:pt idx="77">
                  <c:v>41178.749999998327</c:v>
                </c:pt>
                <c:pt idx="78">
                  <c:v>35300.249999998327</c:v>
                </c:pt>
                <c:pt idx="79">
                  <c:v>31131.249999998327</c:v>
                </c:pt>
                <c:pt idx="80">
                  <c:v>29253.84999999842</c:v>
                </c:pt>
                <c:pt idx="81">
                  <c:v>23375.34999999842</c:v>
                </c:pt>
                <c:pt idx="82">
                  <c:v>19331.34999999842</c:v>
                </c:pt>
                <c:pt idx="83">
                  <c:v>16632.499999998414</c:v>
                </c:pt>
                <c:pt idx="84">
                  <c:v>14128.999999998414</c:v>
                </c:pt>
                <c:pt idx="85">
                  <c:v>20509.999999998414</c:v>
                </c:pt>
                <c:pt idx="86">
                  <c:v>28215.999999998414</c:v>
                </c:pt>
                <c:pt idx="87">
                  <c:v>24171.999999998414</c:v>
                </c:pt>
                <c:pt idx="88">
                  <c:v>20252.999999998414</c:v>
                </c:pt>
                <c:pt idx="89">
                  <c:v>16916.169999998398</c:v>
                </c:pt>
                <c:pt idx="90">
                  <c:v>17225.169999998398</c:v>
                </c:pt>
                <c:pt idx="91">
                  <c:v>13888.339999998381</c:v>
                </c:pt>
                <c:pt idx="92">
                  <c:v>8339.2399999983754</c:v>
                </c:pt>
                <c:pt idx="93">
                  <c:v>17889.179999998378</c:v>
                </c:pt>
                <c:pt idx="94">
                  <c:v>19635.679999998378</c:v>
                </c:pt>
                <c:pt idx="95">
                  <c:v>9525.6799999983778</c:v>
                </c:pt>
                <c:pt idx="96">
                  <c:v>3721.559999998377</c:v>
                </c:pt>
                <c:pt idx="97">
                  <c:v>18445.709999998377</c:v>
                </c:pt>
                <c:pt idx="98">
                  <c:v>43967.749999998377</c:v>
                </c:pt>
                <c:pt idx="99">
                  <c:v>56393.809999998375</c:v>
                </c:pt>
                <c:pt idx="100">
                  <c:v>54377.739999998375</c:v>
                </c:pt>
                <c:pt idx="101">
                  <c:v>54383.979999998599</c:v>
                </c:pt>
                <c:pt idx="102">
                  <c:v>80820.369999998584</c:v>
                </c:pt>
                <c:pt idx="103">
                  <c:v>85199.789999998582</c:v>
                </c:pt>
                <c:pt idx="104">
                  <c:v>74777.289999998582</c:v>
                </c:pt>
                <c:pt idx="105">
                  <c:v>64667.289999998582</c:v>
                </c:pt>
                <c:pt idx="106">
                  <c:v>60851.289999998582</c:v>
                </c:pt>
                <c:pt idx="107">
                  <c:v>125047.18999999855</c:v>
                </c:pt>
                <c:pt idx="108">
                  <c:v>120679.74999999854</c:v>
                </c:pt>
                <c:pt idx="109">
                  <c:v>114988.74999999854</c:v>
                </c:pt>
                <c:pt idx="110">
                  <c:v>102772.19999999856</c:v>
                </c:pt>
                <c:pt idx="111">
                  <c:v>97433.189999998547</c:v>
                </c:pt>
                <c:pt idx="112">
                  <c:v>87265.36999999854</c:v>
                </c:pt>
                <c:pt idx="113">
                  <c:v>76209.149999998568</c:v>
                </c:pt>
                <c:pt idx="114">
                  <c:v>70298.299999998562</c:v>
                </c:pt>
                <c:pt idx="115">
                  <c:v>67009.739999998565</c:v>
                </c:pt>
                <c:pt idx="116">
                  <c:v>74815.739999998565</c:v>
                </c:pt>
                <c:pt idx="117">
                  <c:v>70836.979999998555</c:v>
                </c:pt>
                <c:pt idx="118">
                  <c:v>73878.779999998544</c:v>
                </c:pt>
                <c:pt idx="119">
                  <c:v>67905.699999998469</c:v>
                </c:pt>
                <c:pt idx="120">
                  <c:v>59202.629999998469</c:v>
                </c:pt>
                <c:pt idx="121">
                  <c:v>52803.269999998469</c:v>
                </c:pt>
                <c:pt idx="122">
                  <c:v>45974.599999998485</c:v>
                </c:pt>
                <c:pt idx="123">
                  <c:v>39145.929999998501</c:v>
                </c:pt>
                <c:pt idx="124">
                  <c:v>34873.489999998499</c:v>
                </c:pt>
                <c:pt idx="125">
                  <c:v>34845.189999998496</c:v>
                </c:pt>
                <c:pt idx="126">
                  <c:v>31930.239999998485</c:v>
                </c:pt>
                <c:pt idx="127">
                  <c:v>27886.239999998485</c:v>
                </c:pt>
                <c:pt idx="128">
                  <c:v>23842.239999998485</c:v>
                </c:pt>
                <c:pt idx="129">
                  <c:v>19834.739999998485</c:v>
                </c:pt>
                <c:pt idx="130">
                  <c:v>15261.509999998474</c:v>
                </c:pt>
                <c:pt idx="131">
                  <c:v>17527.829999998481</c:v>
                </c:pt>
                <c:pt idx="132">
                  <c:v>11242.78999999848</c:v>
                </c:pt>
                <c:pt idx="133">
                  <c:v>7322.2099999984803</c:v>
                </c:pt>
                <c:pt idx="134">
                  <c:v>10293.709999998478</c:v>
                </c:pt>
                <c:pt idx="135">
                  <c:v>4044.9799999984789</c:v>
                </c:pt>
                <c:pt idx="136">
                  <c:v>20.919999998481217</c:v>
                </c:pt>
                <c:pt idx="137">
                  <c:v>1896.1799999984905</c:v>
                </c:pt>
                <c:pt idx="138">
                  <c:v>21848.379999998488</c:v>
                </c:pt>
                <c:pt idx="139">
                  <c:v>39665.92999999848</c:v>
                </c:pt>
                <c:pt idx="140">
                  <c:v>75710.909999998461</c:v>
                </c:pt>
                <c:pt idx="141">
                  <c:v>117508.47999999847</c:v>
                </c:pt>
                <c:pt idx="142">
                  <c:v>112259.43999999847</c:v>
                </c:pt>
                <c:pt idx="143">
                  <c:v>102263.13999999849</c:v>
                </c:pt>
                <c:pt idx="144">
                  <c:v>90933.939999998474</c:v>
                </c:pt>
                <c:pt idx="145">
                  <c:v>84160.239999998463</c:v>
                </c:pt>
                <c:pt idx="146">
                  <c:v>99217.149999998495</c:v>
                </c:pt>
                <c:pt idx="147">
                  <c:v>100394.38999999849</c:v>
                </c:pt>
                <c:pt idx="148">
                  <c:v>105791.5599999985</c:v>
                </c:pt>
                <c:pt idx="149">
                  <c:v>99765.109999998502</c:v>
                </c:pt>
                <c:pt idx="150">
                  <c:v>99595.599999998492</c:v>
                </c:pt>
                <c:pt idx="151">
                  <c:v>93345.72037036893</c:v>
                </c:pt>
                <c:pt idx="152">
                  <c:v>84440.178489158818</c:v>
                </c:pt>
                <c:pt idx="153">
                  <c:v>89380.738489158815</c:v>
                </c:pt>
                <c:pt idx="154">
                  <c:v>106260.77848915885</c:v>
                </c:pt>
                <c:pt idx="155">
                  <c:v>102216.77848915885</c:v>
                </c:pt>
                <c:pt idx="156">
                  <c:v>88726.81848915889</c:v>
                </c:pt>
                <c:pt idx="157">
                  <c:v>95591.848489158889</c:v>
                </c:pt>
                <c:pt idx="158">
                  <c:v>85765.608489158898</c:v>
                </c:pt>
                <c:pt idx="159">
                  <c:v>77594.558489158895</c:v>
                </c:pt>
                <c:pt idx="160">
                  <c:v>77743.92848915889</c:v>
                </c:pt>
                <c:pt idx="161">
                  <c:v>72168.528489158867</c:v>
                </c:pt>
                <c:pt idx="162">
                  <c:v>67969.288489158862</c:v>
                </c:pt>
                <c:pt idx="163">
                  <c:v>57830.378489158858</c:v>
                </c:pt>
                <c:pt idx="164">
                  <c:v>69063.258489158805</c:v>
                </c:pt>
                <c:pt idx="165">
                  <c:v>58767.698489158778</c:v>
                </c:pt>
                <c:pt idx="166">
                  <c:v>77142.388489158766</c:v>
                </c:pt>
                <c:pt idx="167">
                  <c:v>66792.368489158776</c:v>
                </c:pt>
                <c:pt idx="168">
                  <c:v>69841.898489158804</c:v>
                </c:pt>
                <c:pt idx="169">
                  <c:v>65087.248489158781</c:v>
                </c:pt>
                <c:pt idx="170">
                  <c:v>57282.938489158783</c:v>
                </c:pt>
                <c:pt idx="171">
                  <c:v>51153.938489158783</c:v>
                </c:pt>
                <c:pt idx="172">
                  <c:v>52829.79335436847</c:v>
                </c:pt>
                <c:pt idx="173">
                  <c:v>59993.049245296002</c:v>
                </c:pt>
                <c:pt idx="174">
                  <c:v>48116.079245296001</c:v>
                </c:pt>
                <c:pt idx="175">
                  <c:v>53073.549245296002</c:v>
                </c:pt>
                <c:pt idx="176">
                  <c:v>38034.299245295973</c:v>
                </c:pt>
                <c:pt idx="177">
                  <c:v>20151.459245295948</c:v>
                </c:pt>
                <c:pt idx="178">
                  <c:v>9567.6592452959303</c:v>
                </c:pt>
                <c:pt idx="179">
                  <c:v>-4450.5007547039859</c:v>
                </c:pt>
                <c:pt idx="180">
                  <c:v>12933.019245296033</c:v>
                </c:pt>
                <c:pt idx="181">
                  <c:v>3985.5354165346998</c:v>
                </c:pt>
                <c:pt idx="182">
                  <c:v>9327.3154165347278</c:v>
                </c:pt>
                <c:pt idx="183">
                  <c:v>18280.875416534727</c:v>
                </c:pt>
                <c:pt idx="184">
                  <c:v>246.14915036773527</c:v>
                </c:pt>
                <c:pt idx="185">
                  <c:v>-16385.99003374291</c:v>
                </c:pt>
                <c:pt idx="186">
                  <c:v>-32932.229499103341</c:v>
                </c:pt>
                <c:pt idx="187">
                  <c:v>-39054.906615650769</c:v>
                </c:pt>
                <c:pt idx="188">
                  <c:v>-39136.926615650758</c:v>
                </c:pt>
                <c:pt idx="189">
                  <c:v>-39859.296615650761</c:v>
                </c:pt>
                <c:pt idx="190">
                  <c:v>-50464.276615650771</c:v>
                </c:pt>
                <c:pt idx="191">
                  <c:v>-49903.196615650755</c:v>
                </c:pt>
                <c:pt idx="192">
                  <c:v>-81783.068390249653</c:v>
                </c:pt>
                <c:pt idx="193">
                  <c:v>-96926.16839024963</c:v>
                </c:pt>
                <c:pt idx="194">
                  <c:v>-110405.61851994296</c:v>
                </c:pt>
                <c:pt idx="195">
                  <c:v>-39531.1785199429</c:v>
                </c:pt>
                <c:pt idx="196">
                  <c:v>-49520.128519942911</c:v>
                </c:pt>
                <c:pt idx="197">
                  <c:v>-30553.338519942874</c:v>
                </c:pt>
                <c:pt idx="198">
                  <c:v>-38041.738519942781</c:v>
                </c:pt>
                <c:pt idx="199">
                  <c:v>-48064.838519942758</c:v>
                </c:pt>
                <c:pt idx="200">
                  <c:v>-52081.258519942756</c:v>
                </c:pt>
                <c:pt idx="201">
                  <c:v>19333.771480057156</c:v>
                </c:pt>
                <c:pt idx="202">
                  <c:v>101701.59233307003</c:v>
                </c:pt>
                <c:pt idx="203">
                  <c:v>106063.81233307003</c:v>
                </c:pt>
                <c:pt idx="204">
                  <c:v>121155.91233307001</c:v>
                </c:pt>
                <c:pt idx="205">
                  <c:v>111183.47233307007</c:v>
                </c:pt>
                <c:pt idx="206">
                  <c:v>105368.47233307007</c:v>
                </c:pt>
                <c:pt idx="207">
                  <c:v>95257.172333070077</c:v>
                </c:pt>
                <c:pt idx="208">
                  <c:v>85005.652333070058</c:v>
                </c:pt>
                <c:pt idx="209">
                  <c:v>109123.15233307006</c:v>
                </c:pt>
                <c:pt idx="210">
                  <c:v>94077.152333070058</c:v>
                </c:pt>
                <c:pt idx="211">
                  <c:v>79771.0723330701</c:v>
                </c:pt>
                <c:pt idx="212">
                  <c:v>71449.552333070082</c:v>
                </c:pt>
                <c:pt idx="213">
                  <c:v>54986.592333070119</c:v>
                </c:pt>
                <c:pt idx="214">
                  <c:v>41212.592333070119</c:v>
                </c:pt>
                <c:pt idx="215">
                  <c:v>48106.842333070119</c:v>
                </c:pt>
                <c:pt idx="216">
                  <c:v>33244.662333070119</c:v>
                </c:pt>
                <c:pt idx="217">
                  <c:v>37237.332333070117</c:v>
                </c:pt>
                <c:pt idx="218">
                  <c:v>61707.73233307014</c:v>
                </c:pt>
                <c:pt idx="219">
                  <c:v>55432.73233307014</c:v>
                </c:pt>
                <c:pt idx="220">
                  <c:v>58457.812333070142</c:v>
                </c:pt>
                <c:pt idx="221">
                  <c:v>43206.212333070165</c:v>
                </c:pt>
                <c:pt idx="222">
                  <c:v>36074.762333070154</c:v>
                </c:pt>
                <c:pt idx="223">
                  <c:v>29977.96233307034</c:v>
                </c:pt>
                <c:pt idx="224">
                  <c:v>20942.142333070333</c:v>
                </c:pt>
                <c:pt idx="225">
                  <c:v>11606.642333070333</c:v>
                </c:pt>
                <c:pt idx="226">
                  <c:v>12131.182333070341</c:v>
                </c:pt>
                <c:pt idx="227">
                  <c:v>2202.3923330703619</c:v>
                </c:pt>
                <c:pt idx="228">
                  <c:v>11542.392333070362</c:v>
                </c:pt>
                <c:pt idx="229">
                  <c:v>11477.70233307036</c:v>
                </c:pt>
                <c:pt idx="230">
                  <c:v>12630.20233307036</c:v>
                </c:pt>
                <c:pt idx="231">
                  <c:v>14282.19233307035</c:v>
                </c:pt>
                <c:pt idx="232">
                  <c:v>9799.4823330703293</c:v>
                </c:pt>
                <c:pt idx="233">
                  <c:v>9376.0823330703352</c:v>
                </c:pt>
                <c:pt idx="234">
                  <c:v>10476.902333070342</c:v>
                </c:pt>
                <c:pt idx="235">
                  <c:v>4511.5923330703445</c:v>
                </c:pt>
                <c:pt idx="236">
                  <c:v>4256.4123330703515</c:v>
                </c:pt>
                <c:pt idx="237">
                  <c:v>-1776.9876669296573</c:v>
                </c:pt>
                <c:pt idx="238">
                  <c:v>6626.4623330703398</c:v>
                </c:pt>
                <c:pt idx="239">
                  <c:v>1488.182333070341</c:v>
                </c:pt>
                <c:pt idx="240">
                  <c:v>-1141.747666929652</c:v>
                </c:pt>
                <c:pt idx="241">
                  <c:v>-2115.9076669295682</c:v>
                </c:pt>
                <c:pt idx="242">
                  <c:v>34251.995458070174</c:v>
                </c:pt>
                <c:pt idx="243">
                  <c:v>31505.19545807036</c:v>
                </c:pt>
                <c:pt idx="244">
                  <c:v>25816.44545807036</c:v>
                </c:pt>
                <c:pt idx="245">
                  <c:v>29111.44545807036</c:v>
                </c:pt>
                <c:pt idx="246">
                  <c:v>30492.345458070384</c:v>
                </c:pt>
                <c:pt idx="247">
                  <c:v>31221.95545807037</c:v>
                </c:pt>
                <c:pt idx="248">
                  <c:v>114377.95545807037</c:v>
                </c:pt>
                <c:pt idx="249">
                  <c:v>113825.23545807037</c:v>
                </c:pt>
                <c:pt idx="250">
                  <c:v>105474.61545807037</c:v>
                </c:pt>
                <c:pt idx="251">
                  <c:v>96429.783914070314</c:v>
                </c:pt>
                <c:pt idx="252">
                  <c:v>102987.25391407032</c:v>
                </c:pt>
                <c:pt idx="253">
                  <c:v>118814.0039140703</c:v>
                </c:pt>
                <c:pt idx="254">
                  <c:v>142316.53777164995</c:v>
                </c:pt>
                <c:pt idx="255">
                  <c:v>134999.47777164995</c:v>
                </c:pt>
                <c:pt idx="256">
                  <c:v>131524.22777164995</c:v>
                </c:pt>
                <c:pt idx="257">
                  <c:v>156914.44777165004</c:v>
                </c:pt>
                <c:pt idx="258">
                  <c:v>158889.44777165004</c:v>
                </c:pt>
                <c:pt idx="259">
                  <c:v>150416.42777165008</c:v>
                </c:pt>
                <c:pt idx="260">
                  <c:v>145013.61277165008</c:v>
                </c:pt>
                <c:pt idx="261">
                  <c:v>144925.61277165008</c:v>
                </c:pt>
                <c:pt idx="262">
                  <c:v>133818.50941594533</c:v>
                </c:pt>
                <c:pt idx="263">
                  <c:v>124684.7294159453</c:v>
                </c:pt>
                <c:pt idx="264">
                  <c:v>116399.16505352927</c:v>
                </c:pt>
                <c:pt idx="265">
                  <c:v>107224.32505352925</c:v>
                </c:pt>
                <c:pt idx="266">
                  <c:v>118294.53505352925</c:v>
                </c:pt>
                <c:pt idx="267">
                  <c:v>138050.01505352926</c:v>
                </c:pt>
                <c:pt idx="268">
                  <c:v>138886.18505352928</c:v>
                </c:pt>
                <c:pt idx="269">
                  <c:v>141054.06505352928</c:v>
                </c:pt>
                <c:pt idx="270">
                  <c:v>147672.48505352929</c:v>
                </c:pt>
                <c:pt idx="271">
                  <c:v>194474.04505352935</c:v>
                </c:pt>
                <c:pt idx="272">
                  <c:v>218214.12505352942</c:v>
                </c:pt>
                <c:pt idx="273">
                  <c:v>224680.44505352943</c:v>
                </c:pt>
                <c:pt idx="274">
                  <c:v>209054.44505352943</c:v>
                </c:pt>
                <c:pt idx="275">
                  <c:v>207032.44505352943</c:v>
                </c:pt>
                <c:pt idx="276">
                  <c:v>191981.58505352944</c:v>
                </c:pt>
                <c:pt idx="277">
                  <c:v>205506.40505352945</c:v>
                </c:pt>
                <c:pt idx="278">
                  <c:v>199311.40505352945</c:v>
                </c:pt>
                <c:pt idx="279">
                  <c:v>202622.80505352945</c:v>
                </c:pt>
                <c:pt idx="280">
                  <c:v>211902.55505352945</c:v>
                </c:pt>
                <c:pt idx="281">
                  <c:v>225229.05505352945</c:v>
                </c:pt>
                <c:pt idx="282">
                  <c:v>215566.10505352943</c:v>
                </c:pt>
                <c:pt idx="283">
                  <c:v>224481.41505352943</c:v>
                </c:pt>
                <c:pt idx="284">
                  <c:v>245870.57505352941</c:v>
                </c:pt>
                <c:pt idx="285">
                  <c:v>243678.21505352942</c:v>
                </c:pt>
                <c:pt idx="286">
                  <c:v>281047.7550535294</c:v>
                </c:pt>
                <c:pt idx="287">
                  <c:v>269616.35505352938</c:v>
                </c:pt>
                <c:pt idx="288">
                  <c:v>260882.35505352938</c:v>
                </c:pt>
                <c:pt idx="289">
                  <c:v>251908.65505352936</c:v>
                </c:pt>
                <c:pt idx="290">
                  <c:v>251319.68505352936</c:v>
                </c:pt>
                <c:pt idx="291">
                  <c:v>254019.68505352936</c:v>
                </c:pt>
                <c:pt idx="292">
                  <c:v>258690.80703833731</c:v>
                </c:pt>
                <c:pt idx="293">
                  <c:v>263872.36703833728</c:v>
                </c:pt>
                <c:pt idx="294">
                  <c:v>270382.36703833728</c:v>
                </c:pt>
                <c:pt idx="295">
                  <c:v>261955.72703833738</c:v>
                </c:pt>
                <c:pt idx="296">
                  <c:v>262100.06703833738</c:v>
                </c:pt>
                <c:pt idx="297">
                  <c:v>264583.16703833739</c:v>
                </c:pt>
                <c:pt idx="298">
                  <c:v>256973.6870383374</c:v>
                </c:pt>
                <c:pt idx="299">
                  <c:v>256195.6870383374</c:v>
                </c:pt>
                <c:pt idx="300">
                  <c:v>261976.8670383374</c:v>
                </c:pt>
                <c:pt idx="301">
                  <c:v>259813.8670383374</c:v>
                </c:pt>
                <c:pt idx="302">
                  <c:v>335124.2670383373</c:v>
                </c:pt>
                <c:pt idx="303">
                  <c:v>339845.2670383373</c:v>
                </c:pt>
                <c:pt idx="304">
                  <c:v>336346.8870383373</c:v>
                </c:pt>
                <c:pt idx="305">
                  <c:v>323262.8870383373</c:v>
                </c:pt>
                <c:pt idx="306">
                  <c:v>327272.8870383373</c:v>
                </c:pt>
                <c:pt idx="307">
                  <c:v>354210.8870383373</c:v>
                </c:pt>
                <c:pt idx="308">
                  <c:v>344742.8870383373</c:v>
                </c:pt>
                <c:pt idx="309">
                  <c:v>360468.75703833729</c:v>
                </c:pt>
                <c:pt idx="310">
                  <c:v>353881.67703833734</c:v>
                </c:pt>
                <c:pt idx="311">
                  <c:v>348944.82703833736</c:v>
                </c:pt>
                <c:pt idx="312">
                  <c:v>346856.82703833736</c:v>
                </c:pt>
                <c:pt idx="313">
                  <c:v>371299.82703833736</c:v>
                </c:pt>
                <c:pt idx="314">
                  <c:v>371406.97703833738</c:v>
                </c:pt>
                <c:pt idx="315">
                  <c:v>361272.97703833738</c:v>
                </c:pt>
                <c:pt idx="316">
                  <c:v>352998.97703833738</c:v>
                </c:pt>
                <c:pt idx="317">
                  <c:v>353944.34703833738</c:v>
                </c:pt>
                <c:pt idx="318">
                  <c:v>341417.75703833741</c:v>
                </c:pt>
                <c:pt idx="319">
                  <c:v>381874.69256349676</c:v>
                </c:pt>
                <c:pt idx="320">
                  <c:v>372560.17256349674</c:v>
                </c:pt>
                <c:pt idx="321">
                  <c:v>376924.11256349675</c:v>
                </c:pt>
                <c:pt idx="322">
                  <c:v>374013.61256349675</c:v>
                </c:pt>
                <c:pt idx="323">
                  <c:v>408279.66256349673</c:v>
                </c:pt>
                <c:pt idx="324">
                  <c:v>415542.56256349676</c:v>
                </c:pt>
                <c:pt idx="325">
                  <c:v>410913.87256349676</c:v>
                </c:pt>
                <c:pt idx="326">
                  <c:v>408341.6725634968</c:v>
                </c:pt>
                <c:pt idx="327">
                  <c:v>405957.5425634968</c:v>
                </c:pt>
                <c:pt idx="328">
                  <c:v>399521.76256349677</c:v>
                </c:pt>
                <c:pt idx="329">
                  <c:v>423603.16256349673</c:v>
                </c:pt>
                <c:pt idx="330">
                  <c:v>423725.30256349675</c:v>
                </c:pt>
                <c:pt idx="331">
                  <c:v>445061.55256349675</c:v>
                </c:pt>
                <c:pt idx="332">
                  <c:v>451669.34256349673</c:v>
                </c:pt>
                <c:pt idx="333">
                  <c:v>452231.38256349671</c:v>
                </c:pt>
                <c:pt idx="334">
                  <c:v>454291.38256349671</c:v>
                </c:pt>
                <c:pt idx="335">
                  <c:v>471274.9825634968</c:v>
                </c:pt>
                <c:pt idx="336">
                  <c:v>469769.59256349679</c:v>
                </c:pt>
                <c:pt idx="337">
                  <c:v>469484.09256349679</c:v>
                </c:pt>
                <c:pt idx="338">
                  <c:v>461884.27256349678</c:v>
                </c:pt>
                <c:pt idx="339">
                  <c:v>454647.13256349677</c:v>
                </c:pt>
                <c:pt idx="340">
                  <c:v>456013.51256349677</c:v>
                </c:pt>
                <c:pt idx="341">
                  <c:v>453502.11256349675</c:v>
                </c:pt>
                <c:pt idx="342">
                  <c:v>446049.72256349679</c:v>
                </c:pt>
                <c:pt idx="343">
                  <c:v>438180.63256349677</c:v>
                </c:pt>
                <c:pt idx="344">
                  <c:v>431563.75256349676</c:v>
                </c:pt>
                <c:pt idx="345">
                  <c:v>436684.79256349674</c:v>
                </c:pt>
                <c:pt idx="346">
                  <c:v>434076.79256349674</c:v>
                </c:pt>
                <c:pt idx="347">
                  <c:v>450034.63256349671</c:v>
                </c:pt>
                <c:pt idx="348">
                  <c:v>470872.89256349672</c:v>
                </c:pt>
                <c:pt idx="349">
                  <c:v>520834.39256349672</c:v>
                </c:pt>
                <c:pt idx="350">
                  <c:v>520717.5025634967</c:v>
                </c:pt>
                <c:pt idx="351">
                  <c:v>512891.80256349669</c:v>
                </c:pt>
                <c:pt idx="352">
                  <c:v>514568.5025634967</c:v>
                </c:pt>
                <c:pt idx="353">
                  <c:v>518136.97256349667</c:v>
                </c:pt>
                <c:pt idx="354">
                  <c:v>518129.65256349667</c:v>
                </c:pt>
                <c:pt idx="355">
                  <c:v>515650.65256349667</c:v>
                </c:pt>
                <c:pt idx="356">
                  <c:v>505498.65256349667</c:v>
                </c:pt>
                <c:pt idx="357">
                  <c:v>497233.49256349669</c:v>
                </c:pt>
                <c:pt idx="358">
                  <c:v>494422.39256349666</c:v>
                </c:pt>
                <c:pt idx="359">
                  <c:v>487007.39256349666</c:v>
                </c:pt>
                <c:pt idx="360">
                  <c:v>469623.87256349664</c:v>
                </c:pt>
                <c:pt idx="361">
                  <c:v>467763.30256349663</c:v>
                </c:pt>
                <c:pt idx="362">
                  <c:v>466183.99256349663</c:v>
                </c:pt>
                <c:pt idx="363">
                  <c:v>465898.70256349666</c:v>
                </c:pt>
                <c:pt idx="364">
                  <c:v>466763.01256349671</c:v>
                </c:pt>
                <c:pt idx="365">
                  <c:v>485511.68256349675</c:v>
                </c:pt>
                <c:pt idx="366">
                  <c:v>481895.93256349675</c:v>
                </c:pt>
                <c:pt idx="367">
                  <c:v>481062.84256349679</c:v>
                </c:pt>
                <c:pt idx="368">
                  <c:v>474409.24256349681</c:v>
                </c:pt>
                <c:pt idx="369">
                  <c:v>472445.04256349662</c:v>
                </c:pt>
                <c:pt idx="370">
                  <c:v>486651.75256349659</c:v>
                </c:pt>
                <c:pt idx="371">
                  <c:v>481325.69256349659</c:v>
                </c:pt>
                <c:pt idx="372">
                  <c:v>476303.28256349661</c:v>
                </c:pt>
                <c:pt idx="373">
                  <c:v>456294.35256349662</c:v>
                </c:pt>
                <c:pt idx="374">
                  <c:v>446861.29256349662</c:v>
                </c:pt>
                <c:pt idx="375">
                  <c:v>448977.19256349665</c:v>
                </c:pt>
                <c:pt idx="376">
                  <c:v>438816.19256349665</c:v>
                </c:pt>
                <c:pt idx="377">
                  <c:v>431212.53256349661</c:v>
                </c:pt>
                <c:pt idx="378">
                  <c:v>424849.5825634966</c:v>
                </c:pt>
                <c:pt idx="379">
                  <c:v>404840.65256349661</c:v>
                </c:pt>
                <c:pt idx="380">
                  <c:v>395056.83256349666</c:v>
                </c:pt>
                <c:pt idx="381">
                  <c:v>400556.96256349667</c:v>
                </c:pt>
                <c:pt idx="382">
                  <c:v>406291.32256349665</c:v>
                </c:pt>
                <c:pt idx="383">
                  <c:v>416468.54256349662</c:v>
                </c:pt>
                <c:pt idx="384">
                  <c:v>410441.70256349666</c:v>
                </c:pt>
                <c:pt idx="385">
                  <c:v>404751.36256349669</c:v>
                </c:pt>
                <c:pt idx="386">
                  <c:v>421967.1225634967</c:v>
                </c:pt>
                <c:pt idx="387">
                  <c:v>436540.47256349667</c:v>
                </c:pt>
                <c:pt idx="388">
                  <c:v>449278.5625634967</c:v>
                </c:pt>
                <c:pt idx="389">
                  <c:v>443958.71256349672</c:v>
                </c:pt>
                <c:pt idx="390">
                  <c:v>456502.1825634967</c:v>
                </c:pt>
                <c:pt idx="391">
                  <c:v>458124.1825634967</c:v>
                </c:pt>
                <c:pt idx="392">
                  <c:v>444108.78256349667</c:v>
                </c:pt>
                <c:pt idx="393">
                  <c:v>431013.53256349667</c:v>
                </c:pt>
                <c:pt idx="394">
                  <c:v>440925.65256349667</c:v>
                </c:pt>
                <c:pt idx="395">
                  <c:v>430517.85256349668</c:v>
                </c:pt>
                <c:pt idx="396">
                  <c:v>421452.72256349667</c:v>
                </c:pt>
                <c:pt idx="397">
                  <c:v>415176.46256349667</c:v>
                </c:pt>
                <c:pt idx="398">
                  <c:v>410547.71256349667</c:v>
                </c:pt>
                <c:pt idx="399">
                  <c:v>410744.02256349666</c:v>
                </c:pt>
                <c:pt idx="400">
                  <c:v>420485.70256349666</c:v>
                </c:pt>
                <c:pt idx="401">
                  <c:v>383958.70256349666</c:v>
                </c:pt>
                <c:pt idx="402">
                  <c:v>378634.48256349668</c:v>
                </c:pt>
                <c:pt idx="403">
                  <c:v>389439.1825634967</c:v>
                </c:pt>
                <c:pt idx="404">
                  <c:v>390426.1825634967</c:v>
                </c:pt>
                <c:pt idx="405">
                  <c:v>373276.1825634967</c:v>
                </c:pt>
                <c:pt idx="406">
                  <c:v>362320.1825634967</c:v>
                </c:pt>
                <c:pt idx="407">
                  <c:v>356138.1825634967</c:v>
                </c:pt>
                <c:pt idx="408">
                  <c:v>362153.86256349669</c:v>
                </c:pt>
                <c:pt idx="409">
                  <c:v>382755.24256349669</c:v>
                </c:pt>
                <c:pt idx="410">
                  <c:v>373547.77256349666</c:v>
                </c:pt>
                <c:pt idx="411">
                  <c:v>367673.68256349664</c:v>
                </c:pt>
                <c:pt idx="412">
                  <c:v>421161.3925634966</c:v>
                </c:pt>
                <c:pt idx="413">
                  <c:v>406267.5825634966</c:v>
                </c:pt>
                <c:pt idx="414">
                  <c:v>396211.7025634966</c:v>
                </c:pt>
                <c:pt idx="415">
                  <c:v>367004.30256349669</c:v>
                </c:pt>
                <c:pt idx="416">
                  <c:v>359113.99256349669</c:v>
                </c:pt>
                <c:pt idx="417">
                  <c:v>342070.99256349669</c:v>
                </c:pt>
                <c:pt idx="418">
                  <c:v>337885.99256349669</c:v>
                </c:pt>
                <c:pt idx="419">
                  <c:v>351873.03256349673</c:v>
                </c:pt>
                <c:pt idx="420">
                  <c:v>345263.34256349673</c:v>
                </c:pt>
                <c:pt idx="421">
                  <c:v>343259.33256349672</c:v>
                </c:pt>
                <c:pt idx="422">
                  <c:v>342916.37256349676</c:v>
                </c:pt>
                <c:pt idx="423">
                  <c:v>353832.91256349673</c:v>
                </c:pt>
                <c:pt idx="424">
                  <c:v>363138.49256349675</c:v>
                </c:pt>
                <c:pt idx="425">
                  <c:v>348065.31256349676</c:v>
                </c:pt>
                <c:pt idx="426">
                  <c:v>334427.31256349676</c:v>
                </c:pt>
                <c:pt idx="427">
                  <c:v>322832.31256349676</c:v>
                </c:pt>
                <c:pt idx="428">
                  <c:v>383059.79256349674</c:v>
                </c:pt>
                <c:pt idx="429">
                  <c:v>410974.8725634967</c:v>
                </c:pt>
                <c:pt idx="430">
                  <c:v>408423.16256349668</c:v>
                </c:pt>
                <c:pt idx="431">
                  <c:v>410571.35256349668</c:v>
                </c:pt>
                <c:pt idx="432">
                  <c:v>413912.84256349667</c:v>
                </c:pt>
                <c:pt idx="433">
                  <c:v>415265.40256349667</c:v>
                </c:pt>
                <c:pt idx="434">
                  <c:v>417209.96256349667</c:v>
                </c:pt>
                <c:pt idx="435">
                  <c:v>420215.96256349667</c:v>
                </c:pt>
                <c:pt idx="436">
                  <c:v>414006.96256349667</c:v>
                </c:pt>
                <c:pt idx="437">
                  <c:v>402652.21256349667</c:v>
                </c:pt>
                <c:pt idx="438">
                  <c:v>422198.13256349659</c:v>
                </c:pt>
                <c:pt idx="439">
                  <c:v>420127.68256349658</c:v>
                </c:pt>
                <c:pt idx="440">
                  <c:v>410209.59256349655</c:v>
                </c:pt>
                <c:pt idx="441">
                  <c:v>409599.59256349655</c:v>
                </c:pt>
                <c:pt idx="442">
                  <c:v>443602.07256349659</c:v>
                </c:pt>
                <c:pt idx="443">
                  <c:v>434547.07256349659</c:v>
                </c:pt>
                <c:pt idx="444">
                  <c:v>428572.25256349659</c:v>
                </c:pt>
                <c:pt idx="445">
                  <c:v>428565.25256349659</c:v>
                </c:pt>
                <c:pt idx="446">
                  <c:v>429613.24256349658</c:v>
                </c:pt>
                <c:pt idx="447">
                  <c:v>425674.05256349657</c:v>
                </c:pt>
                <c:pt idx="448">
                  <c:v>424502.36256349657</c:v>
                </c:pt>
                <c:pt idx="449">
                  <c:v>427878.66256349656</c:v>
                </c:pt>
                <c:pt idx="450">
                  <c:v>425378.47256349656</c:v>
                </c:pt>
                <c:pt idx="451">
                  <c:v>415190.90256349655</c:v>
                </c:pt>
                <c:pt idx="452">
                  <c:v>405636.02256349655</c:v>
                </c:pt>
                <c:pt idx="453">
                  <c:v>407433.59256349655</c:v>
                </c:pt>
                <c:pt idx="454">
                  <c:v>392744.21256349655</c:v>
                </c:pt>
                <c:pt idx="455">
                  <c:v>387681.21256349655</c:v>
                </c:pt>
                <c:pt idx="456">
                  <c:v>382618.21256349655</c:v>
                </c:pt>
                <c:pt idx="457">
                  <c:v>374904.81825814006</c:v>
                </c:pt>
                <c:pt idx="458">
                  <c:v>364110.64825814008</c:v>
                </c:pt>
                <c:pt idx="459">
                  <c:v>354564.95825814008</c:v>
                </c:pt>
                <c:pt idx="460">
                  <c:v>348462.95825814008</c:v>
                </c:pt>
                <c:pt idx="461">
                  <c:v>350731.47825814009</c:v>
                </c:pt>
                <c:pt idx="462">
                  <c:v>340321.07745814009</c:v>
                </c:pt>
                <c:pt idx="463">
                  <c:v>358954.50745814008</c:v>
                </c:pt>
                <c:pt idx="464">
                  <c:v>357515.50745814008</c:v>
                </c:pt>
                <c:pt idx="465">
                  <c:v>362630.50745814008</c:v>
                </c:pt>
                <c:pt idx="466">
                  <c:v>360503.50745814008</c:v>
                </c:pt>
                <c:pt idx="467">
                  <c:v>355694.65745814005</c:v>
                </c:pt>
                <c:pt idx="468">
                  <c:v>360740.65745814005</c:v>
                </c:pt>
                <c:pt idx="469">
                  <c:v>352377.61745814007</c:v>
                </c:pt>
                <c:pt idx="470">
                  <c:v>353062.35745814006</c:v>
                </c:pt>
                <c:pt idx="471">
                  <c:v>412711.82745814003</c:v>
                </c:pt>
                <c:pt idx="472">
                  <c:v>412527.48745814001</c:v>
                </c:pt>
                <c:pt idx="473">
                  <c:v>410931.98745814001</c:v>
                </c:pt>
                <c:pt idx="474">
                  <c:v>409289.43745814002</c:v>
                </c:pt>
                <c:pt idx="475">
                  <c:v>411869.43745814002</c:v>
                </c:pt>
                <c:pt idx="476">
                  <c:v>404854.63745814003</c:v>
                </c:pt>
                <c:pt idx="477">
                  <c:v>396054.63745814003</c:v>
                </c:pt>
                <c:pt idx="478">
                  <c:v>394134.74745814002</c:v>
                </c:pt>
                <c:pt idx="479">
                  <c:v>391024.34745813999</c:v>
                </c:pt>
                <c:pt idx="480">
                  <c:v>388238.91745814</c:v>
                </c:pt>
                <c:pt idx="481">
                  <c:v>390507.56745813997</c:v>
                </c:pt>
                <c:pt idx="482">
                  <c:v>385928.71745813999</c:v>
                </c:pt>
                <c:pt idx="483">
                  <c:v>373618.41745814</c:v>
                </c:pt>
                <c:pt idx="484">
                  <c:v>365911.54745814</c:v>
                </c:pt>
                <c:pt idx="485">
                  <c:v>359429.20745813998</c:v>
                </c:pt>
                <c:pt idx="486">
                  <c:v>349461.50745813997</c:v>
                </c:pt>
                <c:pt idx="487">
                  <c:v>350694.47745814</c:v>
                </c:pt>
                <c:pt idx="488">
                  <c:v>345490.57745813997</c:v>
                </c:pt>
                <c:pt idx="489">
                  <c:v>338031.03745814</c:v>
                </c:pt>
                <c:pt idx="490">
                  <c:v>330128.14745813998</c:v>
                </c:pt>
                <c:pt idx="491">
                  <c:v>324437.08745813998</c:v>
                </c:pt>
                <c:pt idx="492">
                  <c:v>318117.51745813998</c:v>
                </c:pt>
                <c:pt idx="493">
                  <c:v>300407.35845813999</c:v>
                </c:pt>
                <c:pt idx="494">
                  <c:v>287064.89845813997</c:v>
                </c:pt>
                <c:pt idx="495">
                  <c:v>285744.89845813997</c:v>
                </c:pt>
                <c:pt idx="496">
                  <c:v>322758.89845813997</c:v>
                </c:pt>
                <c:pt idx="497">
                  <c:v>327047.89845813997</c:v>
                </c:pt>
                <c:pt idx="498">
                  <c:v>338776.47845814005</c:v>
                </c:pt>
                <c:pt idx="499">
                  <c:v>337221.47845814005</c:v>
                </c:pt>
                <c:pt idx="500">
                  <c:v>333194.97845814005</c:v>
                </c:pt>
                <c:pt idx="501">
                  <c:v>331639.97845814005</c:v>
                </c:pt>
                <c:pt idx="502">
                  <c:v>328770.09845814016</c:v>
                </c:pt>
                <c:pt idx="503">
                  <c:v>327384.13845814014</c:v>
                </c:pt>
                <c:pt idx="504">
                  <c:v>335943.41845814011</c:v>
                </c:pt>
                <c:pt idx="505">
                  <c:v>325321.96845814009</c:v>
                </c:pt>
                <c:pt idx="506">
                  <c:v>324337.45845814008</c:v>
                </c:pt>
                <c:pt idx="507">
                  <c:v>319409.02845814009</c:v>
                </c:pt>
                <c:pt idx="508">
                  <c:v>289429.02845814009</c:v>
                </c:pt>
                <c:pt idx="509">
                  <c:v>269439.02845814009</c:v>
                </c:pt>
                <c:pt idx="510">
                  <c:v>272278.97845814005</c:v>
                </c:pt>
                <c:pt idx="511">
                  <c:v>263679.35845814005</c:v>
                </c:pt>
                <c:pt idx="512">
                  <c:v>278999.80845814006</c:v>
                </c:pt>
                <c:pt idx="513">
                  <c:v>280466.24845814006</c:v>
                </c:pt>
                <c:pt idx="514">
                  <c:v>276619.36845814006</c:v>
                </c:pt>
                <c:pt idx="515">
                  <c:v>268794.36845814006</c:v>
                </c:pt>
                <c:pt idx="516">
                  <c:v>262788.42845814006</c:v>
                </c:pt>
                <c:pt idx="517">
                  <c:v>260825.05845814006</c:v>
                </c:pt>
                <c:pt idx="518">
                  <c:v>254833.47845814005</c:v>
                </c:pt>
                <c:pt idx="519">
                  <c:v>250557.49845814003</c:v>
                </c:pt>
                <c:pt idx="520">
                  <c:v>246148.49845814003</c:v>
                </c:pt>
                <c:pt idx="521">
                  <c:v>242151.49845814003</c:v>
                </c:pt>
                <c:pt idx="522">
                  <c:v>294609.79845814011</c:v>
                </c:pt>
                <c:pt idx="523">
                  <c:v>337316.0984581401</c:v>
                </c:pt>
                <c:pt idx="524">
                  <c:v>333269.41845814011</c:v>
                </c:pt>
                <c:pt idx="525">
                  <c:v>323531.52845814009</c:v>
                </c:pt>
                <c:pt idx="526">
                  <c:v>318111.52845814009</c:v>
                </c:pt>
                <c:pt idx="527">
                  <c:v>310470.1584581401</c:v>
                </c:pt>
                <c:pt idx="528">
                  <c:v>347765.80845814012</c:v>
                </c:pt>
                <c:pt idx="529">
                  <c:v>344649.05845814012</c:v>
                </c:pt>
                <c:pt idx="530">
                  <c:v>339969.05845814012</c:v>
                </c:pt>
                <c:pt idx="531">
                  <c:v>346811.45845814014</c:v>
                </c:pt>
                <c:pt idx="532">
                  <c:v>341668.67845814012</c:v>
                </c:pt>
                <c:pt idx="533">
                  <c:v>335544.67845814012</c:v>
                </c:pt>
                <c:pt idx="534">
                  <c:v>328034.67845814012</c:v>
                </c:pt>
                <c:pt idx="535">
                  <c:v>328742.06845814013</c:v>
                </c:pt>
                <c:pt idx="536">
                  <c:v>330493.66845814011</c:v>
                </c:pt>
                <c:pt idx="537">
                  <c:v>324138.27845814009</c:v>
                </c:pt>
                <c:pt idx="538">
                  <c:v>317612.33845814009</c:v>
                </c:pt>
                <c:pt idx="539">
                  <c:v>308814.23845814005</c:v>
                </c:pt>
                <c:pt idx="540">
                  <c:v>333618.92845814006</c:v>
                </c:pt>
                <c:pt idx="541">
                  <c:v>308594.46845814009</c:v>
                </c:pt>
                <c:pt idx="542">
                  <c:v>305238.10845814011</c:v>
                </c:pt>
                <c:pt idx="543">
                  <c:v>301261.10845814011</c:v>
                </c:pt>
                <c:pt idx="544">
                  <c:v>296538.37845814013</c:v>
                </c:pt>
                <c:pt idx="545">
                  <c:v>301843.45845814014</c:v>
                </c:pt>
                <c:pt idx="546">
                  <c:v>297725.45845814014</c:v>
                </c:pt>
                <c:pt idx="547">
                  <c:v>291896.42845814012</c:v>
                </c:pt>
                <c:pt idx="548">
                  <c:v>287749.7284581401</c:v>
                </c:pt>
                <c:pt idx="549">
                  <c:v>270268.68845814012</c:v>
                </c:pt>
                <c:pt idx="550">
                  <c:v>270235.68845814012</c:v>
                </c:pt>
                <c:pt idx="551">
                  <c:v>282382.38845814014</c:v>
                </c:pt>
                <c:pt idx="552">
                  <c:v>279133.56845814013</c:v>
                </c:pt>
                <c:pt idx="553">
                  <c:v>290494.77845814015</c:v>
                </c:pt>
                <c:pt idx="554">
                  <c:v>285768.77845814015</c:v>
                </c:pt>
                <c:pt idx="555">
                  <c:v>285613.77845814015</c:v>
                </c:pt>
                <c:pt idx="556">
                  <c:v>277119.57845814014</c:v>
                </c:pt>
                <c:pt idx="557">
                  <c:v>286705.70845814014</c:v>
                </c:pt>
                <c:pt idx="558">
                  <c:v>281399.60845814017</c:v>
                </c:pt>
                <c:pt idx="559">
                  <c:v>283510.60845814017</c:v>
                </c:pt>
                <c:pt idx="560">
                  <c:v>298518.20845814014</c:v>
                </c:pt>
                <c:pt idx="561">
                  <c:v>296521.20845814014</c:v>
                </c:pt>
                <c:pt idx="562">
                  <c:v>291552.45845814014</c:v>
                </c:pt>
                <c:pt idx="563">
                  <c:v>323670.99845814012</c:v>
                </c:pt>
                <c:pt idx="564">
                  <c:v>316360.99845814012</c:v>
                </c:pt>
                <c:pt idx="565">
                  <c:v>302330.99845814012</c:v>
                </c:pt>
                <c:pt idx="566">
                  <c:v>291403.54845814011</c:v>
                </c:pt>
                <c:pt idx="567">
                  <c:v>271280.54845814011</c:v>
                </c:pt>
                <c:pt idx="568">
                  <c:v>308972.01845814008</c:v>
                </c:pt>
                <c:pt idx="569">
                  <c:v>309062.01845814008</c:v>
                </c:pt>
                <c:pt idx="570">
                  <c:v>303964.79845814011</c:v>
                </c:pt>
                <c:pt idx="571">
                  <c:v>316396.98845814011</c:v>
                </c:pt>
                <c:pt idx="572">
                  <c:v>311247.56845814013</c:v>
                </c:pt>
                <c:pt idx="573">
                  <c:v>305923.4084581401</c:v>
                </c:pt>
                <c:pt idx="574">
                  <c:v>298696.68845814012</c:v>
                </c:pt>
                <c:pt idx="575">
                  <c:v>287996.94845814013</c:v>
                </c:pt>
                <c:pt idx="576">
                  <c:v>283199.94845814013</c:v>
                </c:pt>
                <c:pt idx="577">
                  <c:v>277007.39845814015</c:v>
                </c:pt>
                <c:pt idx="578">
                  <c:v>294477.69845814013</c:v>
                </c:pt>
                <c:pt idx="579">
                  <c:v>286830.99845814012</c:v>
                </c:pt>
                <c:pt idx="580">
                  <c:v>282892.4784581401</c:v>
                </c:pt>
                <c:pt idx="581">
                  <c:v>280680.99845814012</c:v>
                </c:pt>
                <c:pt idx="582">
                  <c:v>278889.5984581401</c:v>
                </c:pt>
                <c:pt idx="583">
                  <c:v>281818.55845814012</c:v>
                </c:pt>
                <c:pt idx="584">
                  <c:v>285806.04845814011</c:v>
                </c:pt>
                <c:pt idx="585">
                  <c:v>297143.69845814013</c:v>
                </c:pt>
                <c:pt idx="586">
                  <c:v>289805.62845814013</c:v>
                </c:pt>
                <c:pt idx="587">
                  <c:v>284567.85845814011</c:v>
                </c:pt>
                <c:pt idx="588">
                  <c:v>273992.05845814012</c:v>
                </c:pt>
                <c:pt idx="589">
                  <c:v>264438.87845814007</c:v>
                </c:pt>
                <c:pt idx="590">
                  <c:v>254939.13845814008</c:v>
                </c:pt>
                <c:pt idx="591">
                  <c:v>249928.08845814009</c:v>
                </c:pt>
                <c:pt idx="592">
                  <c:v>245223.38845814008</c:v>
                </c:pt>
                <c:pt idx="593">
                  <c:v>236123.38845814008</c:v>
                </c:pt>
                <c:pt idx="594">
                  <c:v>232826.41845814008</c:v>
                </c:pt>
                <c:pt idx="595">
                  <c:v>222855.92845814006</c:v>
                </c:pt>
                <c:pt idx="596">
                  <c:v>228974.13845814005</c:v>
                </c:pt>
                <c:pt idx="597">
                  <c:v>203762.22845814005</c:v>
                </c:pt>
                <c:pt idx="598">
                  <c:v>214926.46845814004</c:v>
                </c:pt>
                <c:pt idx="599">
                  <c:v>230333.27845814003</c:v>
                </c:pt>
                <c:pt idx="600">
                  <c:v>231982.38845814002</c:v>
                </c:pt>
                <c:pt idx="601">
                  <c:v>226702.33845814003</c:v>
                </c:pt>
                <c:pt idx="602">
                  <c:v>223864.44845814002</c:v>
                </c:pt>
                <c:pt idx="603">
                  <c:v>222744.44845814002</c:v>
                </c:pt>
                <c:pt idx="604">
                  <c:v>220167.31845814001</c:v>
                </c:pt>
                <c:pt idx="605">
                  <c:v>219021.07845814002</c:v>
                </c:pt>
                <c:pt idx="606">
                  <c:v>223367.76845814002</c:v>
                </c:pt>
                <c:pt idx="607">
                  <c:v>239443.38845814002</c:v>
                </c:pt>
                <c:pt idx="608">
                  <c:v>239963.38845814002</c:v>
                </c:pt>
                <c:pt idx="609">
                  <c:v>234758.38845814002</c:v>
                </c:pt>
                <c:pt idx="610">
                  <c:v>238022.11845814003</c:v>
                </c:pt>
                <c:pt idx="611">
                  <c:v>235709.61845814003</c:v>
                </c:pt>
                <c:pt idx="612">
                  <c:v>232382.69845814002</c:v>
                </c:pt>
                <c:pt idx="613">
                  <c:v>259783.69845814002</c:v>
                </c:pt>
                <c:pt idx="614">
                  <c:v>257131.48845814003</c:v>
                </c:pt>
                <c:pt idx="615">
                  <c:v>254304.16845814002</c:v>
                </c:pt>
                <c:pt idx="616">
                  <c:v>224021.66845814002</c:v>
                </c:pt>
                <c:pt idx="617">
                  <c:v>193761.66845814002</c:v>
                </c:pt>
                <c:pt idx="618">
                  <c:v>194506.32845814002</c:v>
                </c:pt>
                <c:pt idx="619">
                  <c:v>189682.69845814002</c:v>
                </c:pt>
                <c:pt idx="620">
                  <c:v>184755.37845814001</c:v>
                </c:pt>
                <c:pt idx="621">
                  <c:v>187316.77845814</c:v>
                </c:pt>
                <c:pt idx="622">
                  <c:v>187513.34845814001</c:v>
                </c:pt>
                <c:pt idx="623">
                  <c:v>185716.38845814002</c:v>
                </c:pt>
                <c:pt idx="624">
                  <c:v>186182.86845814003</c:v>
                </c:pt>
                <c:pt idx="625">
                  <c:v>183722.86845814003</c:v>
                </c:pt>
                <c:pt idx="626">
                  <c:v>186760.11845814003</c:v>
                </c:pt>
                <c:pt idx="627">
                  <c:v>187226.59845814004</c:v>
                </c:pt>
                <c:pt idx="628">
                  <c:v>200682.47845814005</c:v>
                </c:pt>
                <c:pt idx="629">
                  <c:v>214143.98845814005</c:v>
                </c:pt>
                <c:pt idx="630">
                  <c:v>215758.98845814005</c:v>
                </c:pt>
                <c:pt idx="631">
                  <c:v>216214.98845814005</c:v>
                </c:pt>
                <c:pt idx="632">
                  <c:v>211715.46326376649</c:v>
                </c:pt>
                <c:pt idx="633">
                  <c:v>206918.89160139399</c:v>
                </c:pt>
                <c:pt idx="634">
                  <c:v>207263.52160139399</c:v>
                </c:pt>
                <c:pt idx="635">
                  <c:v>204956.05160139399</c:v>
                </c:pt>
                <c:pt idx="636">
                  <c:v>209954.961601394</c:v>
                </c:pt>
                <c:pt idx="637">
                  <c:v>212441.38160139401</c:v>
                </c:pt>
                <c:pt idx="638">
                  <c:v>202549.88160139401</c:v>
                </c:pt>
                <c:pt idx="639">
                  <c:v>197336.13160139401</c:v>
                </c:pt>
                <c:pt idx="640">
                  <c:v>177958.85160139401</c:v>
                </c:pt>
                <c:pt idx="641">
                  <c:v>172934.57160139401</c:v>
                </c:pt>
                <c:pt idx="642">
                  <c:v>170924.57160139401</c:v>
                </c:pt>
                <c:pt idx="643">
                  <c:v>170385.61160139402</c:v>
                </c:pt>
                <c:pt idx="644">
                  <c:v>170392.93160139403</c:v>
                </c:pt>
                <c:pt idx="645">
                  <c:v>167831.15160139403</c:v>
                </c:pt>
                <c:pt idx="646">
                  <c:v>171059.18160139403</c:v>
                </c:pt>
                <c:pt idx="647">
                  <c:v>187900.60160139401</c:v>
                </c:pt>
                <c:pt idx="648">
                  <c:v>190723.08160139402</c:v>
                </c:pt>
                <c:pt idx="649">
                  <c:v>184448.34160139403</c:v>
                </c:pt>
                <c:pt idx="650">
                  <c:v>198511.26160139404</c:v>
                </c:pt>
                <c:pt idx="651">
                  <c:v>207738.85160139404</c:v>
                </c:pt>
                <c:pt idx="652">
                  <c:v>202778.13160139404</c:v>
                </c:pt>
                <c:pt idx="653">
                  <c:v>197790.70160139404</c:v>
                </c:pt>
                <c:pt idx="654">
                  <c:v>191254.95160139404</c:v>
                </c:pt>
                <c:pt idx="655">
                  <c:v>199266.71160139405</c:v>
                </c:pt>
                <c:pt idx="656">
                  <c:v>201407.39160139405</c:v>
                </c:pt>
                <c:pt idx="657">
                  <c:v>203436.69160139404</c:v>
                </c:pt>
                <c:pt idx="658">
                  <c:v>212895.25160139403</c:v>
                </c:pt>
                <c:pt idx="659">
                  <c:v>203091.85160139404</c:v>
                </c:pt>
                <c:pt idx="660">
                  <c:v>186711.22581368216</c:v>
                </c:pt>
                <c:pt idx="661">
                  <c:v>181484.87581368216</c:v>
                </c:pt>
                <c:pt idx="662">
                  <c:v>175442.97581368216</c:v>
                </c:pt>
                <c:pt idx="663">
                  <c:v>196191.63581368217</c:v>
                </c:pt>
                <c:pt idx="664">
                  <c:v>186316.51581368217</c:v>
                </c:pt>
                <c:pt idx="665">
                  <c:v>175232.51581368217</c:v>
                </c:pt>
                <c:pt idx="666">
                  <c:v>179902.77581368218</c:v>
                </c:pt>
                <c:pt idx="667">
                  <c:v>193922.70581368217</c:v>
                </c:pt>
                <c:pt idx="668">
                  <c:v>192131.30581368218</c:v>
                </c:pt>
                <c:pt idx="669">
                  <c:v>193164.36581368218</c:v>
                </c:pt>
                <c:pt idx="670">
                  <c:v>184163.36581368218</c:v>
                </c:pt>
                <c:pt idx="671">
                  <c:v>178997.36581368218</c:v>
                </c:pt>
                <c:pt idx="672">
                  <c:v>173871.36581368218</c:v>
                </c:pt>
              </c:numCache>
            </c:numRef>
          </c:val>
          <c:smooth val="0"/>
          <c:extLst>
            <c:ext xmlns:c16="http://schemas.microsoft.com/office/drawing/2014/chart" uri="{C3380CC4-5D6E-409C-BE32-E72D297353CC}">
              <c16:uniqueId val="{00000000-7E30-4AAC-A3BA-858C172A6C93}"/>
            </c:ext>
          </c:extLst>
        </c:ser>
        <c:dLbls>
          <c:showLegendKey val="0"/>
          <c:showVal val="0"/>
          <c:showCatName val="0"/>
          <c:showSerName val="0"/>
          <c:showPercent val="0"/>
          <c:showBubbleSize val="0"/>
        </c:dLbls>
        <c:smooth val="0"/>
        <c:axId val="541416831"/>
        <c:axId val="741714895"/>
      </c:lineChart>
      <c:dateAx>
        <c:axId val="5414168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895"/>
        <c:crosses val="autoZero"/>
        <c:auto val="1"/>
        <c:lblOffset val="100"/>
        <c:baseTimeUnit val="days"/>
      </c:dateAx>
      <c:valAx>
        <c:axId val="741714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1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PJ Solo Trade Equity Curves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'PJ (D1)'!$P$1</c:f>
              <c:strCache>
                <c:ptCount val="1"/>
                <c:pt idx="0">
                  <c:v> Equity PnL </c:v>
                </c:pt>
              </c:strCache>
            </c:strRef>
          </c:tx>
          <c:spPr>
            <a:ln w="31750" cap="rnd">
              <a:solidFill>
                <a:schemeClr val="accent1"/>
              </a:solidFill>
              <a:round/>
            </a:ln>
            <a:effectLst/>
          </c:spPr>
          <c:marker>
            <c:symbol val="none"/>
          </c:marker>
          <c:val>
            <c:numRef>
              <c:f>'PJ (D1)'!$P$2:$P$248</c:f>
              <c:numCache>
                <c:formatCode>_("$"* #,##0_);_("$"* \(#,##0\);_("$"* "-"??_);_(@_)</c:formatCode>
                <c:ptCount val="247"/>
                <c:pt idx="0">
                  <c:v>2570.1300000000047</c:v>
                </c:pt>
                <c:pt idx="1">
                  <c:v>-1408.6300000000047</c:v>
                </c:pt>
                <c:pt idx="2">
                  <c:v>-5432.6900000000023</c:v>
                </c:pt>
                <c:pt idx="3">
                  <c:v>-5432.6900000000023</c:v>
                </c:pt>
                <c:pt idx="4">
                  <c:v>-11459.14</c:v>
                </c:pt>
                <c:pt idx="5">
                  <c:v>-11459.14</c:v>
                </c:pt>
                <c:pt idx="6">
                  <c:v>-11459.14</c:v>
                </c:pt>
                <c:pt idx="7">
                  <c:v>-11459.14</c:v>
                </c:pt>
                <c:pt idx="8">
                  <c:v>-11459.14</c:v>
                </c:pt>
                <c:pt idx="9">
                  <c:v>-11459.14</c:v>
                </c:pt>
                <c:pt idx="10">
                  <c:v>-11459.14</c:v>
                </c:pt>
                <c:pt idx="11">
                  <c:v>-11459.14</c:v>
                </c:pt>
                <c:pt idx="12">
                  <c:v>-11459.14</c:v>
                </c:pt>
                <c:pt idx="13">
                  <c:v>-11459.14</c:v>
                </c:pt>
                <c:pt idx="14">
                  <c:v>-11459.14</c:v>
                </c:pt>
                <c:pt idx="15">
                  <c:v>-11459.14</c:v>
                </c:pt>
                <c:pt idx="16">
                  <c:v>-11459.14</c:v>
                </c:pt>
                <c:pt idx="17">
                  <c:v>-11541.159999999989</c:v>
                </c:pt>
                <c:pt idx="18">
                  <c:v>-15557.579999999987</c:v>
                </c:pt>
                <c:pt idx="19">
                  <c:v>-15557.579999999987</c:v>
                </c:pt>
                <c:pt idx="20">
                  <c:v>-15557.579999999987</c:v>
                </c:pt>
                <c:pt idx="21">
                  <c:v>-15557.579999999987</c:v>
                </c:pt>
                <c:pt idx="22">
                  <c:v>-15557.579999999987</c:v>
                </c:pt>
                <c:pt idx="23">
                  <c:v>-24893.079999999987</c:v>
                </c:pt>
                <c:pt idx="24">
                  <c:v>-24368.539999999979</c:v>
                </c:pt>
                <c:pt idx="25">
                  <c:v>-24433.229999999981</c:v>
                </c:pt>
                <c:pt idx="26">
                  <c:v>-23280.729999999981</c:v>
                </c:pt>
                <c:pt idx="27">
                  <c:v>-21628.739999999991</c:v>
                </c:pt>
                <c:pt idx="28">
                  <c:v>-22052.139999999985</c:v>
                </c:pt>
                <c:pt idx="29">
                  <c:v>-20951.319999999978</c:v>
                </c:pt>
                <c:pt idx="30">
                  <c:v>-26984.719999999987</c:v>
                </c:pt>
                <c:pt idx="31">
                  <c:v>-18581.26999999999</c:v>
                </c:pt>
                <c:pt idx="32">
                  <c:v>-23719.549999999988</c:v>
                </c:pt>
                <c:pt idx="33">
                  <c:v>-26349.479999999981</c:v>
                </c:pt>
                <c:pt idx="34">
                  <c:v>-26349.479999999981</c:v>
                </c:pt>
                <c:pt idx="35">
                  <c:v>-32038.229999999981</c:v>
                </c:pt>
                <c:pt idx="36">
                  <c:v>-32038.229999999981</c:v>
                </c:pt>
                <c:pt idx="37">
                  <c:v>-30657.329999999958</c:v>
                </c:pt>
                <c:pt idx="38">
                  <c:v>-29927.719999999972</c:v>
                </c:pt>
                <c:pt idx="39">
                  <c:v>-30480.439999999973</c:v>
                </c:pt>
                <c:pt idx="40">
                  <c:v>-30480.439999999973</c:v>
                </c:pt>
                <c:pt idx="41">
                  <c:v>-23922.969999999972</c:v>
                </c:pt>
                <c:pt idx="42">
                  <c:v>-8096.2199999999866</c:v>
                </c:pt>
                <c:pt idx="43">
                  <c:v>-8096.2199999999866</c:v>
                </c:pt>
                <c:pt idx="44">
                  <c:v>-6121.2199999999866</c:v>
                </c:pt>
                <c:pt idx="45">
                  <c:v>-6121.2199999999866</c:v>
                </c:pt>
                <c:pt idx="46">
                  <c:v>-6121.2199999999866</c:v>
                </c:pt>
                <c:pt idx="47">
                  <c:v>-6121.2199999999866</c:v>
                </c:pt>
                <c:pt idx="48">
                  <c:v>-6121.2199999999866</c:v>
                </c:pt>
                <c:pt idx="49">
                  <c:v>-6121.2199999999866</c:v>
                </c:pt>
                <c:pt idx="50">
                  <c:v>-5285.0499999999738</c:v>
                </c:pt>
                <c:pt idx="51">
                  <c:v>-3117.1699999999691</c:v>
                </c:pt>
                <c:pt idx="52">
                  <c:v>3501.2500000000437</c:v>
                </c:pt>
                <c:pt idx="53">
                  <c:v>3501.2500000000437</c:v>
                </c:pt>
                <c:pt idx="54">
                  <c:v>3501.2500000000437</c:v>
                </c:pt>
                <c:pt idx="55">
                  <c:v>17026.070000000051</c:v>
                </c:pt>
                <c:pt idx="56">
                  <c:v>17026.070000000051</c:v>
                </c:pt>
                <c:pt idx="57">
                  <c:v>17026.070000000051</c:v>
                </c:pt>
                <c:pt idx="58">
                  <c:v>26305.820000000051</c:v>
                </c:pt>
                <c:pt idx="59">
                  <c:v>39632.320000000065</c:v>
                </c:pt>
                <c:pt idx="60">
                  <c:v>48547.630000000063</c:v>
                </c:pt>
                <c:pt idx="61">
                  <c:v>46355.270000000062</c:v>
                </c:pt>
                <c:pt idx="62">
                  <c:v>46355.270000000062</c:v>
                </c:pt>
                <c:pt idx="63">
                  <c:v>45766.300000000061</c:v>
                </c:pt>
                <c:pt idx="64">
                  <c:v>48466.300000000061</c:v>
                </c:pt>
                <c:pt idx="65">
                  <c:v>48466.300000000061</c:v>
                </c:pt>
                <c:pt idx="66">
                  <c:v>53647.860000000059</c:v>
                </c:pt>
                <c:pt idx="67">
                  <c:v>53647.860000000059</c:v>
                </c:pt>
                <c:pt idx="68">
                  <c:v>53647.860000000059</c:v>
                </c:pt>
                <c:pt idx="69">
                  <c:v>53792.200000000055</c:v>
                </c:pt>
                <c:pt idx="70">
                  <c:v>56275.300000000061</c:v>
                </c:pt>
                <c:pt idx="71">
                  <c:v>56275.300000000061</c:v>
                </c:pt>
                <c:pt idx="72">
                  <c:v>55497.300000000061</c:v>
                </c:pt>
                <c:pt idx="73">
                  <c:v>61278.480000000054</c:v>
                </c:pt>
                <c:pt idx="74">
                  <c:v>61278.480000000054</c:v>
                </c:pt>
                <c:pt idx="75">
                  <c:v>65288.480000000054</c:v>
                </c:pt>
                <c:pt idx="76">
                  <c:v>65288.480000000054</c:v>
                </c:pt>
                <c:pt idx="77">
                  <c:v>65288.480000000054</c:v>
                </c:pt>
                <c:pt idx="78">
                  <c:v>81014.350000000079</c:v>
                </c:pt>
                <c:pt idx="79">
                  <c:v>81014.350000000079</c:v>
                </c:pt>
                <c:pt idx="80">
                  <c:v>76077.500000000087</c:v>
                </c:pt>
                <c:pt idx="81">
                  <c:v>76077.500000000087</c:v>
                </c:pt>
                <c:pt idx="82">
                  <c:v>76077.500000000087</c:v>
                </c:pt>
                <c:pt idx="83">
                  <c:v>77022.870000000083</c:v>
                </c:pt>
                <c:pt idx="84">
                  <c:v>77022.870000000083</c:v>
                </c:pt>
                <c:pt idx="85">
                  <c:v>111288.92000000007</c:v>
                </c:pt>
                <c:pt idx="86">
                  <c:v>118551.82000000009</c:v>
                </c:pt>
                <c:pt idx="87">
                  <c:v>113923.13000000009</c:v>
                </c:pt>
                <c:pt idx="88">
                  <c:v>113923.13000000009</c:v>
                </c:pt>
                <c:pt idx="89">
                  <c:v>111539.00000000009</c:v>
                </c:pt>
                <c:pt idx="90">
                  <c:v>135620.40000000008</c:v>
                </c:pt>
                <c:pt idx="91">
                  <c:v>135742.5400000001</c:v>
                </c:pt>
                <c:pt idx="92">
                  <c:v>157078.7900000001</c:v>
                </c:pt>
                <c:pt idx="93">
                  <c:v>163686.5800000001</c:v>
                </c:pt>
                <c:pt idx="94">
                  <c:v>164248.62000000008</c:v>
                </c:pt>
                <c:pt idx="95">
                  <c:v>166308.62000000008</c:v>
                </c:pt>
                <c:pt idx="96">
                  <c:v>166308.62000000008</c:v>
                </c:pt>
                <c:pt idx="97">
                  <c:v>164803.2300000001</c:v>
                </c:pt>
                <c:pt idx="98">
                  <c:v>164517.7300000001</c:v>
                </c:pt>
                <c:pt idx="99">
                  <c:v>156917.91000000009</c:v>
                </c:pt>
                <c:pt idx="100">
                  <c:v>149680.77000000008</c:v>
                </c:pt>
                <c:pt idx="101">
                  <c:v>151047.15000000008</c:v>
                </c:pt>
                <c:pt idx="102">
                  <c:v>143594.7600000001</c:v>
                </c:pt>
                <c:pt idx="103">
                  <c:v>135725.6700000001</c:v>
                </c:pt>
                <c:pt idx="104">
                  <c:v>151683.5100000001</c:v>
                </c:pt>
                <c:pt idx="105">
                  <c:v>172521.77000000011</c:v>
                </c:pt>
                <c:pt idx="106">
                  <c:v>222483.27000000011</c:v>
                </c:pt>
                <c:pt idx="107">
                  <c:v>226051.74000000011</c:v>
                </c:pt>
                <c:pt idx="108">
                  <c:v>226044.4200000001</c:v>
                </c:pt>
                <c:pt idx="109">
                  <c:v>223565.4200000001</c:v>
                </c:pt>
                <c:pt idx="110">
                  <c:v>215300.2600000001</c:v>
                </c:pt>
                <c:pt idx="111">
                  <c:v>212489.16000000006</c:v>
                </c:pt>
                <c:pt idx="112">
                  <c:v>195105.64000000004</c:v>
                </c:pt>
                <c:pt idx="113">
                  <c:v>193245.07000000004</c:v>
                </c:pt>
                <c:pt idx="114">
                  <c:v>191665.76000000004</c:v>
                </c:pt>
                <c:pt idx="115">
                  <c:v>191380.47000000003</c:v>
                </c:pt>
                <c:pt idx="116">
                  <c:v>192244.78000000009</c:v>
                </c:pt>
                <c:pt idx="117">
                  <c:v>192244.78000000009</c:v>
                </c:pt>
                <c:pt idx="118">
                  <c:v>188629.03000000009</c:v>
                </c:pt>
                <c:pt idx="119">
                  <c:v>187795.94000000009</c:v>
                </c:pt>
                <c:pt idx="120">
                  <c:v>181142.34000000008</c:v>
                </c:pt>
                <c:pt idx="121">
                  <c:v>195349.05000000008</c:v>
                </c:pt>
                <c:pt idx="122">
                  <c:v>190022.99000000008</c:v>
                </c:pt>
                <c:pt idx="123">
                  <c:v>185000.58000000007</c:v>
                </c:pt>
                <c:pt idx="124">
                  <c:v>175567.52000000008</c:v>
                </c:pt>
                <c:pt idx="125">
                  <c:v>177683.42000000007</c:v>
                </c:pt>
                <c:pt idx="126">
                  <c:v>177683.42000000007</c:v>
                </c:pt>
                <c:pt idx="127">
                  <c:v>170079.76000000007</c:v>
                </c:pt>
                <c:pt idx="128">
                  <c:v>163716.81000000006</c:v>
                </c:pt>
                <c:pt idx="129">
                  <c:v>169451.17000000004</c:v>
                </c:pt>
                <c:pt idx="130">
                  <c:v>179628.39000000004</c:v>
                </c:pt>
                <c:pt idx="131">
                  <c:v>173601.55000000008</c:v>
                </c:pt>
                <c:pt idx="132">
                  <c:v>167911.21000000011</c:v>
                </c:pt>
                <c:pt idx="133">
                  <c:v>185126.97000000012</c:v>
                </c:pt>
                <c:pt idx="134">
                  <c:v>199700.32000000012</c:v>
                </c:pt>
                <c:pt idx="135">
                  <c:v>194380.47000000012</c:v>
                </c:pt>
                <c:pt idx="136">
                  <c:v>206923.94000000009</c:v>
                </c:pt>
                <c:pt idx="137">
                  <c:v>206923.94000000009</c:v>
                </c:pt>
                <c:pt idx="138">
                  <c:v>206923.94000000009</c:v>
                </c:pt>
                <c:pt idx="139">
                  <c:v>216836.06000000008</c:v>
                </c:pt>
                <c:pt idx="140">
                  <c:v>206428.26000000007</c:v>
                </c:pt>
                <c:pt idx="141">
                  <c:v>197363.13000000006</c:v>
                </c:pt>
                <c:pt idx="142">
                  <c:v>191086.87000000005</c:v>
                </c:pt>
                <c:pt idx="143">
                  <c:v>186458.12000000005</c:v>
                </c:pt>
                <c:pt idx="144">
                  <c:v>186654.43000000005</c:v>
                </c:pt>
                <c:pt idx="145">
                  <c:v>196396.11000000004</c:v>
                </c:pt>
                <c:pt idx="146">
                  <c:v>197383.11000000004</c:v>
                </c:pt>
                <c:pt idx="147">
                  <c:v>180233.11000000004</c:v>
                </c:pt>
                <c:pt idx="148">
                  <c:v>169277.11000000004</c:v>
                </c:pt>
                <c:pt idx="149">
                  <c:v>163095.11000000004</c:v>
                </c:pt>
                <c:pt idx="150">
                  <c:v>169110.79000000004</c:v>
                </c:pt>
                <c:pt idx="151">
                  <c:v>189712.17000000004</c:v>
                </c:pt>
                <c:pt idx="152">
                  <c:v>180504.70000000004</c:v>
                </c:pt>
                <c:pt idx="153">
                  <c:v>174630.61000000004</c:v>
                </c:pt>
                <c:pt idx="154">
                  <c:v>228118.32</c:v>
                </c:pt>
                <c:pt idx="155">
                  <c:v>213224.51</c:v>
                </c:pt>
                <c:pt idx="156">
                  <c:v>184017.1100000001</c:v>
                </c:pt>
                <c:pt idx="157">
                  <c:v>176126.8000000001</c:v>
                </c:pt>
                <c:pt idx="158">
                  <c:v>159083.8000000001</c:v>
                </c:pt>
                <c:pt idx="159">
                  <c:v>173070.84000000014</c:v>
                </c:pt>
                <c:pt idx="160">
                  <c:v>166461.15000000014</c:v>
                </c:pt>
                <c:pt idx="161">
                  <c:v>164457.14000000013</c:v>
                </c:pt>
                <c:pt idx="162">
                  <c:v>164114.18000000017</c:v>
                </c:pt>
                <c:pt idx="163">
                  <c:v>149041.00000000017</c:v>
                </c:pt>
                <c:pt idx="164">
                  <c:v>135403.00000000017</c:v>
                </c:pt>
                <c:pt idx="165">
                  <c:v>123808.00000000017</c:v>
                </c:pt>
                <c:pt idx="166">
                  <c:v>121256.29000000017</c:v>
                </c:pt>
                <c:pt idx="167">
                  <c:v>123404.48000000017</c:v>
                </c:pt>
                <c:pt idx="168">
                  <c:v>126745.97000000018</c:v>
                </c:pt>
                <c:pt idx="169">
                  <c:v>128098.53000000017</c:v>
                </c:pt>
                <c:pt idx="170">
                  <c:v>130043.09000000017</c:v>
                </c:pt>
                <c:pt idx="171">
                  <c:v>133049.09000000017</c:v>
                </c:pt>
                <c:pt idx="172">
                  <c:v>121694.34000000017</c:v>
                </c:pt>
                <c:pt idx="173">
                  <c:v>119623.89000000016</c:v>
                </c:pt>
                <c:pt idx="174">
                  <c:v>153626.3700000002</c:v>
                </c:pt>
                <c:pt idx="175">
                  <c:v>153619.3700000002</c:v>
                </c:pt>
                <c:pt idx="176">
                  <c:v>156995.67000000022</c:v>
                </c:pt>
                <c:pt idx="177">
                  <c:v>154495.48000000021</c:v>
                </c:pt>
                <c:pt idx="178">
                  <c:v>144307.91000000021</c:v>
                </c:pt>
                <c:pt idx="179">
                  <c:v>134753.0300000002</c:v>
                </c:pt>
                <c:pt idx="180">
                  <c:v>136550.60000000021</c:v>
                </c:pt>
                <c:pt idx="181">
                  <c:v>131487.60000000021</c:v>
                </c:pt>
                <c:pt idx="182">
                  <c:v>126424.60000000021</c:v>
                </c:pt>
                <c:pt idx="183">
                  <c:v>126424.60000000021</c:v>
                </c:pt>
                <c:pt idx="184">
                  <c:v>115630.43000000023</c:v>
                </c:pt>
                <c:pt idx="185">
                  <c:v>106084.74000000022</c:v>
                </c:pt>
                <c:pt idx="186">
                  <c:v>108353.26000000023</c:v>
                </c:pt>
                <c:pt idx="187">
                  <c:v>97942.859200000225</c:v>
                </c:pt>
                <c:pt idx="188">
                  <c:v>116576.28920000022</c:v>
                </c:pt>
                <c:pt idx="189">
                  <c:v>115137.28920000022</c:v>
                </c:pt>
                <c:pt idx="190">
                  <c:v>120252.28920000022</c:v>
                </c:pt>
                <c:pt idx="191">
                  <c:v>118125.28920000022</c:v>
                </c:pt>
                <c:pt idx="192">
                  <c:v>118125.28920000022</c:v>
                </c:pt>
                <c:pt idx="193">
                  <c:v>118125.28920000022</c:v>
                </c:pt>
                <c:pt idx="194">
                  <c:v>118810.02920000022</c:v>
                </c:pt>
                <c:pt idx="195">
                  <c:v>118625.68920000023</c:v>
                </c:pt>
                <c:pt idx="196">
                  <c:v>117030.18920000023</c:v>
                </c:pt>
                <c:pt idx="197">
                  <c:v>115387.63920000022</c:v>
                </c:pt>
                <c:pt idx="198">
                  <c:v>108372.83920000023</c:v>
                </c:pt>
                <c:pt idx="199">
                  <c:v>99572.839200000235</c:v>
                </c:pt>
                <c:pt idx="200">
                  <c:v>99572.839200000235</c:v>
                </c:pt>
                <c:pt idx="201">
                  <c:v>92113.299200000241</c:v>
                </c:pt>
                <c:pt idx="202">
                  <c:v>84210.409200000242</c:v>
                </c:pt>
                <c:pt idx="203">
                  <c:v>78519.349200000244</c:v>
                </c:pt>
                <c:pt idx="204">
                  <c:v>72199.779200000237</c:v>
                </c:pt>
                <c:pt idx="205">
                  <c:v>54489.620200000252</c:v>
                </c:pt>
                <c:pt idx="206">
                  <c:v>41147.160200000246</c:v>
                </c:pt>
                <c:pt idx="207">
                  <c:v>43987.110200000228</c:v>
                </c:pt>
                <c:pt idx="208">
                  <c:v>35387.490200000233</c:v>
                </c:pt>
                <c:pt idx="209">
                  <c:v>36853.930200000235</c:v>
                </c:pt>
                <c:pt idx="210">
                  <c:v>33007.050200000231</c:v>
                </c:pt>
                <c:pt idx="211">
                  <c:v>33714.44020000023</c:v>
                </c:pt>
                <c:pt idx="212">
                  <c:v>35466.040200000236</c:v>
                </c:pt>
                <c:pt idx="213">
                  <c:v>42308.44020000023</c:v>
                </c:pt>
                <c:pt idx="214">
                  <c:v>38261.760200000237</c:v>
                </c:pt>
                <c:pt idx="215">
                  <c:v>29463.660200000231</c:v>
                </c:pt>
                <c:pt idx="216">
                  <c:v>23108.270200000232</c:v>
                </c:pt>
                <c:pt idx="217">
                  <c:v>-1916.1897999997309</c:v>
                </c:pt>
                <c:pt idx="218">
                  <c:v>3388.8902000002854</c:v>
                </c:pt>
                <c:pt idx="219">
                  <c:v>-2440.1397999997134</c:v>
                </c:pt>
                <c:pt idx="220">
                  <c:v>-5688.9597999997131</c:v>
                </c:pt>
                <c:pt idx="221">
                  <c:v>-10414.959799999713</c:v>
                </c:pt>
                <c:pt idx="222">
                  <c:v>-10569.959799999713</c:v>
                </c:pt>
                <c:pt idx="223">
                  <c:v>-15876.059799999719</c:v>
                </c:pt>
                <c:pt idx="224">
                  <c:v>-15876.059799999719</c:v>
                </c:pt>
                <c:pt idx="225">
                  <c:v>-15876.059799999719</c:v>
                </c:pt>
                <c:pt idx="226">
                  <c:v>-15876.059799999719</c:v>
                </c:pt>
                <c:pt idx="227">
                  <c:v>-15876.059799999719</c:v>
                </c:pt>
                <c:pt idx="228">
                  <c:v>-15876.059799999719</c:v>
                </c:pt>
                <c:pt idx="229">
                  <c:v>-15876.059799999719</c:v>
                </c:pt>
                <c:pt idx="230">
                  <c:v>-15876.059799999719</c:v>
                </c:pt>
                <c:pt idx="231">
                  <c:v>-15876.059799999719</c:v>
                </c:pt>
                <c:pt idx="232">
                  <c:v>-15876.059799999719</c:v>
                </c:pt>
                <c:pt idx="233">
                  <c:v>-15876.059799999719</c:v>
                </c:pt>
                <c:pt idx="234">
                  <c:v>-15876.059799999719</c:v>
                </c:pt>
                <c:pt idx="235">
                  <c:v>-3443.8697999997166</c:v>
                </c:pt>
                <c:pt idx="236">
                  <c:v>-8412.6197999997021</c:v>
                </c:pt>
                <c:pt idx="237">
                  <c:v>-19340.069799999699</c:v>
                </c:pt>
                <c:pt idx="238">
                  <c:v>-26986.769799999711</c:v>
                </c:pt>
                <c:pt idx="239">
                  <c:v>-37686.509799999701</c:v>
                </c:pt>
                <c:pt idx="240">
                  <c:v>-51716.509799999701</c:v>
                </c:pt>
                <c:pt idx="241">
                  <c:v>-59054.579799999701</c:v>
                </c:pt>
                <c:pt idx="242">
                  <c:v>-69025.069799999706</c:v>
                </c:pt>
                <c:pt idx="243">
                  <c:v>-73822.069799999706</c:v>
                </c:pt>
                <c:pt idx="244">
                  <c:v>-79059.839799999696</c:v>
                </c:pt>
                <c:pt idx="245">
                  <c:v>-85252.389799999699</c:v>
                </c:pt>
                <c:pt idx="246">
                  <c:v>-73891.179799999692</c:v>
                </c:pt>
              </c:numCache>
            </c:numRef>
          </c:val>
          <c:smooth val="0"/>
          <c:extLst>
            <c:ext xmlns:c16="http://schemas.microsoft.com/office/drawing/2014/chart" uri="{C3380CC4-5D6E-409C-BE32-E72D297353CC}">
              <c16:uniqueId val="{00000000-E0D9-4174-B7E7-E8FEE5D46421}"/>
            </c:ext>
          </c:extLst>
        </c:ser>
        <c:ser>
          <c:idx val="1"/>
          <c:order val="1"/>
          <c:tx>
            <c:strRef>
              <c:f>'PJ (D1)'!$Q$1</c:f>
              <c:strCache>
                <c:ptCount val="1"/>
                <c:pt idx="0">
                  <c:v> Forex PnL </c:v>
                </c:pt>
              </c:strCache>
            </c:strRef>
          </c:tx>
          <c:spPr>
            <a:ln w="31750" cap="rnd">
              <a:solidFill>
                <a:schemeClr val="accent2"/>
              </a:solidFill>
              <a:round/>
            </a:ln>
            <a:effectLst/>
          </c:spPr>
          <c:marker>
            <c:symbol val="none"/>
          </c:marker>
          <c:val>
            <c:numRef>
              <c:f>'PJ (D1)'!$Q$2:$Q$248</c:f>
              <c:numCache>
                <c:formatCode>_("$"* #,##0_);_("$"* \(#,##0\);_("$"* "-"??_);_(@_)</c:formatCode>
                <c:ptCount val="247"/>
                <c:pt idx="0">
                  <c:v>0</c:v>
                </c:pt>
                <c:pt idx="1">
                  <c:v>0</c:v>
                </c:pt>
                <c:pt idx="2">
                  <c:v>0</c:v>
                </c:pt>
                <c:pt idx="3">
                  <c:v>0</c:v>
                </c:pt>
                <c:pt idx="4">
                  <c:v>0</c:v>
                </c:pt>
                <c:pt idx="5">
                  <c:v>-6249.8796296295604</c:v>
                </c:pt>
                <c:pt idx="6">
                  <c:v>-6249.8796296295604</c:v>
                </c:pt>
                <c:pt idx="7">
                  <c:v>-12378.87962962956</c:v>
                </c:pt>
                <c:pt idx="8">
                  <c:v>-10703.024764419877</c:v>
                </c:pt>
                <c:pt idx="9">
                  <c:v>-3539.768873492344</c:v>
                </c:pt>
                <c:pt idx="10">
                  <c:v>-3539.768873492344</c:v>
                </c:pt>
                <c:pt idx="11">
                  <c:v>-12487.252702253678</c:v>
                </c:pt>
                <c:pt idx="12">
                  <c:v>-12487.252702253678</c:v>
                </c:pt>
                <c:pt idx="13">
                  <c:v>-30521.97896842067</c:v>
                </c:pt>
                <c:pt idx="14">
                  <c:v>-47154.118152531315</c:v>
                </c:pt>
                <c:pt idx="15">
                  <c:v>-63700.357617891743</c:v>
                </c:pt>
                <c:pt idx="16">
                  <c:v>-69823.034734439163</c:v>
                </c:pt>
                <c:pt idx="17">
                  <c:v>-69823.034734439163</c:v>
                </c:pt>
                <c:pt idx="18">
                  <c:v>-69823.034734439163</c:v>
                </c:pt>
                <c:pt idx="19">
                  <c:v>-69823.034734439163</c:v>
                </c:pt>
                <c:pt idx="20">
                  <c:v>-69823.034734439163</c:v>
                </c:pt>
                <c:pt idx="21">
                  <c:v>-69823.034734439163</c:v>
                </c:pt>
                <c:pt idx="22">
                  <c:v>-69823.034734439163</c:v>
                </c:pt>
                <c:pt idx="23">
                  <c:v>-69823.034734439163</c:v>
                </c:pt>
                <c:pt idx="24">
                  <c:v>-69823.034734439163</c:v>
                </c:pt>
                <c:pt idx="25">
                  <c:v>-69823.034734439163</c:v>
                </c:pt>
                <c:pt idx="26">
                  <c:v>-69823.034734439163</c:v>
                </c:pt>
                <c:pt idx="27">
                  <c:v>-69823.034734439163</c:v>
                </c:pt>
                <c:pt idx="28">
                  <c:v>-69823.034734439163</c:v>
                </c:pt>
                <c:pt idx="29">
                  <c:v>-69823.034734439163</c:v>
                </c:pt>
                <c:pt idx="30">
                  <c:v>-69823.034734439163</c:v>
                </c:pt>
                <c:pt idx="31">
                  <c:v>-69823.034734439163</c:v>
                </c:pt>
                <c:pt idx="32">
                  <c:v>-69823.034734439163</c:v>
                </c:pt>
                <c:pt idx="33">
                  <c:v>-69823.034734439163</c:v>
                </c:pt>
                <c:pt idx="34">
                  <c:v>-69823.034734439163</c:v>
                </c:pt>
                <c:pt idx="35">
                  <c:v>-69823.034734439163</c:v>
                </c:pt>
                <c:pt idx="36">
                  <c:v>-66528.034734439163</c:v>
                </c:pt>
                <c:pt idx="37">
                  <c:v>-66528.034734439163</c:v>
                </c:pt>
                <c:pt idx="38">
                  <c:v>-66528.034734439163</c:v>
                </c:pt>
                <c:pt idx="39">
                  <c:v>-66528.034734439163</c:v>
                </c:pt>
                <c:pt idx="40">
                  <c:v>-75572.866278439222</c:v>
                </c:pt>
                <c:pt idx="41">
                  <c:v>-75572.866278439222</c:v>
                </c:pt>
                <c:pt idx="42">
                  <c:v>-75572.866278439222</c:v>
                </c:pt>
                <c:pt idx="43">
                  <c:v>-52070.332420859573</c:v>
                </c:pt>
                <c:pt idx="44">
                  <c:v>-52070.332420859573</c:v>
                </c:pt>
                <c:pt idx="45">
                  <c:v>-57473.147420859576</c:v>
                </c:pt>
                <c:pt idx="46">
                  <c:v>-57561.147420859576</c:v>
                </c:pt>
                <c:pt idx="47">
                  <c:v>-68668.250776564309</c:v>
                </c:pt>
                <c:pt idx="48">
                  <c:v>-77802.030776564337</c:v>
                </c:pt>
                <c:pt idx="49">
                  <c:v>-86087.595138980367</c:v>
                </c:pt>
                <c:pt idx="50">
                  <c:v>-86087.595138980367</c:v>
                </c:pt>
                <c:pt idx="51">
                  <c:v>-86087.595138980367</c:v>
                </c:pt>
                <c:pt idx="52">
                  <c:v>-86087.595138980367</c:v>
                </c:pt>
                <c:pt idx="53">
                  <c:v>-86087.595138980367</c:v>
                </c:pt>
                <c:pt idx="54">
                  <c:v>-101713.59513898037</c:v>
                </c:pt>
                <c:pt idx="55">
                  <c:v>-101713.59513898037</c:v>
                </c:pt>
                <c:pt idx="56">
                  <c:v>-107908.59513898037</c:v>
                </c:pt>
                <c:pt idx="57">
                  <c:v>-104597.19513898037</c:v>
                </c:pt>
                <c:pt idx="58">
                  <c:v>-104597.19513898037</c:v>
                </c:pt>
                <c:pt idx="59">
                  <c:v>-104597.19513898037</c:v>
                </c:pt>
                <c:pt idx="60">
                  <c:v>-104597.19513898037</c:v>
                </c:pt>
                <c:pt idx="61">
                  <c:v>-104597.19513898037</c:v>
                </c:pt>
                <c:pt idx="62">
                  <c:v>-104597.19513898037</c:v>
                </c:pt>
                <c:pt idx="63">
                  <c:v>-104597.19513898037</c:v>
                </c:pt>
                <c:pt idx="64">
                  <c:v>-104597.19513898037</c:v>
                </c:pt>
                <c:pt idx="65">
                  <c:v>-99926.073154172424</c:v>
                </c:pt>
                <c:pt idx="66">
                  <c:v>-99926.073154172424</c:v>
                </c:pt>
                <c:pt idx="67">
                  <c:v>-99926.073154172424</c:v>
                </c:pt>
                <c:pt idx="68">
                  <c:v>-99926.073154172424</c:v>
                </c:pt>
                <c:pt idx="69">
                  <c:v>-99926.073154172424</c:v>
                </c:pt>
                <c:pt idx="70">
                  <c:v>-99926.073154172424</c:v>
                </c:pt>
                <c:pt idx="71">
                  <c:v>-99926.073154172424</c:v>
                </c:pt>
                <c:pt idx="72">
                  <c:v>-99926.073154172424</c:v>
                </c:pt>
                <c:pt idx="73">
                  <c:v>-99926.073154172424</c:v>
                </c:pt>
                <c:pt idx="74">
                  <c:v>-95205.073154172424</c:v>
                </c:pt>
                <c:pt idx="75">
                  <c:v>-95205.073154172424</c:v>
                </c:pt>
                <c:pt idx="76">
                  <c:v>-68267.073154172424</c:v>
                </c:pt>
                <c:pt idx="77">
                  <c:v>-77735.073154172424</c:v>
                </c:pt>
                <c:pt idx="78">
                  <c:v>-77735.073154172424</c:v>
                </c:pt>
                <c:pt idx="79">
                  <c:v>-77735.073154172424</c:v>
                </c:pt>
                <c:pt idx="80">
                  <c:v>-77735.073154172424</c:v>
                </c:pt>
                <c:pt idx="81">
                  <c:v>-87869.073154172424</c:v>
                </c:pt>
                <c:pt idx="82">
                  <c:v>-96143.073154172424</c:v>
                </c:pt>
                <c:pt idx="83">
                  <c:v>-96143.073154172424</c:v>
                </c:pt>
                <c:pt idx="84">
                  <c:v>-55686.137629013101</c:v>
                </c:pt>
                <c:pt idx="85">
                  <c:v>-55686.137629013101</c:v>
                </c:pt>
                <c:pt idx="86">
                  <c:v>-55686.137629013101</c:v>
                </c:pt>
                <c:pt idx="87">
                  <c:v>-55686.137629013101</c:v>
                </c:pt>
                <c:pt idx="88">
                  <c:v>-55686.137629013101</c:v>
                </c:pt>
                <c:pt idx="89">
                  <c:v>-55686.137629013101</c:v>
                </c:pt>
                <c:pt idx="90">
                  <c:v>-55686.137629013101</c:v>
                </c:pt>
                <c:pt idx="91">
                  <c:v>-55686.137629013101</c:v>
                </c:pt>
                <c:pt idx="92">
                  <c:v>-55686.137629013101</c:v>
                </c:pt>
                <c:pt idx="93">
                  <c:v>-55686.137629013101</c:v>
                </c:pt>
                <c:pt idx="94">
                  <c:v>-55686.137629013101</c:v>
                </c:pt>
                <c:pt idx="95">
                  <c:v>-55686.137629013101</c:v>
                </c:pt>
                <c:pt idx="96">
                  <c:v>-55686.137629013101</c:v>
                </c:pt>
                <c:pt idx="97">
                  <c:v>-55686.137629013101</c:v>
                </c:pt>
                <c:pt idx="98">
                  <c:v>-55686.137629013101</c:v>
                </c:pt>
                <c:pt idx="99">
                  <c:v>-55686.137629013101</c:v>
                </c:pt>
                <c:pt idx="100">
                  <c:v>-55686.137629013101</c:v>
                </c:pt>
                <c:pt idx="101">
                  <c:v>-55686.137629013101</c:v>
                </c:pt>
                <c:pt idx="102">
                  <c:v>-55686.137629013101</c:v>
                </c:pt>
                <c:pt idx="103">
                  <c:v>-55686.137629013101</c:v>
                </c:pt>
                <c:pt idx="104">
                  <c:v>-55686.137629013101</c:v>
                </c:pt>
                <c:pt idx="105">
                  <c:v>-55686.137629013101</c:v>
                </c:pt>
                <c:pt idx="106">
                  <c:v>-55686.137629013101</c:v>
                </c:pt>
                <c:pt idx="107">
                  <c:v>-55686.137629013101</c:v>
                </c:pt>
                <c:pt idx="108">
                  <c:v>-55686.137629013101</c:v>
                </c:pt>
                <c:pt idx="109">
                  <c:v>-55686.137629013101</c:v>
                </c:pt>
                <c:pt idx="110">
                  <c:v>-55686.137629013101</c:v>
                </c:pt>
                <c:pt idx="111">
                  <c:v>-55686.137629013101</c:v>
                </c:pt>
                <c:pt idx="112">
                  <c:v>-55686.137629013101</c:v>
                </c:pt>
                <c:pt idx="113">
                  <c:v>-55686.137629013101</c:v>
                </c:pt>
                <c:pt idx="114">
                  <c:v>-55686.137629013101</c:v>
                </c:pt>
                <c:pt idx="115">
                  <c:v>-55686.137629013101</c:v>
                </c:pt>
                <c:pt idx="116">
                  <c:v>-55686.137629013101</c:v>
                </c:pt>
                <c:pt idx="117">
                  <c:v>-55686.137629013101</c:v>
                </c:pt>
                <c:pt idx="118">
                  <c:v>-55686.137629013101</c:v>
                </c:pt>
                <c:pt idx="119">
                  <c:v>-55686.137629013101</c:v>
                </c:pt>
                <c:pt idx="120">
                  <c:v>-55686.137629013101</c:v>
                </c:pt>
                <c:pt idx="121">
                  <c:v>-55686.137629013101</c:v>
                </c:pt>
                <c:pt idx="122">
                  <c:v>-55686.137629013101</c:v>
                </c:pt>
                <c:pt idx="123">
                  <c:v>-55686.137629013101</c:v>
                </c:pt>
                <c:pt idx="124">
                  <c:v>-55686.137629013101</c:v>
                </c:pt>
                <c:pt idx="125">
                  <c:v>-55686.137629013101</c:v>
                </c:pt>
                <c:pt idx="126">
                  <c:v>-65847.137629013101</c:v>
                </c:pt>
                <c:pt idx="127">
                  <c:v>-65847.137629013101</c:v>
                </c:pt>
                <c:pt idx="128">
                  <c:v>-65847.137629013101</c:v>
                </c:pt>
                <c:pt idx="129">
                  <c:v>-65847.137629013101</c:v>
                </c:pt>
                <c:pt idx="130">
                  <c:v>-65847.137629013101</c:v>
                </c:pt>
                <c:pt idx="131">
                  <c:v>-65847.137629013101</c:v>
                </c:pt>
                <c:pt idx="132">
                  <c:v>-65847.137629013101</c:v>
                </c:pt>
                <c:pt idx="133">
                  <c:v>-65847.137629013101</c:v>
                </c:pt>
                <c:pt idx="134">
                  <c:v>-65847.137629013101</c:v>
                </c:pt>
                <c:pt idx="135">
                  <c:v>-65847.137629013101</c:v>
                </c:pt>
                <c:pt idx="136">
                  <c:v>-65847.137629013101</c:v>
                </c:pt>
                <c:pt idx="137">
                  <c:v>-65847.137629013101</c:v>
                </c:pt>
                <c:pt idx="138">
                  <c:v>-78942.387629013101</c:v>
                </c:pt>
                <c:pt idx="139">
                  <c:v>-78942.387629013101</c:v>
                </c:pt>
                <c:pt idx="140">
                  <c:v>-78942.387629013101</c:v>
                </c:pt>
                <c:pt idx="141">
                  <c:v>-78942.387629013101</c:v>
                </c:pt>
                <c:pt idx="142">
                  <c:v>-78942.387629013101</c:v>
                </c:pt>
                <c:pt idx="143">
                  <c:v>-78942.387629013101</c:v>
                </c:pt>
                <c:pt idx="144">
                  <c:v>-78942.387629013101</c:v>
                </c:pt>
                <c:pt idx="145">
                  <c:v>-78942.387629013101</c:v>
                </c:pt>
                <c:pt idx="146">
                  <c:v>-78942.387629013101</c:v>
                </c:pt>
                <c:pt idx="147">
                  <c:v>-78942.387629013101</c:v>
                </c:pt>
                <c:pt idx="148">
                  <c:v>-78942.387629013101</c:v>
                </c:pt>
                <c:pt idx="149">
                  <c:v>-78942.387629013101</c:v>
                </c:pt>
                <c:pt idx="150">
                  <c:v>-78942.387629013101</c:v>
                </c:pt>
                <c:pt idx="151">
                  <c:v>-78942.387629013101</c:v>
                </c:pt>
                <c:pt idx="152">
                  <c:v>-78942.387629013101</c:v>
                </c:pt>
                <c:pt idx="153">
                  <c:v>-78942.387629013101</c:v>
                </c:pt>
                <c:pt idx="154">
                  <c:v>-78942.387629013101</c:v>
                </c:pt>
                <c:pt idx="155">
                  <c:v>-78942.387629013101</c:v>
                </c:pt>
                <c:pt idx="156">
                  <c:v>-78942.387629013101</c:v>
                </c:pt>
                <c:pt idx="157">
                  <c:v>-78942.387629013101</c:v>
                </c:pt>
                <c:pt idx="158">
                  <c:v>-78942.387629013101</c:v>
                </c:pt>
                <c:pt idx="159">
                  <c:v>-78942.387629013101</c:v>
                </c:pt>
                <c:pt idx="160">
                  <c:v>-78942.387629013101</c:v>
                </c:pt>
                <c:pt idx="161">
                  <c:v>-78942.387629013101</c:v>
                </c:pt>
                <c:pt idx="162">
                  <c:v>-78942.387629013101</c:v>
                </c:pt>
                <c:pt idx="163">
                  <c:v>-78942.387629013101</c:v>
                </c:pt>
                <c:pt idx="164">
                  <c:v>-78942.387629013101</c:v>
                </c:pt>
                <c:pt idx="165">
                  <c:v>-78942.387629013101</c:v>
                </c:pt>
                <c:pt idx="166">
                  <c:v>-78942.387629013101</c:v>
                </c:pt>
                <c:pt idx="167">
                  <c:v>-78942.387629013101</c:v>
                </c:pt>
                <c:pt idx="168">
                  <c:v>-78942.387629013101</c:v>
                </c:pt>
                <c:pt idx="169">
                  <c:v>-78942.387629013101</c:v>
                </c:pt>
                <c:pt idx="170">
                  <c:v>-78942.387629013101</c:v>
                </c:pt>
                <c:pt idx="171">
                  <c:v>-78942.387629013101</c:v>
                </c:pt>
                <c:pt idx="172">
                  <c:v>-78942.387629013101</c:v>
                </c:pt>
                <c:pt idx="173">
                  <c:v>-78942.387629013101</c:v>
                </c:pt>
                <c:pt idx="174">
                  <c:v>-78942.387629013101</c:v>
                </c:pt>
                <c:pt idx="175">
                  <c:v>-78942.387629013101</c:v>
                </c:pt>
                <c:pt idx="176">
                  <c:v>-78942.387629013101</c:v>
                </c:pt>
                <c:pt idx="177">
                  <c:v>-78942.387629013101</c:v>
                </c:pt>
                <c:pt idx="178">
                  <c:v>-78942.387629013101</c:v>
                </c:pt>
                <c:pt idx="179">
                  <c:v>-78942.387629013101</c:v>
                </c:pt>
                <c:pt idx="180">
                  <c:v>-78942.387629013101</c:v>
                </c:pt>
                <c:pt idx="181">
                  <c:v>-78942.387629013101</c:v>
                </c:pt>
                <c:pt idx="182">
                  <c:v>-78942.387629013101</c:v>
                </c:pt>
                <c:pt idx="183">
                  <c:v>-86655.781934369617</c:v>
                </c:pt>
                <c:pt idx="184">
                  <c:v>-86655.781934369617</c:v>
                </c:pt>
                <c:pt idx="185">
                  <c:v>-86655.781934369617</c:v>
                </c:pt>
                <c:pt idx="186">
                  <c:v>-86655.781934369617</c:v>
                </c:pt>
                <c:pt idx="187">
                  <c:v>-86655.781934369617</c:v>
                </c:pt>
                <c:pt idx="188">
                  <c:v>-86655.781934369617</c:v>
                </c:pt>
                <c:pt idx="189">
                  <c:v>-86655.781934369617</c:v>
                </c:pt>
                <c:pt idx="190">
                  <c:v>-86655.781934369617</c:v>
                </c:pt>
                <c:pt idx="191">
                  <c:v>-86655.781934369617</c:v>
                </c:pt>
                <c:pt idx="192">
                  <c:v>-86655.781934369617</c:v>
                </c:pt>
                <c:pt idx="193">
                  <c:v>-86655.781934369617</c:v>
                </c:pt>
                <c:pt idx="194">
                  <c:v>-86655.781934369617</c:v>
                </c:pt>
                <c:pt idx="195">
                  <c:v>-86655.781934369617</c:v>
                </c:pt>
                <c:pt idx="196">
                  <c:v>-86655.781934369617</c:v>
                </c:pt>
                <c:pt idx="197">
                  <c:v>-86655.781934369617</c:v>
                </c:pt>
                <c:pt idx="198">
                  <c:v>-86655.781934369617</c:v>
                </c:pt>
                <c:pt idx="199">
                  <c:v>-86655.781934369617</c:v>
                </c:pt>
                <c:pt idx="200">
                  <c:v>-86655.781934369617</c:v>
                </c:pt>
                <c:pt idx="201">
                  <c:v>-86655.781934369617</c:v>
                </c:pt>
                <c:pt idx="202">
                  <c:v>-86655.781934369617</c:v>
                </c:pt>
                <c:pt idx="203">
                  <c:v>-86655.781934369617</c:v>
                </c:pt>
                <c:pt idx="204">
                  <c:v>-86655.781934369617</c:v>
                </c:pt>
                <c:pt idx="205">
                  <c:v>-86655.781934369617</c:v>
                </c:pt>
                <c:pt idx="206">
                  <c:v>-86655.781934369617</c:v>
                </c:pt>
                <c:pt idx="207">
                  <c:v>-86655.781934369617</c:v>
                </c:pt>
                <c:pt idx="208">
                  <c:v>-86655.781934369617</c:v>
                </c:pt>
                <c:pt idx="209">
                  <c:v>-86655.781934369617</c:v>
                </c:pt>
                <c:pt idx="210">
                  <c:v>-86655.781934369617</c:v>
                </c:pt>
                <c:pt idx="211">
                  <c:v>-86655.781934369617</c:v>
                </c:pt>
                <c:pt idx="212">
                  <c:v>-86655.781934369617</c:v>
                </c:pt>
                <c:pt idx="213">
                  <c:v>-86655.781934369617</c:v>
                </c:pt>
                <c:pt idx="214">
                  <c:v>-86655.781934369617</c:v>
                </c:pt>
                <c:pt idx="215">
                  <c:v>-86655.781934369617</c:v>
                </c:pt>
                <c:pt idx="216">
                  <c:v>-86655.781934369617</c:v>
                </c:pt>
                <c:pt idx="217">
                  <c:v>-86655.781934369617</c:v>
                </c:pt>
                <c:pt idx="218">
                  <c:v>-86655.781934369617</c:v>
                </c:pt>
                <c:pt idx="219">
                  <c:v>-86655.781934369617</c:v>
                </c:pt>
                <c:pt idx="220">
                  <c:v>-86655.781934369617</c:v>
                </c:pt>
                <c:pt idx="221">
                  <c:v>-86655.781934369617</c:v>
                </c:pt>
                <c:pt idx="222">
                  <c:v>-86655.781934369617</c:v>
                </c:pt>
                <c:pt idx="223">
                  <c:v>-86655.781934369617</c:v>
                </c:pt>
                <c:pt idx="224">
                  <c:v>-49641.781934369617</c:v>
                </c:pt>
                <c:pt idx="225">
                  <c:v>-49641.781934369617</c:v>
                </c:pt>
                <c:pt idx="226">
                  <c:v>-49641.781934369617</c:v>
                </c:pt>
                <c:pt idx="227">
                  <c:v>-49641.781934369617</c:v>
                </c:pt>
                <c:pt idx="228">
                  <c:v>-49641.781934369617</c:v>
                </c:pt>
                <c:pt idx="229">
                  <c:v>-49641.781934369617</c:v>
                </c:pt>
                <c:pt idx="230">
                  <c:v>-49641.781934369617</c:v>
                </c:pt>
                <c:pt idx="231">
                  <c:v>-49641.781934369617</c:v>
                </c:pt>
                <c:pt idx="232">
                  <c:v>-49641.781934369617</c:v>
                </c:pt>
                <c:pt idx="233">
                  <c:v>-49641.781934369617</c:v>
                </c:pt>
                <c:pt idx="234">
                  <c:v>-49641.781934369617</c:v>
                </c:pt>
                <c:pt idx="235">
                  <c:v>-49641.781934369617</c:v>
                </c:pt>
                <c:pt idx="236">
                  <c:v>-49641.781934369617</c:v>
                </c:pt>
                <c:pt idx="237">
                  <c:v>-49641.781934369617</c:v>
                </c:pt>
                <c:pt idx="238">
                  <c:v>-49641.781934369617</c:v>
                </c:pt>
                <c:pt idx="239">
                  <c:v>-49641.781934369617</c:v>
                </c:pt>
                <c:pt idx="240">
                  <c:v>-49641.781934369617</c:v>
                </c:pt>
                <c:pt idx="241">
                  <c:v>-49641.781934369617</c:v>
                </c:pt>
                <c:pt idx="242">
                  <c:v>-49641.781934369617</c:v>
                </c:pt>
                <c:pt idx="243">
                  <c:v>-49641.781934369617</c:v>
                </c:pt>
                <c:pt idx="244">
                  <c:v>-49641.781934369617</c:v>
                </c:pt>
                <c:pt idx="245">
                  <c:v>-49641.781934369617</c:v>
                </c:pt>
                <c:pt idx="246">
                  <c:v>-49641.781934369617</c:v>
                </c:pt>
              </c:numCache>
            </c:numRef>
          </c:val>
          <c:smooth val="0"/>
          <c:extLst xmlns:c15="http://schemas.microsoft.com/office/drawing/2012/chart">
            <c:ext xmlns:c16="http://schemas.microsoft.com/office/drawing/2014/chart" uri="{C3380CC4-5D6E-409C-BE32-E72D297353CC}">
              <c16:uniqueId val="{00000001-E0D9-4174-B7E7-E8FEE5D46421}"/>
            </c:ext>
          </c:extLst>
        </c:ser>
        <c:ser>
          <c:idx val="2"/>
          <c:order val="2"/>
          <c:tx>
            <c:strRef>
              <c:f>'PJ (D1)'!$R$1</c:f>
              <c:strCache>
                <c:ptCount val="1"/>
                <c:pt idx="0">
                  <c:v> Futs PnL </c:v>
                </c:pt>
              </c:strCache>
            </c:strRef>
          </c:tx>
          <c:spPr>
            <a:ln w="31750" cap="rnd">
              <a:solidFill>
                <a:schemeClr val="accent3"/>
              </a:solidFill>
              <a:round/>
            </a:ln>
            <a:effectLst/>
          </c:spPr>
          <c:marker>
            <c:symbol val="none"/>
          </c:marker>
          <c:val>
            <c:numRef>
              <c:f>'PJ (D1)'!$R$2:$R$248</c:f>
              <c:numCache>
                <c:formatCode>_("$"* #,##0_);_("$"* \(#,##0\);_("$"* "-"??_);_(@_)</c:formatCode>
                <c:ptCount val="247"/>
                <c:pt idx="1">
                  <c:v>0</c:v>
                </c:pt>
                <c:pt idx="2">
                  <c:v>0</c:v>
                </c:pt>
                <c:pt idx="3">
                  <c:v>15056.910000000033</c:v>
                </c:pt>
                <c:pt idx="4">
                  <c:v>15056.910000000033</c:v>
                </c:pt>
                <c:pt idx="5">
                  <c:v>15056.910000000033</c:v>
                </c:pt>
                <c:pt idx="6">
                  <c:v>5230.6700000000419</c:v>
                </c:pt>
                <c:pt idx="7">
                  <c:v>5230.6700000000419</c:v>
                </c:pt>
                <c:pt idx="8">
                  <c:v>5230.6700000000419</c:v>
                </c:pt>
                <c:pt idx="9">
                  <c:v>5230.6700000000419</c:v>
                </c:pt>
                <c:pt idx="10">
                  <c:v>-8787.4899999998743</c:v>
                </c:pt>
                <c:pt idx="11">
                  <c:v>-8787.4899999998743</c:v>
                </c:pt>
                <c:pt idx="12">
                  <c:v>-3445.7099999998463</c:v>
                </c:pt>
                <c:pt idx="13">
                  <c:v>-3445.7099999998463</c:v>
                </c:pt>
                <c:pt idx="14">
                  <c:v>-3445.7099999998463</c:v>
                </c:pt>
                <c:pt idx="15">
                  <c:v>-3445.7099999998463</c:v>
                </c:pt>
                <c:pt idx="16">
                  <c:v>-3445.7099999998463</c:v>
                </c:pt>
                <c:pt idx="17">
                  <c:v>-3445.7099999998463</c:v>
                </c:pt>
                <c:pt idx="18">
                  <c:v>-3445.7099999998463</c:v>
                </c:pt>
                <c:pt idx="19">
                  <c:v>20671.790000000154</c:v>
                </c:pt>
                <c:pt idx="20">
                  <c:v>6897.7900000001537</c:v>
                </c:pt>
                <c:pt idx="21">
                  <c:v>31368.190000000177</c:v>
                </c:pt>
                <c:pt idx="22">
                  <c:v>16116.5900000002</c:v>
                </c:pt>
                <c:pt idx="23">
                  <c:v>16116.5900000002</c:v>
                </c:pt>
                <c:pt idx="24">
                  <c:v>16116.5900000002</c:v>
                </c:pt>
                <c:pt idx="25">
                  <c:v>16116.5900000002</c:v>
                </c:pt>
                <c:pt idx="26">
                  <c:v>16116.5900000002</c:v>
                </c:pt>
                <c:pt idx="27">
                  <c:v>16116.5900000002</c:v>
                </c:pt>
                <c:pt idx="28">
                  <c:v>16116.5900000002</c:v>
                </c:pt>
                <c:pt idx="29">
                  <c:v>16116.5900000002</c:v>
                </c:pt>
                <c:pt idx="30">
                  <c:v>16116.5900000002</c:v>
                </c:pt>
                <c:pt idx="31">
                  <c:v>16116.5900000002</c:v>
                </c:pt>
                <c:pt idx="32">
                  <c:v>16116.5900000002</c:v>
                </c:pt>
                <c:pt idx="33">
                  <c:v>16116.5900000002</c:v>
                </c:pt>
                <c:pt idx="34">
                  <c:v>15142.430000000284</c:v>
                </c:pt>
                <c:pt idx="35">
                  <c:v>15142.430000000284</c:v>
                </c:pt>
                <c:pt idx="36">
                  <c:v>15142.430000000284</c:v>
                </c:pt>
                <c:pt idx="37">
                  <c:v>15142.430000000284</c:v>
                </c:pt>
                <c:pt idx="38">
                  <c:v>15142.430000000284</c:v>
                </c:pt>
                <c:pt idx="39">
                  <c:v>15142.430000000284</c:v>
                </c:pt>
                <c:pt idx="40">
                  <c:v>15142.430000000284</c:v>
                </c:pt>
                <c:pt idx="41">
                  <c:v>15142.430000000284</c:v>
                </c:pt>
                <c:pt idx="42">
                  <c:v>15142.430000000284</c:v>
                </c:pt>
                <c:pt idx="43">
                  <c:v>15142.430000000284</c:v>
                </c:pt>
                <c:pt idx="44">
                  <c:v>15142.430000000284</c:v>
                </c:pt>
                <c:pt idx="45">
                  <c:v>15142.430000000284</c:v>
                </c:pt>
                <c:pt idx="46">
                  <c:v>15142.430000000284</c:v>
                </c:pt>
                <c:pt idx="47">
                  <c:v>15142.430000000284</c:v>
                </c:pt>
                <c:pt idx="48">
                  <c:v>15142.430000000284</c:v>
                </c:pt>
                <c:pt idx="49">
                  <c:v>15142.430000000284</c:v>
                </c:pt>
                <c:pt idx="50">
                  <c:v>15142.430000000284</c:v>
                </c:pt>
                <c:pt idx="51">
                  <c:v>15142.430000000284</c:v>
                </c:pt>
                <c:pt idx="52">
                  <c:v>15142.430000000284</c:v>
                </c:pt>
                <c:pt idx="53">
                  <c:v>38882.510000000359</c:v>
                </c:pt>
                <c:pt idx="54">
                  <c:v>38882.510000000359</c:v>
                </c:pt>
                <c:pt idx="55">
                  <c:v>38882.510000000359</c:v>
                </c:pt>
                <c:pt idx="56">
                  <c:v>38882.510000000359</c:v>
                </c:pt>
                <c:pt idx="57">
                  <c:v>38882.510000000359</c:v>
                </c:pt>
                <c:pt idx="58">
                  <c:v>38882.510000000359</c:v>
                </c:pt>
                <c:pt idx="59">
                  <c:v>38882.510000000359</c:v>
                </c:pt>
                <c:pt idx="60">
                  <c:v>38882.510000000359</c:v>
                </c:pt>
                <c:pt idx="61">
                  <c:v>38882.510000000359</c:v>
                </c:pt>
                <c:pt idx="62">
                  <c:v>29908.810000000347</c:v>
                </c:pt>
                <c:pt idx="63">
                  <c:v>29908.810000000347</c:v>
                </c:pt>
                <c:pt idx="64">
                  <c:v>29908.810000000347</c:v>
                </c:pt>
                <c:pt idx="65">
                  <c:v>29908.810000000347</c:v>
                </c:pt>
                <c:pt idx="66">
                  <c:v>29908.810000000347</c:v>
                </c:pt>
                <c:pt idx="67">
                  <c:v>36418.810000000347</c:v>
                </c:pt>
                <c:pt idx="68">
                  <c:v>27992.170000000449</c:v>
                </c:pt>
                <c:pt idx="69">
                  <c:v>27992.170000000449</c:v>
                </c:pt>
                <c:pt idx="70">
                  <c:v>27992.170000000449</c:v>
                </c:pt>
                <c:pt idx="71">
                  <c:v>20382.690000000468</c:v>
                </c:pt>
                <c:pt idx="72">
                  <c:v>20382.690000000468</c:v>
                </c:pt>
                <c:pt idx="73">
                  <c:v>20382.690000000468</c:v>
                </c:pt>
                <c:pt idx="74">
                  <c:v>20382.690000000468</c:v>
                </c:pt>
                <c:pt idx="75">
                  <c:v>20382.690000000468</c:v>
                </c:pt>
                <c:pt idx="76">
                  <c:v>20382.690000000468</c:v>
                </c:pt>
                <c:pt idx="77">
                  <c:v>20382.690000000468</c:v>
                </c:pt>
                <c:pt idx="78">
                  <c:v>20382.690000000468</c:v>
                </c:pt>
                <c:pt idx="79">
                  <c:v>13795.61000000051</c:v>
                </c:pt>
                <c:pt idx="80">
                  <c:v>13795.61000000051</c:v>
                </c:pt>
                <c:pt idx="81">
                  <c:v>13795.61000000051</c:v>
                </c:pt>
                <c:pt idx="82">
                  <c:v>13795.61000000051</c:v>
                </c:pt>
                <c:pt idx="83">
                  <c:v>13795.61000000051</c:v>
                </c:pt>
                <c:pt idx="84">
                  <c:v>13795.61000000051</c:v>
                </c:pt>
                <c:pt idx="85">
                  <c:v>13795.61000000051</c:v>
                </c:pt>
                <c:pt idx="86">
                  <c:v>13795.61000000051</c:v>
                </c:pt>
                <c:pt idx="87">
                  <c:v>13795.61000000051</c:v>
                </c:pt>
                <c:pt idx="88">
                  <c:v>11223.410000000556</c:v>
                </c:pt>
                <c:pt idx="89">
                  <c:v>11223.410000000556</c:v>
                </c:pt>
                <c:pt idx="90">
                  <c:v>11223.410000000556</c:v>
                </c:pt>
                <c:pt idx="91">
                  <c:v>11223.410000000556</c:v>
                </c:pt>
                <c:pt idx="92">
                  <c:v>11223.410000000556</c:v>
                </c:pt>
                <c:pt idx="93">
                  <c:v>11223.410000000556</c:v>
                </c:pt>
                <c:pt idx="94">
                  <c:v>11223.410000000556</c:v>
                </c:pt>
                <c:pt idx="95">
                  <c:v>11223.410000000556</c:v>
                </c:pt>
                <c:pt idx="96">
                  <c:v>28207.01000000065</c:v>
                </c:pt>
                <c:pt idx="97">
                  <c:v>28207.01000000065</c:v>
                </c:pt>
                <c:pt idx="98">
                  <c:v>28207.01000000065</c:v>
                </c:pt>
                <c:pt idx="99">
                  <c:v>28207.01000000065</c:v>
                </c:pt>
                <c:pt idx="100">
                  <c:v>28207.01000000065</c:v>
                </c:pt>
                <c:pt idx="101">
                  <c:v>28207.01000000065</c:v>
                </c:pt>
                <c:pt idx="102">
                  <c:v>28207.01000000065</c:v>
                </c:pt>
                <c:pt idx="103">
                  <c:v>28207.01000000065</c:v>
                </c:pt>
                <c:pt idx="104">
                  <c:v>28207.01000000065</c:v>
                </c:pt>
                <c:pt idx="105">
                  <c:v>28207.01000000065</c:v>
                </c:pt>
                <c:pt idx="106">
                  <c:v>28207.01000000065</c:v>
                </c:pt>
                <c:pt idx="107">
                  <c:v>28207.01000000065</c:v>
                </c:pt>
                <c:pt idx="108">
                  <c:v>28207.01000000065</c:v>
                </c:pt>
                <c:pt idx="109">
                  <c:v>28207.01000000065</c:v>
                </c:pt>
                <c:pt idx="110">
                  <c:v>28207.01000000065</c:v>
                </c:pt>
                <c:pt idx="111">
                  <c:v>28207.01000000065</c:v>
                </c:pt>
                <c:pt idx="112">
                  <c:v>28207.01000000065</c:v>
                </c:pt>
                <c:pt idx="113">
                  <c:v>28207.01000000065</c:v>
                </c:pt>
                <c:pt idx="114">
                  <c:v>28207.01000000065</c:v>
                </c:pt>
                <c:pt idx="115">
                  <c:v>28207.01000000065</c:v>
                </c:pt>
                <c:pt idx="116">
                  <c:v>28207.01000000065</c:v>
                </c:pt>
                <c:pt idx="117">
                  <c:v>46955.680000000692</c:v>
                </c:pt>
                <c:pt idx="118">
                  <c:v>46955.680000000692</c:v>
                </c:pt>
                <c:pt idx="119">
                  <c:v>46955.680000000692</c:v>
                </c:pt>
                <c:pt idx="120">
                  <c:v>46955.680000000692</c:v>
                </c:pt>
                <c:pt idx="121">
                  <c:v>46955.680000000692</c:v>
                </c:pt>
                <c:pt idx="122">
                  <c:v>46955.680000000692</c:v>
                </c:pt>
                <c:pt idx="123">
                  <c:v>46955.680000000692</c:v>
                </c:pt>
                <c:pt idx="124">
                  <c:v>46955.680000000692</c:v>
                </c:pt>
                <c:pt idx="125">
                  <c:v>46955.680000000692</c:v>
                </c:pt>
                <c:pt idx="126">
                  <c:v>46955.680000000692</c:v>
                </c:pt>
                <c:pt idx="127">
                  <c:v>46955.680000000692</c:v>
                </c:pt>
                <c:pt idx="128">
                  <c:v>46955.680000000692</c:v>
                </c:pt>
                <c:pt idx="129">
                  <c:v>46955.680000000692</c:v>
                </c:pt>
                <c:pt idx="130">
                  <c:v>46955.680000000692</c:v>
                </c:pt>
                <c:pt idx="131">
                  <c:v>46955.680000000692</c:v>
                </c:pt>
                <c:pt idx="132">
                  <c:v>46955.680000000692</c:v>
                </c:pt>
                <c:pt idx="133">
                  <c:v>46955.680000000692</c:v>
                </c:pt>
                <c:pt idx="134">
                  <c:v>46955.680000000692</c:v>
                </c:pt>
                <c:pt idx="135">
                  <c:v>46955.680000000692</c:v>
                </c:pt>
                <c:pt idx="136">
                  <c:v>46955.680000000692</c:v>
                </c:pt>
                <c:pt idx="137">
                  <c:v>32940.280000000668</c:v>
                </c:pt>
                <c:pt idx="138">
                  <c:v>32940.280000000668</c:v>
                </c:pt>
                <c:pt idx="139">
                  <c:v>32940.280000000668</c:v>
                </c:pt>
                <c:pt idx="140">
                  <c:v>32940.280000000668</c:v>
                </c:pt>
                <c:pt idx="141">
                  <c:v>32940.280000000668</c:v>
                </c:pt>
                <c:pt idx="142">
                  <c:v>32940.280000000668</c:v>
                </c:pt>
                <c:pt idx="143">
                  <c:v>32940.280000000668</c:v>
                </c:pt>
                <c:pt idx="144">
                  <c:v>32940.280000000668</c:v>
                </c:pt>
                <c:pt idx="145">
                  <c:v>32940.280000000668</c:v>
                </c:pt>
                <c:pt idx="146">
                  <c:v>32940.280000000668</c:v>
                </c:pt>
                <c:pt idx="147">
                  <c:v>32940.280000000668</c:v>
                </c:pt>
                <c:pt idx="148">
                  <c:v>32940.280000000668</c:v>
                </c:pt>
                <c:pt idx="149">
                  <c:v>32940.280000000668</c:v>
                </c:pt>
                <c:pt idx="150">
                  <c:v>32940.280000000668</c:v>
                </c:pt>
                <c:pt idx="151">
                  <c:v>32940.280000000668</c:v>
                </c:pt>
                <c:pt idx="152">
                  <c:v>32940.280000000668</c:v>
                </c:pt>
                <c:pt idx="153">
                  <c:v>32940.280000000668</c:v>
                </c:pt>
                <c:pt idx="154">
                  <c:v>32940.280000000668</c:v>
                </c:pt>
                <c:pt idx="155">
                  <c:v>32940.280000000668</c:v>
                </c:pt>
                <c:pt idx="156">
                  <c:v>32940.280000000668</c:v>
                </c:pt>
                <c:pt idx="157">
                  <c:v>32940.280000000668</c:v>
                </c:pt>
                <c:pt idx="158">
                  <c:v>32940.280000000668</c:v>
                </c:pt>
                <c:pt idx="159">
                  <c:v>32940.280000000668</c:v>
                </c:pt>
                <c:pt idx="160">
                  <c:v>32940.280000000668</c:v>
                </c:pt>
                <c:pt idx="161">
                  <c:v>32940.280000000668</c:v>
                </c:pt>
                <c:pt idx="162">
                  <c:v>32940.280000000668</c:v>
                </c:pt>
                <c:pt idx="163">
                  <c:v>32940.280000000668</c:v>
                </c:pt>
                <c:pt idx="164">
                  <c:v>32940.280000000668</c:v>
                </c:pt>
                <c:pt idx="165">
                  <c:v>32940.280000000668</c:v>
                </c:pt>
                <c:pt idx="166">
                  <c:v>32940.280000000668</c:v>
                </c:pt>
                <c:pt idx="167">
                  <c:v>32940.280000000668</c:v>
                </c:pt>
                <c:pt idx="168">
                  <c:v>32940.280000000668</c:v>
                </c:pt>
                <c:pt idx="169">
                  <c:v>32940.280000000668</c:v>
                </c:pt>
                <c:pt idx="170">
                  <c:v>32940.280000000668</c:v>
                </c:pt>
                <c:pt idx="171">
                  <c:v>32940.280000000668</c:v>
                </c:pt>
                <c:pt idx="172">
                  <c:v>32940.280000000668</c:v>
                </c:pt>
                <c:pt idx="173">
                  <c:v>32940.280000000668</c:v>
                </c:pt>
                <c:pt idx="174">
                  <c:v>32940.280000000668</c:v>
                </c:pt>
                <c:pt idx="175">
                  <c:v>32940.280000000668</c:v>
                </c:pt>
                <c:pt idx="176">
                  <c:v>32940.280000000668</c:v>
                </c:pt>
                <c:pt idx="177">
                  <c:v>32940.280000000668</c:v>
                </c:pt>
                <c:pt idx="178">
                  <c:v>32940.280000000668</c:v>
                </c:pt>
                <c:pt idx="179">
                  <c:v>32940.280000000668</c:v>
                </c:pt>
                <c:pt idx="180">
                  <c:v>32940.280000000668</c:v>
                </c:pt>
                <c:pt idx="181">
                  <c:v>32940.280000000668</c:v>
                </c:pt>
                <c:pt idx="182">
                  <c:v>32940.280000000668</c:v>
                </c:pt>
                <c:pt idx="183">
                  <c:v>32940.280000000668</c:v>
                </c:pt>
                <c:pt idx="184">
                  <c:v>32940.280000000668</c:v>
                </c:pt>
                <c:pt idx="185">
                  <c:v>32940.280000000668</c:v>
                </c:pt>
                <c:pt idx="186">
                  <c:v>32940.280000000668</c:v>
                </c:pt>
                <c:pt idx="187">
                  <c:v>32940.280000000668</c:v>
                </c:pt>
                <c:pt idx="188">
                  <c:v>32940.280000000668</c:v>
                </c:pt>
                <c:pt idx="189">
                  <c:v>32940.280000000668</c:v>
                </c:pt>
                <c:pt idx="190">
                  <c:v>32940.280000000668</c:v>
                </c:pt>
                <c:pt idx="191">
                  <c:v>32940.280000000668</c:v>
                </c:pt>
                <c:pt idx="192">
                  <c:v>37986.280000000668</c:v>
                </c:pt>
                <c:pt idx="193">
                  <c:v>29623.240000000689</c:v>
                </c:pt>
                <c:pt idx="194">
                  <c:v>29623.240000000689</c:v>
                </c:pt>
                <c:pt idx="195">
                  <c:v>29623.240000000689</c:v>
                </c:pt>
                <c:pt idx="196">
                  <c:v>29623.240000000689</c:v>
                </c:pt>
                <c:pt idx="197">
                  <c:v>29623.240000000689</c:v>
                </c:pt>
                <c:pt idx="198">
                  <c:v>29623.240000000689</c:v>
                </c:pt>
                <c:pt idx="199">
                  <c:v>29623.240000000689</c:v>
                </c:pt>
                <c:pt idx="200">
                  <c:v>29623.240000000689</c:v>
                </c:pt>
                <c:pt idx="201">
                  <c:v>29623.240000000689</c:v>
                </c:pt>
                <c:pt idx="202">
                  <c:v>29623.240000000689</c:v>
                </c:pt>
                <c:pt idx="203">
                  <c:v>29623.240000000689</c:v>
                </c:pt>
                <c:pt idx="204">
                  <c:v>29623.240000000689</c:v>
                </c:pt>
                <c:pt idx="205">
                  <c:v>29623.240000000689</c:v>
                </c:pt>
                <c:pt idx="206">
                  <c:v>29623.240000000689</c:v>
                </c:pt>
                <c:pt idx="207">
                  <c:v>29623.240000000689</c:v>
                </c:pt>
                <c:pt idx="208">
                  <c:v>29623.240000000689</c:v>
                </c:pt>
                <c:pt idx="209">
                  <c:v>29623.240000000689</c:v>
                </c:pt>
                <c:pt idx="210">
                  <c:v>29623.240000000689</c:v>
                </c:pt>
                <c:pt idx="211">
                  <c:v>29623.240000000689</c:v>
                </c:pt>
                <c:pt idx="212">
                  <c:v>29623.240000000689</c:v>
                </c:pt>
                <c:pt idx="213">
                  <c:v>29623.240000000689</c:v>
                </c:pt>
                <c:pt idx="214">
                  <c:v>29623.240000000689</c:v>
                </c:pt>
                <c:pt idx="215">
                  <c:v>29623.240000000689</c:v>
                </c:pt>
                <c:pt idx="216">
                  <c:v>29623.240000000689</c:v>
                </c:pt>
                <c:pt idx="217">
                  <c:v>29623.240000000689</c:v>
                </c:pt>
                <c:pt idx="218">
                  <c:v>29623.240000000689</c:v>
                </c:pt>
                <c:pt idx="219">
                  <c:v>29623.240000000689</c:v>
                </c:pt>
                <c:pt idx="220">
                  <c:v>29623.240000000689</c:v>
                </c:pt>
                <c:pt idx="221">
                  <c:v>29623.240000000689</c:v>
                </c:pt>
                <c:pt idx="222">
                  <c:v>29623.240000000689</c:v>
                </c:pt>
                <c:pt idx="223">
                  <c:v>29623.240000000689</c:v>
                </c:pt>
                <c:pt idx="224">
                  <c:v>29623.240000000689</c:v>
                </c:pt>
                <c:pt idx="225">
                  <c:v>12142.20000000071</c:v>
                </c:pt>
                <c:pt idx="226">
                  <c:v>23870.780000000785</c:v>
                </c:pt>
                <c:pt idx="227">
                  <c:v>38878.380000000761</c:v>
                </c:pt>
                <c:pt idx="228">
                  <c:v>42865.870000000767</c:v>
                </c:pt>
                <c:pt idx="229">
                  <c:v>60336.170000000755</c:v>
                </c:pt>
                <c:pt idx="230">
                  <c:v>55631.470000000743</c:v>
                </c:pt>
                <c:pt idx="231">
                  <c:v>35508.470000000743</c:v>
                </c:pt>
                <c:pt idx="232">
                  <c:v>46846.120000000737</c:v>
                </c:pt>
                <c:pt idx="233">
                  <c:v>37746.120000000737</c:v>
                </c:pt>
                <c:pt idx="234">
                  <c:v>28192.940000000686</c:v>
                </c:pt>
                <c:pt idx="235">
                  <c:v>28192.940000000686</c:v>
                </c:pt>
                <c:pt idx="236">
                  <c:v>28192.940000000686</c:v>
                </c:pt>
                <c:pt idx="237">
                  <c:v>28192.940000000686</c:v>
                </c:pt>
                <c:pt idx="238">
                  <c:v>28192.940000000686</c:v>
                </c:pt>
                <c:pt idx="239">
                  <c:v>28192.940000000686</c:v>
                </c:pt>
                <c:pt idx="240">
                  <c:v>28192.940000000686</c:v>
                </c:pt>
                <c:pt idx="241">
                  <c:v>28192.940000000686</c:v>
                </c:pt>
                <c:pt idx="242">
                  <c:v>28192.940000000686</c:v>
                </c:pt>
                <c:pt idx="243">
                  <c:v>28192.940000000686</c:v>
                </c:pt>
                <c:pt idx="244">
                  <c:v>28192.940000000686</c:v>
                </c:pt>
                <c:pt idx="245">
                  <c:v>28192.940000000686</c:v>
                </c:pt>
                <c:pt idx="246">
                  <c:v>28192.940000000686</c:v>
                </c:pt>
              </c:numCache>
            </c:numRef>
          </c:val>
          <c:smooth val="0"/>
          <c:extLst xmlns:c15="http://schemas.microsoft.com/office/drawing/2012/chart">
            <c:ext xmlns:c16="http://schemas.microsoft.com/office/drawing/2014/chart" uri="{C3380CC4-5D6E-409C-BE32-E72D297353CC}">
              <c16:uniqueId val="{00000002-E0D9-4174-B7E7-E8FEE5D46421}"/>
            </c:ext>
          </c:extLst>
        </c:ser>
        <c:dLbls>
          <c:showLegendKey val="0"/>
          <c:showVal val="0"/>
          <c:showCatName val="0"/>
          <c:showSerName val="0"/>
          <c:showPercent val="0"/>
          <c:showBubbleSize val="0"/>
        </c:dLbls>
        <c:smooth val="0"/>
        <c:axId val="1074580384"/>
        <c:axId val="1169802432"/>
        <c:extLst/>
      </c:lineChart>
      <c:catAx>
        <c:axId val="1074580384"/>
        <c:scaling>
          <c:orientation val="minMax"/>
        </c:scaling>
        <c:delete val="1"/>
        <c:axPos val="b"/>
        <c:numFmt formatCode="m/d/yyyy" sourceLinked="1"/>
        <c:majorTickMark val="out"/>
        <c:minorTickMark val="none"/>
        <c:tickLblPos val="nextTo"/>
        <c:crossAx val="1169802432"/>
        <c:crosses val="autoZero"/>
        <c:auto val="1"/>
        <c:lblAlgn val="ctr"/>
        <c:lblOffset val="100"/>
        <c:noMultiLvlLbl val="0"/>
      </c:catAx>
      <c:valAx>
        <c:axId val="11698024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58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Seasonal PnL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'Post-Seasonals'!$X$1</c:f>
              <c:strCache>
                <c:ptCount val="1"/>
                <c:pt idx="0">
                  <c:v>Seasonal</c:v>
                </c:pt>
              </c:strCache>
            </c:strRef>
          </c:tx>
          <c:spPr>
            <a:ln w="22225" cap="rnd" cmpd="sng" algn="ctr">
              <a:solidFill>
                <a:schemeClr val="accent1"/>
              </a:solidFill>
              <a:round/>
            </a:ln>
            <a:effectLst/>
          </c:spPr>
          <c:marker>
            <c:symbol val="none"/>
          </c:marker>
          <c:val>
            <c:numRef>
              <c:f>'Post-Seasonals'!$X$4:$X$87</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0-AB56-4E7D-9106-BB5A6ED4FA64}"/>
            </c:ext>
          </c:extLst>
        </c:ser>
        <c:ser>
          <c:idx val="1"/>
          <c:order val="1"/>
          <c:tx>
            <c:strRef>
              <c:f>'Post-Seasonals'!$Y$3</c:f>
              <c:strCache>
                <c:ptCount val="1"/>
                <c:pt idx="0">
                  <c:v>PnL</c:v>
                </c:pt>
              </c:strCache>
            </c:strRef>
          </c:tx>
          <c:spPr>
            <a:ln w="22225" cap="rnd" cmpd="sng" algn="ctr">
              <a:solidFill>
                <a:schemeClr val="accent2"/>
              </a:solidFill>
              <a:round/>
            </a:ln>
            <a:effectLst/>
          </c:spPr>
          <c:marker>
            <c:symbol val="none"/>
          </c:marker>
          <c:val>
            <c:numRef>
              <c:f>'Post-Seasonals'!$Y$3:$Y$86</c:f>
              <c:numCache>
                <c:formatCode>_("$"* #,##0.00_);_("$"* \(#,##0.00\);_("$"* "-"??_);_(@_)</c:formatCode>
                <c:ptCount val="9"/>
                <c:pt idx="0" formatCode="General">
                  <c:v>0</c:v>
                </c:pt>
                <c:pt idx="1">
                  <c:v>-4708.96</c:v>
                </c:pt>
                <c:pt idx="2">
                  <c:v>-32574.190000000039</c:v>
                </c:pt>
                <c:pt idx="3">
                  <c:v>-39347.89000000005</c:v>
                </c:pt>
                <c:pt idx="4">
                  <c:v>-24290.980000000018</c:v>
                </c:pt>
                <c:pt idx="5">
                  <c:v>-45472.85151083969</c:v>
                </c:pt>
                <c:pt idx="6">
                  <c:v>-45472.85151083969</c:v>
                </c:pt>
                <c:pt idx="7">
                  <c:v>-64968.565339600944</c:v>
                </c:pt>
                <c:pt idx="8">
                  <c:v>-59626.785339600916</c:v>
                </c:pt>
              </c:numCache>
            </c:numRef>
          </c:val>
          <c:smooth val="0"/>
          <c:extLst>
            <c:ext xmlns:c16="http://schemas.microsoft.com/office/drawing/2014/chart" uri="{C3380CC4-5D6E-409C-BE32-E72D297353CC}">
              <c16:uniqueId val="{00000001-AB56-4E7D-9106-BB5A6ED4FA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4005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Cumulative PnL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'Post-Seasonals'!$AA$1</c:f>
              <c:strCache>
                <c:ptCount val="1"/>
                <c:pt idx="0">
                  <c:v>Collab</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'Post-Seasonals'!$AA$4:$AA$90</c:f>
              <c:numCache>
                <c:formatCode>_("$"* #,##0.00_);_("$"* \(#,##0.00\);_("$"* "-"??_);_(@_)</c:formatCode>
                <c:ptCount val="8"/>
                <c:pt idx="0">
                  <c:v>24279.590000000055</c:v>
                </c:pt>
                <c:pt idx="1">
                  <c:v>96573.880000000034</c:v>
                </c:pt>
                <c:pt idx="2">
                  <c:v>89800.180000000022</c:v>
                </c:pt>
                <c:pt idx="3">
                  <c:v>89800.180000000022</c:v>
                </c:pt>
                <c:pt idx="4">
                  <c:v>103093.68811878994</c:v>
                </c:pt>
                <c:pt idx="5">
                  <c:v>76006.648118789948</c:v>
                </c:pt>
                <c:pt idx="6">
                  <c:v>21149.768118789827</c:v>
                </c:pt>
                <c:pt idx="7">
                  <c:v>21149.768118789827</c:v>
                </c:pt>
              </c:numCache>
            </c:numRef>
          </c:val>
          <c:smooth val="0"/>
          <c:extLst>
            <c:ext xmlns:c16="http://schemas.microsoft.com/office/drawing/2014/chart" uri="{C3380CC4-5D6E-409C-BE32-E72D297353CC}">
              <c16:uniqueId val="{00000000-9A1E-415B-BBB9-388596495923}"/>
            </c:ext>
          </c:extLst>
        </c:ser>
        <c:ser>
          <c:idx val="1"/>
          <c:order val="1"/>
          <c:tx>
            <c:strRef>
              <c:f>'Post-Seasonals'!$AB$1</c:f>
              <c:strCache>
                <c:ptCount val="1"/>
                <c:pt idx="0">
                  <c:v>Non-Collab</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'Post-Seasonals'!$AB$5:$AB$90</c:f>
              <c:numCache>
                <c:formatCode>_("$"* #,##0.00_);_("$"* \(#,##0.00\);_("$"* "-"??_);_(@_)</c:formatCode>
                <c:ptCount val="8"/>
                <c:pt idx="0">
                  <c:v>2574.9399999999996</c:v>
                </c:pt>
                <c:pt idx="1">
                  <c:v>-36819.569999999803</c:v>
                </c:pt>
                <c:pt idx="2">
                  <c:v>-48148.769999999815</c:v>
                </c:pt>
                <c:pt idx="3">
                  <c:v>-33091.859999999782</c:v>
                </c:pt>
                <c:pt idx="4">
                  <c:v>-39341.739629629345</c:v>
                </c:pt>
                <c:pt idx="5">
                  <c:v>-48790.019629629343</c:v>
                </c:pt>
                <c:pt idx="6">
                  <c:v>-68285.733458390605</c:v>
                </c:pt>
                <c:pt idx="7">
                  <c:v>-62943.953458390577</c:v>
                </c:pt>
              </c:numCache>
            </c:numRef>
          </c:val>
          <c:smooth val="0"/>
          <c:extLst>
            <c:ext xmlns:c16="http://schemas.microsoft.com/office/drawing/2014/chart" uri="{C3380CC4-5D6E-409C-BE32-E72D297353CC}">
              <c16:uniqueId val="{00000001-9A1E-415B-BBB9-388596495923}"/>
            </c:ext>
          </c:extLst>
        </c:ser>
        <c:ser>
          <c:idx val="2"/>
          <c:order val="2"/>
          <c:tx>
            <c:strRef>
              <c:f>'Post-Seasonals'!$Y$1</c:f>
              <c:strCache>
                <c:ptCount val="1"/>
                <c:pt idx="0">
                  <c:v>Non-Seasonal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'Post-Seasonals'!$Y$4:$Y$90</c:f>
              <c:numCache>
                <c:formatCode>_("$"* #,##0.00_);_("$"* \(#,##0.00\);_("$"* "-"??_);_(@_)</c:formatCode>
                <c:ptCount val="8"/>
                <c:pt idx="0">
                  <c:v>-4708.96</c:v>
                </c:pt>
                <c:pt idx="1">
                  <c:v>-32574.190000000039</c:v>
                </c:pt>
                <c:pt idx="2">
                  <c:v>-39347.89000000005</c:v>
                </c:pt>
                <c:pt idx="3">
                  <c:v>-24290.980000000018</c:v>
                </c:pt>
                <c:pt idx="4">
                  <c:v>-45472.85151083969</c:v>
                </c:pt>
                <c:pt idx="5">
                  <c:v>-45472.85151083969</c:v>
                </c:pt>
                <c:pt idx="6">
                  <c:v>-64968.565339600944</c:v>
                </c:pt>
                <c:pt idx="7">
                  <c:v>-59626.785339600916</c:v>
                </c:pt>
              </c:numCache>
            </c:numRef>
          </c:val>
          <c:smooth val="0"/>
          <c:extLst>
            <c:ext xmlns:c16="http://schemas.microsoft.com/office/drawing/2014/chart" uri="{C3380CC4-5D6E-409C-BE32-E72D297353CC}">
              <c16:uniqueId val="{00000002-9A1E-415B-BBB9-388596495923}"/>
            </c:ext>
          </c:extLst>
        </c:ser>
        <c:ser>
          <c:idx val="3"/>
          <c:order val="3"/>
          <c:tx>
            <c:strRef>
              <c:f>'Post-Seasonals'!$Z$1</c:f>
              <c:strCache>
                <c:ptCount val="1"/>
                <c:pt idx="0">
                  <c:v>Confirm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'Post-Seasonals'!$Z$4:$Z$90</c:f>
              <c:numCache>
                <c:formatCode>_("$"* #,##0.00_);_("$"* \(#,##0.00\);_("$"* "-"??_);_(@_)</c:formatCode>
                <c:ptCount val="8"/>
                <c:pt idx="0">
                  <c:v>0</c:v>
                </c:pt>
                <c:pt idx="1">
                  <c:v>0</c:v>
                </c:pt>
                <c:pt idx="2">
                  <c:v>0</c:v>
                </c:pt>
                <c:pt idx="3">
                  <c:v>0</c:v>
                </c:pt>
                <c:pt idx="4">
                  <c:v>4771.0499999999884</c:v>
                </c:pt>
                <c:pt idx="5">
                  <c:v>-5003.5900000000347</c:v>
                </c:pt>
                <c:pt idx="6">
                  <c:v>-47750.470000000067</c:v>
                </c:pt>
                <c:pt idx="7">
                  <c:v>-47750.470000000067</c:v>
                </c:pt>
              </c:numCache>
            </c:numRef>
          </c:val>
          <c:smooth val="0"/>
          <c:extLst>
            <c:ext xmlns:c16="http://schemas.microsoft.com/office/drawing/2014/chart" uri="{C3380CC4-5D6E-409C-BE32-E72D297353CC}">
              <c16:uniqueId val="{00000003-9A1E-415B-BBB9-388596495923}"/>
            </c:ext>
          </c:extLst>
        </c:ser>
        <c:ser>
          <c:idx val="4"/>
          <c:order val="4"/>
          <c:tx>
            <c:strRef>
              <c:f>'Post-Seasonals'!$X$1</c:f>
              <c:strCache>
                <c:ptCount val="1"/>
                <c:pt idx="0">
                  <c:v>Seasonal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'Post-Seasonals'!$X$4:$X$90</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4-9A1E-415B-BBB9-388596495923}"/>
            </c:ext>
          </c:extLst>
        </c:ser>
        <c:dLbls>
          <c:showLegendKey val="0"/>
          <c:showVal val="0"/>
          <c:showCatName val="0"/>
          <c:showSerName val="0"/>
          <c:showPercent val="0"/>
          <c:showBubbleSize val="0"/>
        </c:dLbl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PnL Distribution</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PnL Distribution</a:t>
          </a:r>
        </a:p>
      </cx:txPr>
    </cx:title>
    <cx:plotArea>
      <cx:plotAreaRegion>
        <cx:series layoutId="clusteredColumn" uniqueId="{BBA5ADC5-BEFD-48D5-9F41-DAE473AE4590}" formatIdx="0">
          <cx:tx>
            <cx:txData>
              <cx:f>_xlchart.v1.0</cx:f>
              <cx:v>P&amp;L</cx:v>
            </cx:txData>
          </cx:tx>
          <cx:dataLabels pos="inEnd">
            <cx:visibility seriesName="0" categoryName="0" value="1"/>
          </cx:dataLabels>
          <cx:dataId val="0"/>
          <cx:layoutPr>
            <cx:binning intervalClosed="r">
              <cx:binCount val="15"/>
            </cx:binning>
          </cx:layoutPr>
        </cx:series>
      </cx:plotAreaRegion>
      <cx:axis id="0">
        <cx:catScaling gapWidth="0"/>
        <cx:tickLabels/>
        <cx:numFmt formatCode="0" sourceLinked="0"/>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209550</xdr:colOff>
      <xdr:row>2</xdr:row>
      <xdr:rowOff>19050</xdr:rowOff>
    </xdr:from>
    <xdr:to>
      <xdr:col>18</xdr:col>
      <xdr:colOff>209550</xdr:colOff>
      <xdr:row>16</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43E6A89-B7C7-9F7A-BBEF-CBDF4FCF4C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95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xdr:row>
      <xdr:rowOff>9525</xdr:rowOff>
    </xdr:from>
    <xdr:to>
      <xdr:col>15</xdr:col>
      <xdr:colOff>38100</xdr:colOff>
      <xdr:row>16</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2A5D502-1D9A-8A27-9BB4-FC14B617EC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39275"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2</xdr:row>
      <xdr:rowOff>9525</xdr:rowOff>
    </xdr:from>
    <xdr:to>
      <xdr:col>11</xdr:col>
      <xdr:colOff>409575</xdr:colOff>
      <xdr:row>16</xdr:row>
      <xdr:rowOff>9525</xdr:rowOff>
    </xdr:to>
    <mc:AlternateContent xmlns:mc="http://schemas.openxmlformats.org/markup-compatibility/2006" xmlns:a14="http://schemas.microsoft.com/office/drawing/2010/main">
      <mc:Choice Requires="a14">
        <xdr:graphicFrame macro="">
          <xdr:nvGraphicFramePr>
            <xdr:cNvPr id="7" name="Instrument">
              <a:extLst>
                <a:ext uri="{FF2B5EF4-FFF2-40B4-BE49-F238E27FC236}">
                  <a16:creationId xmlns:a16="http://schemas.microsoft.com/office/drawing/2014/main" id="{3F4E38EF-5458-5D5F-38F1-E8BE2D03065F}"/>
                </a:ext>
              </a:extLst>
            </xdr:cNvPr>
            <xdr:cNvGraphicFramePr/>
          </xdr:nvGraphicFramePr>
          <xdr:xfrm>
            <a:off x="0" y="0"/>
            <a:ext cx="0" cy="0"/>
          </xdr:xfrm>
          <a:graphic>
            <a:graphicData uri="http://schemas.microsoft.com/office/drawing/2010/slicer">
              <sle:slicer xmlns:sle="http://schemas.microsoft.com/office/drawing/2010/slicer" name="Instrument"/>
            </a:graphicData>
          </a:graphic>
        </xdr:graphicFrame>
      </mc:Choice>
      <mc:Fallback xmlns="">
        <xdr:sp macro="" textlink="">
          <xdr:nvSpPr>
            <xdr:cNvPr id="0" name=""/>
            <xdr:cNvSpPr>
              <a:spLocks noTextEdit="1"/>
            </xdr:cNvSpPr>
          </xdr:nvSpPr>
          <xdr:spPr>
            <a:xfrm>
              <a:off x="7372350"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1</xdr:row>
      <xdr:rowOff>180975</xdr:rowOff>
    </xdr:from>
    <xdr:to>
      <xdr:col>21</xdr:col>
      <xdr:colOff>333375</xdr:colOff>
      <xdr:row>15</xdr:row>
      <xdr:rowOff>180975</xdr:rowOff>
    </xdr:to>
    <mc:AlternateContent xmlns:mc="http://schemas.openxmlformats.org/markup-compatibility/2006" xmlns:a14="http://schemas.microsoft.com/office/drawing/2010/main">
      <mc:Choice Requires="a14">
        <xdr:graphicFrame macro="">
          <xdr:nvGraphicFramePr>
            <xdr:cNvPr id="8" name="Ticker">
              <a:extLst>
                <a:ext uri="{FF2B5EF4-FFF2-40B4-BE49-F238E27FC236}">
                  <a16:creationId xmlns:a16="http://schemas.microsoft.com/office/drawing/2014/main" id="{C68C8B83-F2F9-2CE8-0A94-FDD78FD486DF}"/>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3392150"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xdr:row>
      <xdr:rowOff>180975</xdr:rowOff>
    </xdr:from>
    <xdr:to>
      <xdr:col>24</xdr:col>
      <xdr:colOff>533400</xdr:colOff>
      <xdr:row>15</xdr:row>
      <xdr:rowOff>180975</xdr:rowOff>
    </xdr:to>
    <mc:AlternateContent xmlns:mc="http://schemas.openxmlformats.org/markup-compatibility/2006" xmlns:a14="http://schemas.microsoft.com/office/drawing/2010/main">
      <mc:Choice Requires="a14">
        <xdr:graphicFrame macro="">
          <xdr:nvGraphicFramePr>
            <xdr:cNvPr id="2" name="ONH">
              <a:extLst>
                <a:ext uri="{FF2B5EF4-FFF2-40B4-BE49-F238E27FC236}">
                  <a16:creationId xmlns:a16="http://schemas.microsoft.com/office/drawing/2014/main" id="{AF032285-447E-8FD5-E201-E0DC1962B0D2}"/>
                </a:ext>
              </a:extLst>
            </xdr:cNvPr>
            <xdr:cNvGraphicFramePr/>
          </xdr:nvGraphicFramePr>
          <xdr:xfrm>
            <a:off x="0" y="0"/>
            <a:ext cx="0" cy="0"/>
          </xdr:xfrm>
          <a:graphic>
            <a:graphicData uri="http://schemas.microsoft.com/office/drawing/2010/slicer">
              <sle:slicer xmlns:sle="http://schemas.microsoft.com/office/drawing/2010/slicer" name="ONH"/>
            </a:graphicData>
          </a:graphic>
        </xdr:graphicFrame>
      </mc:Choice>
      <mc:Fallback xmlns="">
        <xdr:sp macro="" textlink="">
          <xdr:nvSpPr>
            <xdr:cNvPr id="0" name=""/>
            <xdr:cNvSpPr>
              <a:spLocks noTextEdit="1"/>
            </xdr:cNvSpPr>
          </xdr:nvSpPr>
          <xdr:spPr>
            <a:xfrm>
              <a:off x="15516225"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266699</xdr:colOff>
      <xdr:row>418</xdr:row>
      <xdr:rowOff>76199</xdr:rowOff>
    </xdr:from>
    <xdr:to>
      <xdr:col>34</xdr:col>
      <xdr:colOff>57149</xdr:colOff>
      <xdr:row>439</xdr:row>
      <xdr:rowOff>66674</xdr:rowOff>
    </xdr:to>
    <xdr:graphicFrame macro="">
      <xdr:nvGraphicFramePr>
        <xdr:cNvPr id="5" name="Chart 4">
          <a:extLst>
            <a:ext uri="{FF2B5EF4-FFF2-40B4-BE49-F238E27FC236}">
              <a16:creationId xmlns:a16="http://schemas.microsoft.com/office/drawing/2014/main" id="{1D403F3D-FBEB-455B-BD0C-21278D642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4762</xdr:colOff>
      <xdr:row>224</xdr:row>
      <xdr:rowOff>133350</xdr:rowOff>
    </xdr:from>
    <xdr:to>
      <xdr:col>31</xdr:col>
      <xdr:colOff>38101</xdr:colOff>
      <xdr:row>247</xdr:row>
      <xdr:rowOff>171450</xdr:rowOff>
    </xdr:to>
    <xdr:graphicFrame macro="">
      <xdr:nvGraphicFramePr>
        <xdr:cNvPr id="2" name="Chart 1">
          <a:extLst>
            <a:ext uri="{FF2B5EF4-FFF2-40B4-BE49-F238E27FC236}">
              <a16:creationId xmlns:a16="http://schemas.microsoft.com/office/drawing/2014/main" id="{3F5FFB6D-BBD5-99B8-D09E-FE31B8134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333375</xdr:colOff>
      <xdr:row>32</xdr:row>
      <xdr:rowOff>114305</xdr:rowOff>
    </xdr:from>
    <xdr:to>
      <xdr:col>41</xdr:col>
      <xdr:colOff>533401</xdr:colOff>
      <xdr:row>53</xdr:row>
      <xdr:rowOff>123825</xdr:rowOff>
    </xdr:to>
    <xdr:graphicFrame macro="">
      <xdr:nvGraphicFramePr>
        <xdr:cNvPr id="2" name="Chart 1">
          <a:extLst>
            <a:ext uri="{FF2B5EF4-FFF2-40B4-BE49-F238E27FC236}">
              <a16:creationId xmlns:a16="http://schemas.microsoft.com/office/drawing/2014/main" id="{B5DEF6A3-B8AD-4BE3-8D23-0538BB915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161924</xdr:colOff>
      <xdr:row>105</xdr:row>
      <xdr:rowOff>152405</xdr:rowOff>
    </xdr:from>
    <xdr:to>
      <xdr:col>46</xdr:col>
      <xdr:colOff>266700</xdr:colOff>
      <xdr:row>124</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116C43B-ACDA-4943-96DC-F176BE929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97599" y="3962405"/>
              <a:ext cx="10267951" cy="347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952500</xdr:colOff>
      <xdr:row>8</xdr:row>
      <xdr:rowOff>19050</xdr:rowOff>
    </xdr:from>
    <xdr:to>
      <xdr:col>41</xdr:col>
      <xdr:colOff>123826</xdr:colOff>
      <xdr:row>30</xdr:row>
      <xdr:rowOff>95250</xdr:rowOff>
    </xdr:to>
    <xdr:graphicFrame macro="">
      <xdr:nvGraphicFramePr>
        <xdr:cNvPr id="4" name="Chart 3">
          <a:extLst>
            <a:ext uri="{FF2B5EF4-FFF2-40B4-BE49-F238E27FC236}">
              <a16:creationId xmlns:a16="http://schemas.microsoft.com/office/drawing/2014/main" id="{B0B8F3CD-7B6C-430C-ABB7-DFBE6725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Kinley Slade" refreshedDate="45415.506828240737" createdVersion="8" refreshedVersion="8" minRefreshableVersion="3" recordCount="530" xr:uid="{B0AB843D-DEC5-418C-BC39-178D655453AA}">
  <cacheSource type="worksheet">
    <worksheetSource name="Table1"/>
  </cacheSource>
  <cacheFields count="18">
    <cacheField name="Type" numFmtId="0">
      <sharedItems count="2">
        <s v="Option"/>
        <s v="D1"/>
      </sharedItems>
    </cacheField>
    <cacheField name="Kind" numFmtId="0">
      <sharedItems count="6">
        <s v="M"/>
        <s v="P"/>
        <s v="DT"/>
        <s v="PC"/>
        <s v="MC"/>
        <s v="ML"/>
      </sharedItems>
    </cacheField>
    <cacheField name="Instrument" numFmtId="0">
      <sharedItems count="9">
        <s v="Put Spread"/>
        <s v="Call Spread"/>
        <s v="Puts"/>
        <s v="Equity"/>
        <s v="Futures"/>
        <s v="Calls"/>
        <s v="Forex"/>
        <s v="ETF"/>
        <s v="Bear Call Spread"/>
      </sharedItems>
    </cacheField>
    <cacheField name="Direction" numFmtId="0">
      <sharedItems count="2">
        <s v="Long"/>
        <s v="Short"/>
      </sharedItems>
    </cacheField>
    <cacheField name="Closing Date" numFmtId="14">
      <sharedItems containsSemiMixedTypes="0" containsNonDate="0" containsDate="1" containsString="0" minDate="2022-03-25T00:00:00" maxDate="2024-05-02T00:00:00"/>
    </cacheField>
    <cacheField name="Ticker" numFmtId="0">
      <sharedItems count="231">
        <s v="SPY"/>
        <s v="TSLA"/>
        <s v="AMZN"/>
        <s v="SMH"/>
        <s v="BAC"/>
        <s v="ES"/>
        <s v="MES"/>
        <s v="GLD"/>
        <s v="CVBF"/>
        <s v="TNK"/>
        <s v="WEAT"/>
        <s v="RTY"/>
        <s v="GOOG"/>
        <s v="AAPL"/>
        <s v="CL"/>
        <s v="NQ"/>
        <s v="NVDA"/>
        <s v="BLDR"/>
        <s v="NFLX"/>
        <s v="IWM"/>
        <s v="USO"/>
        <s v="JPM"/>
        <s v="OZK"/>
        <s v="GBPUSD"/>
        <s v="BWA"/>
        <s v="UVXY"/>
        <s v="TLT"/>
        <s v="KRE"/>
        <s v="KEY"/>
        <s v="HAE"/>
        <s v="DISH"/>
        <s v="LNG"/>
        <s v="CVS"/>
        <s v="SANM"/>
        <s v="NOKUSD"/>
        <s v="MLCO"/>
        <s v="WMT"/>
        <s v="ASML"/>
        <s v="MSFT"/>
        <s v="HD"/>
        <s v="CF"/>
        <s v="HDB"/>
        <s v="BABA"/>
        <s v="MRK"/>
        <s v="RYAAY"/>
        <s v="EXPD"/>
        <s v="EURUSD"/>
        <s v="EDU"/>
        <s v="YW"/>
        <s v="NG"/>
        <s v="NKD"/>
        <s v="MAT"/>
        <s v="SBUX"/>
        <s v="EURNOK"/>
        <s v="USDNOK"/>
        <s v="MELI"/>
        <s v="DX"/>
        <s v="PAAS"/>
        <s v="DEO"/>
        <s v="SLV"/>
        <s v="AIG"/>
        <s v="GOLD"/>
        <s v="DHR"/>
        <s v="SKYW"/>
        <s v="MDB"/>
        <s v="BYDDF"/>
        <s v="AXTA"/>
        <s v="CADCHF"/>
        <s v="CADJPY"/>
        <s v="CHFJPY"/>
        <s v="NXDT"/>
        <s v="DBRG"/>
        <s v="NRG"/>
        <s v="MASI"/>
        <s v="HA"/>
        <s v="UHAL"/>
        <s v="CME"/>
        <s v="CRH"/>
        <s v="EXPI"/>
        <s v="USDCNH"/>
        <s v="EURSEK"/>
        <s v="USDJPY"/>
        <s v="KWEB"/>
        <s v="GDXJ"/>
        <s v="SNBR"/>
        <s v="CSCO"/>
        <s v="USDSEK"/>
        <s v="NZDUSD"/>
        <s v="USDSGD"/>
        <s v="SMCI"/>
        <s v="FBP"/>
        <s v="FCFS"/>
        <s v="JBHT"/>
        <s v="IDXX"/>
        <s v="USDCHF"/>
        <s v="HXL"/>
        <s v="TSM"/>
        <s v="USDZAR"/>
        <s v="BA"/>
        <s v="CC"/>
        <s v="10y"/>
        <s v="ESTX50"/>
        <s v="PWR"/>
        <s v="QQQ"/>
        <s v="MBT"/>
        <s v="AAOI"/>
        <s v="DKS"/>
        <s v="ZS"/>
        <s v="CANE"/>
        <s v="IONQ"/>
        <s v="CVNA"/>
        <s v="SOXS"/>
        <s v="DELL"/>
        <s v="CCL"/>
        <s v="APP"/>
        <s v="SQ"/>
        <s v="AEHR"/>
        <s v="FSLY"/>
        <s v="EURCHF"/>
        <s v="AFRM"/>
        <s v="URI"/>
        <s v="AUDCHF"/>
        <s v="WOLF"/>
        <s v="AKAM"/>
        <s v="SB"/>
        <s v="EURCAD"/>
        <s v="RB"/>
        <s v="EURHUF"/>
        <s v="NZDJPY"/>
        <s v="SRUUF"/>
        <s v="UBER"/>
        <s v="PHM"/>
        <s v="DKNG"/>
        <s v="USDPLN"/>
        <s v="MXNJPY"/>
        <s v="SOXL"/>
        <s v="VRT"/>
        <s v="CRWD"/>
        <s v="GC"/>
        <s v="NTNX"/>
        <s v="CNX"/>
        <s v="UBS"/>
        <s v="XLP"/>
        <s v="USDCZK"/>
        <s v="ACMR"/>
        <s v="CELH"/>
        <s v="USDCAD"/>
        <s v="USDMXN"/>
        <s v="PANW"/>
        <s v="CHFNOK"/>
        <s v="BLK"/>
        <s v="PLTR"/>
        <s v="JBL"/>
        <s v="CCJ"/>
        <s v="DDOG"/>
        <s v="META"/>
        <s v="SNAP"/>
        <s v="U"/>
        <s v="DASH"/>
        <s v="PATH"/>
        <s v="IOT"/>
        <s v="TNA"/>
        <s v="UPST"/>
        <s v="DIA"/>
        <s v="COIN"/>
        <s v="PDD"/>
        <s v="CRSP"/>
        <s v="PODD"/>
        <s v="FAST"/>
        <s v="GPS"/>
        <s v="AMD"/>
        <s v="STNE"/>
        <s v="XLK"/>
        <s v="INFA"/>
        <s v="LEN"/>
        <s v="INTC"/>
        <s v="WSM"/>
        <s v="AUDCAD"/>
        <s v="MNDY"/>
        <s v="UNP"/>
        <s v="S"/>
        <s v="CNVA"/>
        <s v="SYM"/>
        <s v="TDOC"/>
        <s v="CHFHUF"/>
        <s v="MPC"/>
        <s v="ARM"/>
        <s v="CLSK"/>
        <s v="IBM"/>
        <s v="MRO"/>
        <s v="HOOD"/>
        <s v="LMND"/>
        <s v="LYFT"/>
        <s v="GBPCHF"/>
        <s v="NCLH"/>
        <s v="VRNS"/>
        <s v="W"/>
        <s v="VKTX"/>
        <s v="TWLO"/>
        <s v="TZA"/>
        <s v="PSTG"/>
        <s v="CMRE"/>
        <s v="NET"/>
        <s v="GTLB"/>
        <s v="CMCSA"/>
        <s v="MRNA"/>
        <s v="NEM"/>
        <s v="JMIA"/>
        <s v="ON"/>
        <s v="OMF"/>
        <s v="FROG"/>
        <s v="CARR"/>
        <s v="GS"/>
        <s v="BITI"/>
        <s v="POWL"/>
        <s v="SOUN"/>
        <s v="LLY"/>
        <s v="AVAV"/>
        <s v="NU"/>
        <s v="SLB"/>
        <s v="AXON"/>
        <s v="MU"/>
        <s v="ELF"/>
        <s v="HIMS"/>
        <s v="ERJ"/>
        <s v="ALAB"/>
        <s v="PLL"/>
        <s v="SQQQ"/>
        <s v="MAG"/>
        <s v="NNOX"/>
        <s v="XLE"/>
      </sharedItems>
    </cacheField>
    <cacheField name="Shares" numFmtId="0">
      <sharedItems containsSemiMixedTypes="0" containsString="0" containsNumber="1" containsInteger="1" minValue="1" maxValue="8500000"/>
    </cacheField>
    <cacheField name="Open Value" numFmtId="44">
      <sharedItems containsSemiMixedTypes="0" containsString="0" containsNumber="1" minValue="-4672.33" maxValue="368877342.65999997"/>
    </cacheField>
    <cacheField name="Price" numFmtId="44">
      <sharedItems containsSemiMixedTypes="0" containsString="0" containsNumber="1" minValue="-3.6061166666666669" maxValue="43036.790909090909"/>
    </cacheField>
    <cacheField name="Shares2" numFmtId="0">
      <sharedItems containsSemiMixedTypes="0" containsString="0" containsNumber="1" containsInteger="1" minValue="0" maxValue="8500000"/>
    </cacheField>
    <cacheField name="Close Value" numFmtId="44">
      <sharedItems containsSemiMixedTypes="0" containsString="0" containsNumber="1" minValue="-12498.03" maxValue="374944992.81999999"/>
    </cacheField>
    <cacheField name="Close Price" numFmtId="44">
      <sharedItems containsString="0" containsBlank="1" containsNumber="1" minValue="-6.2490150000000009" maxValue="51495.906060606059"/>
    </cacheField>
    <cacheField name="PnL" numFmtId="44">
      <sharedItems containsSemiMixedTypes="0" containsString="0" containsNumber="1" minValue="-36527" maxValue="83156"/>
    </cacheField>
    <cacheField name="PnL %" numFmtId="165">
      <sharedItems containsString="0" containsBlank="1" containsNumber="1" minValue="-1.6749030997382468" maxValue="3.9994797330968104"/>
    </cacheField>
    <cacheField name="Rolling PnL" numFmtId="44">
      <sharedItems containsSemiMixedTypes="0" containsString="0" containsNumber="1" minValue="-192976.20851994288" maxValue="478133.11256349675"/>
    </cacheField>
    <cacheField name="Year" numFmtId="44">
      <sharedItems count="3">
        <s v="2022"/>
        <s v="2023"/>
        <s v="2024"/>
      </sharedItems>
    </cacheField>
    <cacheField name="Month" numFmtId="44">
      <sharedItems count="12">
        <s v="March"/>
        <s v="April"/>
        <s v="May"/>
        <s v="October"/>
        <s v="December"/>
        <s v="January"/>
        <s v="February"/>
        <s v="June"/>
        <s v="July"/>
        <s v="August"/>
        <s v="September"/>
        <s v="November"/>
      </sharedItems>
    </cacheField>
    <cacheField name="ONH" numFmtId="44">
      <sharedItems containsBlank="1" count="3">
        <s v="No"/>
        <s v="Yes"/>
        <m/>
      </sharedItems>
    </cacheField>
  </cacheFields>
  <extLst>
    <ext xmlns:x14="http://schemas.microsoft.com/office/spreadsheetml/2009/9/main" uri="{725AE2AE-9491-48be-B2B4-4EB974FC3084}">
      <x14:pivotCacheDefinition pivotCacheId="496681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x v="0"/>
    <x v="0"/>
    <x v="0"/>
    <d v="2022-03-25T00:00:00"/>
    <x v="0"/>
    <n v="16"/>
    <n v="3604.51"/>
    <n v="2.2528187500000003"/>
    <n v="16"/>
    <n v="1297.03"/>
    <n v="0.81064375"/>
    <n v="-2307.4800000000005"/>
    <n v="-0.64016468257821457"/>
    <n v="-2307.4800000000005"/>
    <x v="0"/>
    <x v="0"/>
    <x v="0"/>
  </r>
  <r>
    <x v="0"/>
    <x v="0"/>
    <x v="0"/>
    <x v="0"/>
    <d v="2022-04-28T00:00:00"/>
    <x v="1"/>
    <n v="25"/>
    <n v="3752.06"/>
    <n v="1.5008240000000002"/>
    <n v="25"/>
    <n v="15103.41"/>
    <n v="6.0413639999999997"/>
    <n v="11351.35"/>
    <n v="3.0253647329733528"/>
    <n v="9043.869999999999"/>
    <x v="0"/>
    <x v="1"/>
    <x v="0"/>
  </r>
  <r>
    <x v="0"/>
    <x v="0"/>
    <x v="1"/>
    <x v="0"/>
    <d v="2022-05-13T00:00:00"/>
    <x v="0"/>
    <n v="20"/>
    <n v="3329.78"/>
    <n v="1.66489"/>
    <n v="20"/>
    <n v="1645.71"/>
    <n v="0.822855"/>
    <n v="-1684.0700000000002"/>
    <n v="-0.50576014030956995"/>
    <n v="7359.7999999999993"/>
    <x v="0"/>
    <x v="2"/>
    <x v="0"/>
  </r>
  <r>
    <x v="0"/>
    <x v="0"/>
    <x v="1"/>
    <x v="0"/>
    <d v="2022-05-27T00:00:00"/>
    <x v="2"/>
    <n v="25"/>
    <n v="3521.88"/>
    <n v="1.408752"/>
    <n v="25"/>
    <n v="0"/>
    <n v="0"/>
    <n v="-3521.88"/>
    <n v="-1"/>
    <n v="3837.9199999999992"/>
    <x v="0"/>
    <x v="2"/>
    <x v="0"/>
  </r>
  <r>
    <x v="0"/>
    <x v="0"/>
    <x v="2"/>
    <x v="0"/>
    <d v="2022-10-10T00:00:00"/>
    <x v="1"/>
    <n v="5"/>
    <n v="2278.4499999999998"/>
    <n v="4.5568999999999997"/>
    <n v="5"/>
    <n v="8484.5499999999993"/>
    <n v="16.969099999999997"/>
    <n v="6206.0999999999995"/>
    <n v="2.7238254076236035"/>
    <n v="10044.019999999999"/>
    <x v="0"/>
    <x v="3"/>
    <x v="0"/>
  </r>
  <r>
    <x v="0"/>
    <x v="0"/>
    <x v="0"/>
    <x v="0"/>
    <d v="2022-12-30T00:00:00"/>
    <x v="3"/>
    <n v="5"/>
    <n v="2451.3199999999997"/>
    <n v="4.9026399999999999"/>
    <n v="5"/>
    <n v="7028.34"/>
    <n v="14.056680000000002"/>
    <n v="4577.0200000000004"/>
    <n v="1.8671654455558642"/>
    <n v="14621.039999999999"/>
    <x v="0"/>
    <x v="4"/>
    <x v="0"/>
  </r>
  <r>
    <x v="1"/>
    <x v="1"/>
    <x v="3"/>
    <x v="0"/>
    <d v="2023-01-08T00:00:00"/>
    <x v="4"/>
    <n v="12500"/>
    <n v="422187.5"/>
    <n v="33.774999999999999"/>
    <n v="12500"/>
    <n v="424757.63"/>
    <n v="33.980610400000003"/>
    <n v="2570.1300000000047"/>
    <n v="6.0876506291635936E-3"/>
    <n v="17191.170000000006"/>
    <x v="1"/>
    <x v="5"/>
    <x v="0"/>
  </r>
  <r>
    <x v="0"/>
    <x v="0"/>
    <x v="0"/>
    <x v="0"/>
    <d v="2023-01-20T00:00:00"/>
    <x v="0"/>
    <n v="14"/>
    <n v="3435.77"/>
    <n v="2.4541214285714288"/>
    <n v="14"/>
    <n v="3574.7400000000002"/>
    <n v="2.5533857142857146"/>
    <n v="138.97000000000025"/>
    <n v="4.0447992735252979E-2"/>
    <n v="17330.140000000007"/>
    <x v="1"/>
    <x v="5"/>
    <x v="0"/>
  </r>
  <r>
    <x v="1"/>
    <x v="2"/>
    <x v="4"/>
    <x v="0"/>
    <d v="2023-01-26T00:00:00"/>
    <x v="5"/>
    <n v="3"/>
    <n v="608243.55000000005"/>
    <n v="4054.9570000000003"/>
    <n v="3"/>
    <n v="607218.15"/>
    <n v="4048.1210000000005"/>
    <n v="-1025.4000000000233"/>
    <n v="-1.6858378522878997E-3"/>
    <n v="16304.739999999983"/>
    <x v="1"/>
    <x v="5"/>
    <x v="0"/>
  </r>
  <r>
    <x v="1"/>
    <x v="2"/>
    <x v="4"/>
    <x v="1"/>
    <d v="2023-01-31T00:00:00"/>
    <x v="6"/>
    <n v="150"/>
    <n v="3039531.25"/>
    <n v="4052.7083333333335"/>
    <n v="150"/>
    <n v="3041562.5"/>
    <n v="4055.4166666666665"/>
    <n v="2031.25"/>
    <n v="6.6827738652128438E-4"/>
    <n v="18335.989999999983"/>
    <x v="1"/>
    <x v="5"/>
    <x v="0"/>
  </r>
  <r>
    <x v="1"/>
    <x v="2"/>
    <x v="4"/>
    <x v="0"/>
    <d v="2023-02-09T00:00:00"/>
    <x v="6"/>
    <n v="40"/>
    <n v="817000"/>
    <n v="4085"/>
    <n v="40"/>
    <n v="814877.9"/>
    <n v="4074.3895000000002"/>
    <n v="-2122.0999999999767"/>
    <n v="-2.5974296205629804E-3"/>
    <n v="16213.890000000007"/>
    <x v="1"/>
    <x v="6"/>
    <x v="0"/>
  </r>
  <r>
    <x v="0"/>
    <x v="0"/>
    <x v="2"/>
    <x v="0"/>
    <d v="2023-02-13T00:00:00"/>
    <x v="7"/>
    <n v="10"/>
    <n v="1896.99"/>
    <n v="1.8969900000000002"/>
    <n v="10"/>
    <n v="5420.01"/>
    <n v="5.4200099999999996"/>
    <n v="3523.0200000000004"/>
    <n v="1.8571631901064312"/>
    <n v="19736.910000000007"/>
    <x v="1"/>
    <x v="6"/>
    <x v="0"/>
  </r>
  <r>
    <x v="1"/>
    <x v="2"/>
    <x v="4"/>
    <x v="0"/>
    <d v="2023-02-16T00:00:00"/>
    <x v="6"/>
    <n v="40"/>
    <n v="820424.8"/>
    <n v="4102.1240000000007"/>
    <n v="40"/>
    <n v="826775.2"/>
    <n v="4133.8759999999993"/>
    <n v="6350.3999999999069"/>
    <n v="7.7403803493016256E-3"/>
    <n v="26087.309999999914"/>
    <x v="1"/>
    <x v="6"/>
    <x v="0"/>
  </r>
  <r>
    <x v="1"/>
    <x v="2"/>
    <x v="4"/>
    <x v="0"/>
    <d v="2023-02-21T00:00:00"/>
    <x v="5"/>
    <n v="5"/>
    <n v="1010000"/>
    <n v="4040"/>
    <n v="5"/>
    <n v="1008000"/>
    <n v="4032"/>
    <n v="-2000"/>
    <n v="-1.9801980198019802E-3"/>
    <n v="24087.309999999914"/>
    <x v="1"/>
    <x v="6"/>
    <x v="0"/>
  </r>
  <r>
    <x v="1"/>
    <x v="2"/>
    <x v="4"/>
    <x v="0"/>
    <d v="2023-02-21T00:00:00"/>
    <x v="5"/>
    <n v="5"/>
    <n v="1001562.5"/>
    <n v="4006.25"/>
    <n v="5"/>
    <n v="1001643.5"/>
    <n v="4006.5739999999996"/>
    <n v="81"/>
    <n v="8.087363494530156E-5"/>
    <n v="24168.309999999914"/>
    <x v="1"/>
    <x v="6"/>
    <x v="0"/>
  </r>
  <r>
    <x v="0"/>
    <x v="0"/>
    <x v="5"/>
    <x v="0"/>
    <d v="2023-02-22T00:00:00"/>
    <x v="8"/>
    <n v="75"/>
    <n v="3616.61"/>
    <n v="0.48221466666666674"/>
    <n v="75"/>
    <n v="3534.1099999999997"/>
    <n v="0.47121466666666662"/>
    <n v="-82.500000000000455"/>
    <n v="-2.2811417321746304E-2"/>
    <n v="24085.809999999914"/>
    <x v="1"/>
    <x v="6"/>
    <x v="0"/>
  </r>
  <r>
    <x v="1"/>
    <x v="2"/>
    <x v="4"/>
    <x v="0"/>
    <d v="2023-02-22T00:00:00"/>
    <x v="5"/>
    <n v="4"/>
    <n v="799117.6"/>
    <n v="3995.5879999999997"/>
    <n v="4"/>
    <n v="802350"/>
    <n v="4011.75"/>
    <n v="3232.4000000000233"/>
    <n v="4.0449615926367441E-3"/>
    <n v="27318.209999999937"/>
    <x v="1"/>
    <x v="6"/>
    <x v="0"/>
  </r>
  <r>
    <x v="1"/>
    <x v="2"/>
    <x v="4"/>
    <x v="0"/>
    <d v="2023-02-23T00:00:00"/>
    <x v="5"/>
    <n v="8"/>
    <n v="1598000"/>
    <n v="3995"/>
    <n v="8"/>
    <n v="1595964.8"/>
    <n v="3989.9120000000003"/>
    <n v="-2035.1999999999534"/>
    <n v="-1.2735919899874188E-3"/>
    <n v="25283.009999999984"/>
    <x v="1"/>
    <x v="6"/>
    <x v="0"/>
  </r>
  <r>
    <x v="1"/>
    <x v="2"/>
    <x v="4"/>
    <x v="0"/>
    <d v="2023-02-24T00:00:00"/>
    <x v="5"/>
    <n v="8"/>
    <n v="1584900"/>
    <n v="3962.25"/>
    <n v="8"/>
    <n v="1582464.8"/>
    <n v="3956.1620000000003"/>
    <n v="-2435.1999999999534"/>
    <n v="-1.5365007255977634E-3"/>
    <n v="22847.81000000003"/>
    <x v="1"/>
    <x v="6"/>
    <x v="0"/>
  </r>
  <r>
    <x v="1"/>
    <x v="2"/>
    <x v="4"/>
    <x v="1"/>
    <d v="2023-02-24T00:00:00"/>
    <x v="5"/>
    <n v="4"/>
    <n v="795693.3"/>
    <n v="3978.4665000000005"/>
    <n v="4"/>
    <n v="793991.2"/>
    <n v="3969.9559999999997"/>
    <n v="-1702.1000000000931"/>
    <n v="-2.1391407970887209E-3"/>
    <n v="21145.709999999937"/>
    <x v="1"/>
    <x v="6"/>
    <x v="0"/>
  </r>
  <r>
    <x v="1"/>
    <x v="2"/>
    <x v="4"/>
    <x v="0"/>
    <d v="2023-02-24T00:00:00"/>
    <x v="5"/>
    <n v="10"/>
    <n v="1974647"/>
    <n v="3949.2940000000003"/>
    <n v="10"/>
    <n v="1979603"/>
    <n v="3959.2059999999997"/>
    <n v="4956"/>
    <n v="2.5098156784476799E-3"/>
    <n v="26101.709999999937"/>
    <x v="1"/>
    <x v="6"/>
    <x v="0"/>
  </r>
  <r>
    <x v="1"/>
    <x v="2"/>
    <x v="4"/>
    <x v="1"/>
    <d v="2023-02-27T00:00:00"/>
    <x v="5"/>
    <n v="4"/>
    <n v="804908.8"/>
    <n v="4024.5440000000003"/>
    <n v="4"/>
    <n v="802891.2"/>
    <n v="4014.4559999999997"/>
    <n v="-2017.6000000000931"/>
    <n v="-2.5066193834632315E-3"/>
    <n v="24084.109999999844"/>
    <x v="1"/>
    <x v="6"/>
    <x v="0"/>
  </r>
  <r>
    <x v="1"/>
    <x v="2"/>
    <x v="4"/>
    <x v="1"/>
    <d v="2023-02-27T00:00:00"/>
    <x v="5"/>
    <n v="3"/>
    <n v="600531.6"/>
    <n v="4003.5439999999999"/>
    <n v="3"/>
    <n v="600180.9"/>
    <n v="4001.2060000000001"/>
    <n v="-350.69999999995343"/>
    <n v="-5.8398259142393297E-4"/>
    <n v="23733.409999999891"/>
    <x v="1"/>
    <x v="6"/>
    <x v="0"/>
  </r>
  <r>
    <x v="1"/>
    <x v="2"/>
    <x v="4"/>
    <x v="1"/>
    <d v="2023-02-27T00:00:00"/>
    <x v="5"/>
    <n v="10"/>
    <n v="1999022"/>
    <n v="3998.0440000000003"/>
    <n v="10"/>
    <n v="2011353"/>
    <n v="4022.7059999999997"/>
    <n v="12331"/>
    <n v="6.1685164045216486E-3"/>
    <n v="36064.409999999887"/>
    <x v="1"/>
    <x v="6"/>
    <x v="0"/>
  </r>
  <r>
    <x v="1"/>
    <x v="2"/>
    <x v="4"/>
    <x v="1"/>
    <d v="2023-02-28T00:00:00"/>
    <x v="5"/>
    <n v="4"/>
    <n v="798108.8"/>
    <n v="3990.5440000000003"/>
    <n v="4"/>
    <n v="799491.2"/>
    <n v="3997.4559999999997"/>
    <n v="1382.3999999999069"/>
    <n v="1.7320946718039827E-3"/>
    <n v="37446.809999999794"/>
    <x v="1"/>
    <x v="6"/>
    <x v="0"/>
  </r>
  <r>
    <x v="1"/>
    <x v="2"/>
    <x v="4"/>
    <x v="0"/>
    <d v="2023-03-01T00:00:00"/>
    <x v="6"/>
    <n v="100"/>
    <n v="1976562"/>
    <n v="3953.1240000000003"/>
    <n v="100"/>
    <n v="1980438"/>
    <n v="3960.8759999999997"/>
    <n v="3876"/>
    <n v="1.9609807332123903E-3"/>
    <n v="41322.809999999794"/>
    <x v="1"/>
    <x v="0"/>
    <x v="0"/>
  </r>
  <r>
    <x v="1"/>
    <x v="2"/>
    <x v="4"/>
    <x v="0"/>
    <d v="2023-03-01T00:00:00"/>
    <x v="6"/>
    <n v="133"/>
    <n v="2623507.46"/>
    <n v="3945.1239999999998"/>
    <n v="133"/>
    <n v="2641962.54"/>
    <n v="3972.8760000000002"/>
    <n v="18455.080000000075"/>
    <n v="7.0345063932085302E-3"/>
    <n v="59777.889999999868"/>
    <x v="1"/>
    <x v="0"/>
    <x v="0"/>
  </r>
  <r>
    <x v="1"/>
    <x v="2"/>
    <x v="4"/>
    <x v="1"/>
    <d v="2023-03-02T00:00:00"/>
    <x v="5"/>
    <n v="15"/>
    <n v="2982033"/>
    <n v="3976.0440000000003"/>
    <n v="15"/>
    <n v="2975967"/>
    <n v="3967.9559999999997"/>
    <n v="-6066"/>
    <n v="-2.034182720312111E-3"/>
    <n v="53711.889999999868"/>
    <x v="1"/>
    <x v="0"/>
    <x v="0"/>
  </r>
  <r>
    <x v="1"/>
    <x v="2"/>
    <x v="4"/>
    <x v="1"/>
    <d v="2023-03-02T00:00:00"/>
    <x v="5"/>
    <n v="12"/>
    <n v="2394626.4"/>
    <n v="3991.0439999999999"/>
    <n v="12"/>
    <n v="2388723.6"/>
    <n v="3981.2060000000001"/>
    <n v="-5902.7999999998137"/>
    <n v="-2.4650191779393409E-3"/>
    <n v="47809.090000000055"/>
    <x v="1"/>
    <x v="0"/>
    <x v="0"/>
  </r>
  <r>
    <x v="1"/>
    <x v="2"/>
    <x v="4"/>
    <x v="1"/>
    <d v="2023-03-03T00:00:00"/>
    <x v="5"/>
    <n v="25"/>
    <n v="5020055"/>
    <n v="4016.0440000000003"/>
    <n v="25"/>
    <n v="5015945"/>
    <n v="4012.7559999999999"/>
    <n v="-4110"/>
    <n v="-8.1871612960427364E-4"/>
    <n v="43699.090000000055"/>
    <x v="1"/>
    <x v="0"/>
    <x v="0"/>
  </r>
  <r>
    <x v="1"/>
    <x v="2"/>
    <x v="4"/>
    <x v="1"/>
    <d v="2023-03-03T00:00:00"/>
    <x v="5"/>
    <n v="10"/>
    <n v="2000772"/>
    <n v="4001.5440000000003"/>
    <n v="10"/>
    <n v="1996728"/>
    <n v="3993.4559999999997"/>
    <n v="-4044"/>
    <n v="-2.0212198091538285E-3"/>
    <n v="39655.090000000055"/>
    <x v="1"/>
    <x v="0"/>
    <x v="0"/>
  </r>
  <r>
    <x v="1"/>
    <x v="2"/>
    <x v="4"/>
    <x v="1"/>
    <d v="2023-03-03T00:00:00"/>
    <x v="5"/>
    <n v="8"/>
    <n v="1599317.6"/>
    <n v="3998.2940000000003"/>
    <n v="8"/>
    <n v="1595282.4"/>
    <n v="3988.2059999999997"/>
    <n v="-4035.2000000001863"/>
    <n v="-2.5230760919533798E-3"/>
    <n v="35619.889999999868"/>
    <x v="1"/>
    <x v="0"/>
    <x v="0"/>
  </r>
  <r>
    <x v="1"/>
    <x v="2"/>
    <x v="4"/>
    <x v="1"/>
    <d v="2023-03-06T00:00:00"/>
    <x v="5"/>
    <n v="10"/>
    <n v="2035897"/>
    <n v="4071.7940000000003"/>
    <n v="10"/>
    <n v="2031978"/>
    <n v="4063.9559999999997"/>
    <n v="-3919"/>
    <n v="-1.9249500343093602E-3"/>
    <n v="31700.889999999868"/>
    <x v="1"/>
    <x v="0"/>
    <x v="0"/>
  </r>
  <r>
    <x v="1"/>
    <x v="2"/>
    <x v="4"/>
    <x v="0"/>
    <d v="2023-03-07T00:00:00"/>
    <x v="5"/>
    <n v="8"/>
    <n v="1620017.6"/>
    <n v="4050.0440000000003"/>
    <n v="8"/>
    <n v="1617782.4"/>
    <n v="4044.4559999999997"/>
    <n v="-2235.2000000001863"/>
    <n v="-1.3797380966726897E-3"/>
    <n v="29465.689999999682"/>
    <x v="1"/>
    <x v="0"/>
    <x v="0"/>
  </r>
  <r>
    <x v="1"/>
    <x v="2"/>
    <x v="4"/>
    <x v="0"/>
    <d v="2023-03-07T00:00:00"/>
    <x v="5"/>
    <n v="4"/>
    <n v="800558.8"/>
    <n v="4002.7940000000003"/>
    <n v="4"/>
    <n v="798691.2"/>
    <n v="3993.4559999999997"/>
    <n v="-1867.6000000000931"/>
    <n v="-2.3328704899629226E-3"/>
    <n v="27598.089999999589"/>
    <x v="1"/>
    <x v="0"/>
    <x v="0"/>
  </r>
  <r>
    <x v="1"/>
    <x v="2"/>
    <x v="4"/>
    <x v="1"/>
    <d v="2023-03-07T00:00:00"/>
    <x v="5"/>
    <n v="8"/>
    <n v="1598617.6000000001"/>
    <n v="3996.5440000000003"/>
    <n v="8"/>
    <n v="1597982.4"/>
    <n v="3994.9559999999997"/>
    <n v="-635.20000000018626"/>
    <n v="-3.9734330461534953E-4"/>
    <n v="26962.889999999403"/>
    <x v="1"/>
    <x v="0"/>
    <x v="0"/>
  </r>
  <r>
    <x v="0"/>
    <x v="0"/>
    <x v="2"/>
    <x v="0"/>
    <d v="2023-03-08T00:00:00"/>
    <x v="9"/>
    <n v="60"/>
    <n v="6391.94"/>
    <n v="1.0653233333333332"/>
    <n v="60"/>
    <n v="3302.88"/>
    <n v="0.55047999999999997"/>
    <n v="-3089.0599999999995"/>
    <n v="-0.48327424850671308"/>
    <n v="23873.829999999405"/>
    <x v="1"/>
    <x v="0"/>
    <x v="0"/>
  </r>
  <r>
    <x v="1"/>
    <x v="2"/>
    <x v="4"/>
    <x v="0"/>
    <d v="2023-03-08T00:00:00"/>
    <x v="6"/>
    <n v="50"/>
    <n v="995253.5"/>
    <n v="3981.0140000000001"/>
    <n v="50"/>
    <n v="996594"/>
    <n v="3986.3759999999997"/>
    <n v="1340.5"/>
    <n v="1.3468930277561509E-3"/>
    <n v="25214.329999999405"/>
    <x v="1"/>
    <x v="0"/>
    <x v="0"/>
  </r>
  <r>
    <x v="1"/>
    <x v="2"/>
    <x v="4"/>
    <x v="0"/>
    <d v="2023-03-09T00:00:00"/>
    <x v="5"/>
    <n v="5"/>
    <n v="987323.5"/>
    <n v="3949.2940000000003"/>
    <n v="5"/>
    <n v="986676.5"/>
    <n v="3946.7059999999997"/>
    <n v="-647"/>
    <n v="-6.5530699917520636E-4"/>
    <n v="24567.329999999405"/>
    <x v="1"/>
    <x v="0"/>
    <x v="0"/>
  </r>
  <r>
    <x v="1"/>
    <x v="2"/>
    <x v="4"/>
    <x v="1"/>
    <d v="2023-03-09T00:00:00"/>
    <x v="5"/>
    <n v="15"/>
    <n v="2987908"/>
    <n v="3983.8773333333334"/>
    <n v="15"/>
    <n v="3009342"/>
    <n v="4012.4559999999997"/>
    <n v="21434"/>
    <n v="7.1735809804049323E-3"/>
    <n v="46001.329999999405"/>
    <x v="1"/>
    <x v="0"/>
    <x v="0"/>
  </r>
  <r>
    <x v="0"/>
    <x v="0"/>
    <x v="0"/>
    <x v="0"/>
    <d v="2023-03-10T00:00:00"/>
    <x v="3"/>
    <n v="9"/>
    <n v="3147.38"/>
    <n v="3.4970888888888889"/>
    <n v="9"/>
    <n v="6614.1900000000005"/>
    <n v="7.3491000000000009"/>
    <n v="3466.8100000000004"/>
    <n v="1.1014907637463542"/>
    <n v="49468.139999999403"/>
    <x v="1"/>
    <x v="0"/>
    <x v="0"/>
  </r>
  <r>
    <x v="0"/>
    <x v="0"/>
    <x v="2"/>
    <x v="0"/>
    <d v="2023-03-10T00:00:00"/>
    <x v="10"/>
    <n v="150"/>
    <n v="2278.16"/>
    <n v="0.15187733333333331"/>
    <n v="150"/>
    <n v="5950.2300000000014"/>
    <n v="0.39668200000000003"/>
    <n v="3672.0700000000015"/>
    <n v="1.6118578150788363"/>
    <n v="53140.209999999402"/>
    <x v="1"/>
    <x v="0"/>
    <x v="0"/>
  </r>
  <r>
    <x v="1"/>
    <x v="2"/>
    <x v="4"/>
    <x v="0"/>
    <d v="2023-03-10T00:00:00"/>
    <x v="5"/>
    <n v="10"/>
    <n v="1941522"/>
    <n v="3883.0440000000003"/>
    <n v="10"/>
    <n v="1945978"/>
    <n v="3891.9559999999997"/>
    <n v="4456"/>
    <n v="2.2951066225361731E-3"/>
    <n v="57596.209999999402"/>
    <x v="1"/>
    <x v="0"/>
    <x v="0"/>
  </r>
  <r>
    <x v="1"/>
    <x v="2"/>
    <x v="4"/>
    <x v="1"/>
    <d v="2023-03-13T00:00:00"/>
    <x v="5"/>
    <n v="4"/>
    <n v="784458.8"/>
    <n v="3922.2940000000003"/>
    <n v="4"/>
    <n v="781891.2"/>
    <n v="3909.4559999999997"/>
    <n v="-2567.6000000000931"/>
    <n v="-3.2730845775458561E-3"/>
    <n v="55028.609999999309"/>
    <x v="1"/>
    <x v="0"/>
    <x v="0"/>
  </r>
  <r>
    <x v="1"/>
    <x v="2"/>
    <x v="4"/>
    <x v="1"/>
    <d v="2023-03-13T00:00:00"/>
    <x v="5"/>
    <n v="4"/>
    <n v="783608.8"/>
    <n v="3918.0440000000003"/>
    <n v="4"/>
    <n v="781591.2"/>
    <n v="3907.9559999999997"/>
    <n v="-2017.6000000000931"/>
    <n v="-2.5747541375238888E-3"/>
    <n v="53011.009999999216"/>
    <x v="1"/>
    <x v="0"/>
    <x v="0"/>
  </r>
  <r>
    <x v="1"/>
    <x v="2"/>
    <x v="4"/>
    <x v="1"/>
    <d v="2023-03-13T00:00:00"/>
    <x v="5"/>
    <n v="4"/>
    <n v="777883.8"/>
    <n v="3889.4190000000003"/>
    <n v="4"/>
    <n v="784991.2"/>
    <n v="3924.9559999999997"/>
    <n v="7107.3999999999069"/>
    <n v="9.1368402324355762E-3"/>
    <n v="60118.409999999123"/>
    <x v="1"/>
    <x v="0"/>
    <x v="0"/>
  </r>
  <r>
    <x v="1"/>
    <x v="2"/>
    <x v="4"/>
    <x v="1"/>
    <d v="2023-03-14T00:00:00"/>
    <x v="5"/>
    <n v="15"/>
    <n v="2963845.5"/>
    <n v="3951.7940000000003"/>
    <n v="15"/>
    <n v="2958967"/>
    <n v="3945.2893333333332"/>
    <n v="-4878.5"/>
    <n v="-1.6460034775768074E-3"/>
    <n v="55239.909999999123"/>
    <x v="1"/>
    <x v="0"/>
    <x v="0"/>
  </r>
  <r>
    <x v="1"/>
    <x v="2"/>
    <x v="4"/>
    <x v="1"/>
    <d v="2023-03-14T00:00:00"/>
    <x v="5"/>
    <n v="8"/>
    <n v="1570442.6"/>
    <n v="3926.1065000000003"/>
    <n v="8"/>
    <n v="1587582.4"/>
    <n v="3968.9559999999997"/>
    <n v="17139.799999999814"/>
    <n v="1.0913993290808425E-2"/>
    <n v="72379.709999998944"/>
    <x v="1"/>
    <x v="0"/>
    <x v="0"/>
  </r>
  <r>
    <x v="1"/>
    <x v="2"/>
    <x v="4"/>
    <x v="1"/>
    <d v="2023-03-16T00:00:00"/>
    <x v="5"/>
    <n v="15"/>
    <n v="2994783"/>
    <n v="3993.0440000000003"/>
    <n v="15"/>
    <n v="2988717"/>
    <n v="3984.9559999999997"/>
    <n v="-6066"/>
    <n v="-2.0255223834249377E-3"/>
    <n v="66313.709999998944"/>
    <x v="1"/>
    <x v="0"/>
    <x v="0"/>
  </r>
  <r>
    <x v="1"/>
    <x v="2"/>
    <x v="4"/>
    <x v="1"/>
    <d v="2023-03-16T00:00:00"/>
    <x v="5"/>
    <n v="15"/>
    <n v="2978095.5"/>
    <n v="3970.7940000000003"/>
    <n v="15"/>
    <n v="2972217"/>
    <n v="3962.9559999999997"/>
    <n v="-5878.5"/>
    <n v="-1.9739125222816008E-3"/>
    <n v="60435.209999998944"/>
    <x v="1"/>
    <x v="0"/>
    <x v="0"/>
  </r>
  <r>
    <x v="1"/>
    <x v="2"/>
    <x v="4"/>
    <x v="0"/>
    <d v="2023-03-16T00:00:00"/>
    <x v="5"/>
    <n v="5"/>
    <n v="973948.5"/>
    <n v="3895.7940000000003"/>
    <n v="5"/>
    <n v="975051.5"/>
    <n v="3900.2059999999997"/>
    <n v="1103"/>
    <n v="1.1325034126546097E-3"/>
    <n v="61538.209999998944"/>
    <x v="1"/>
    <x v="0"/>
    <x v="0"/>
  </r>
  <r>
    <x v="0"/>
    <x v="1"/>
    <x v="2"/>
    <x v="0"/>
    <d v="2023-03-17T00:00:00"/>
    <x v="0"/>
    <n v="55"/>
    <n v="4404.13"/>
    <n v="0.80075090909090918"/>
    <n v="55"/>
    <n v="6979.07"/>
    <n v="1.268921818181818"/>
    <n v="2574.9399999999996"/>
    <n v="0.58466484867612867"/>
    <n v="64113.149999998946"/>
    <x v="1"/>
    <x v="0"/>
    <x v="0"/>
  </r>
  <r>
    <x v="1"/>
    <x v="2"/>
    <x v="4"/>
    <x v="0"/>
    <d v="2023-03-17T00:00:00"/>
    <x v="6"/>
    <n v="150"/>
    <n v="2967655.5"/>
    <n v="3956.8739999999998"/>
    <n v="150"/>
    <n v="2961109.5"/>
    <n v="3948.1460000000002"/>
    <n v="-6546"/>
    <n v="-2.20578163469436E-3"/>
    <n v="57567.149999998946"/>
    <x v="1"/>
    <x v="0"/>
    <x v="0"/>
  </r>
  <r>
    <x v="1"/>
    <x v="2"/>
    <x v="4"/>
    <x v="0"/>
    <d v="2023-03-17T00:00:00"/>
    <x v="5"/>
    <n v="10"/>
    <n v="1972522"/>
    <n v="3945.0440000000003"/>
    <n v="10"/>
    <n v="1969978"/>
    <n v="3939.9559999999997"/>
    <n v="-2544"/>
    <n v="-1.2897194556006593E-3"/>
    <n v="55023.149999998946"/>
    <x v="1"/>
    <x v="0"/>
    <x v="0"/>
  </r>
  <r>
    <x v="1"/>
    <x v="2"/>
    <x v="4"/>
    <x v="0"/>
    <d v="2023-03-17T00:00:00"/>
    <x v="11"/>
    <n v="6"/>
    <n v="526663.19999999995"/>
    <n v="1755.5439999999999"/>
    <n v="6"/>
    <n v="524806.80000000005"/>
    <n v="1749.356"/>
    <n v="-1856.3999999999069"/>
    <n v="-3.5248333280167715E-3"/>
    <n v="53166.74999999904"/>
    <x v="1"/>
    <x v="0"/>
    <x v="0"/>
  </r>
  <r>
    <x v="1"/>
    <x v="2"/>
    <x v="4"/>
    <x v="1"/>
    <d v="2023-03-20T00:00:00"/>
    <x v="5"/>
    <n v="15"/>
    <n v="2990470.5"/>
    <n v="3987.2940000000003"/>
    <n v="15"/>
    <n v="2983654.5"/>
    <n v="3978.2059999999997"/>
    <n v="-6816"/>
    <n v="-2.2792400058788357E-3"/>
    <n v="46350.74999999904"/>
    <x v="1"/>
    <x v="0"/>
    <x v="0"/>
  </r>
  <r>
    <x v="1"/>
    <x v="2"/>
    <x v="4"/>
    <x v="1"/>
    <d v="2023-03-21T00:00:00"/>
    <x v="5"/>
    <n v="15"/>
    <n v="3022720.5"/>
    <n v="4030.2940000000003"/>
    <n v="15"/>
    <n v="3022467"/>
    <n v="4029.9559999999997"/>
    <n v="-253.5"/>
    <n v="-8.3864849562004048E-5"/>
    <n v="46097.24999999904"/>
    <x v="1"/>
    <x v="0"/>
    <x v="0"/>
  </r>
  <r>
    <x v="1"/>
    <x v="3"/>
    <x v="3"/>
    <x v="1"/>
    <d v="2023-03-22T00:00:00"/>
    <x v="12"/>
    <n v="1300"/>
    <n v="139714.20000000001"/>
    <n v="107.47246153846154"/>
    <n v="1300"/>
    <n v="136767.14000000001"/>
    <n v="105.20549230769232"/>
    <n v="-2947.0599999999977"/>
    <n v="-2.1093489423408544E-2"/>
    <n v="43150.189999999042"/>
    <x v="1"/>
    <x v="0"/>
    <x v="0"/>
  </r>
  <r>
    <x v="1"/>
    <x v="2"/>
    <x v="4"/>
    <x v="1"/>
    <d v="2023-03-22T00:00:00"/>
    <x v="5"/>
    <n v="15"/>
    <n v="3022033"/>
    <n v="4029.3773333333334"/>
    <n v="15"/>
    <n v="3032217"/>
    <n v="4042.9559999999997"/>
    <n v="10184"/>
    <n v="3.3699168738394788E-3"/>
    <n v="53334.189999999042"/>
    <x v="1"/>
    <x v="0"/>
    <x v="0"/>
  </r>
  <r>
    <x v="1"/>
    <x v="2"/>
    <x v="4"/>
    <x v="1"/>
    <d v="2023-03-23T00:00:00"/>
    <x v="5"/>
    <n v="20"/>
    <n v="4016181.5"/>
    <n v="4016.1815000000001"/>
    <n v="20"/>
    <n v="4007831"/>
    <n v="4007.8309999999997"/>
    <n v="-8350.5"/>
    <n v="-2.0792138004720319E-3"/>
    <n v="44983.689999999042"/>
    <x v="1"/>
    <x v="0"/>
    <x v="0"/>
  </r>
  <r>
    <x v="1"/>
    <x v="2"/>
    <x v="4"/>
    <x v="1"/>
    <d v="2023-03-23T00:00:00"/>
    <x v="11"/>
    <n v="13"/>
    <n v="1150977.1000000001"/>
    <n v="1770.7340000000002"/>
    <n v="13"/>
    <n v="1146831.3999999999"/>
    <n v="1764.3559999999998"/>
    <n v="-4145.7000000001863"/>
    <n v="-3.6018961628343856E-3"/>
    <n v="40837.989999998856"/>
    <x v="1"/>
    <x v="0"/>
    <x v="0"/>
  </r>
  <r>
    <x v="1"/>
    <x v="0"/>
    <x v="3"/>
    <x v="1"/>
    <d v="2023-03-24T00:00:00"/>
    <x v="13"/>
    <n v="1000"/>
    <n v="160170"/>
    <n v="160.16999999999999"/>
    <n v="1000"/>
    <n v="159653.57999999999"/>
    <n v="159.65357999999998"/>
    <n v="-516.42000000001281"/>
    <n v="-3.2241992882562952E-3"/>
    <n v="40321.569999998843"/>
    <x v="1"/>
    <x v="0"/>
    <x v="0"/>
  </r>
  <r>
    <x v="0"/>
    <x v="1"/>
    <x v="2"/>
    <x v="0"/>
    <d v="2023-03-24T00:00:00"/>
    <x v="0"/>
    <n v="40"/>
    <n v="4202.76"/>
    <n v="1.0506900000000001"/>
    <n v="40"/>
    <n v="0"/>
    <n v="0"/>
    <n v="-4202.76"/>
    <n v="-1"/>
    <n v="36118.809999998841"/>
    <x v="1"/>
    <x v="0"/>
    <x v="0"/>
  </r>
  <r>
    <x v="1"/>
    <x v="4"/>
    <x v="4"/>
    <x v="0"/>
    <d v="2023-03-24T00:00:00"/>
    <x v="14"/>
    <n v="6"/>
    <n v="389954.22"/>
    <n v="64.992369999999994"/>
    <n v="6"/>
    <n v="405105.78"/>
    <n v="67.517630000000011"/>
    <n v="15151.560000000056"/>
    <n v="3.885471479190572E-2"/>
    <n v="51270.369999998897"/>
    <x v="1"/>
    <x v="0"/>
    <x v="0"/>
  </r>
  <r>
    <x v="1"/>
    <x v="2"/>
    <x v="4"/>
    <x v="1"/>
    <d v="2023-03-24T00:00:00"/>
    <x v="5"/>
    <n v="10"/>
    <n v="2003147"/>
    <n v="4006.2940000000003"/>
    <n v="10"/>
    <n v="1998978"/>
    <n v="3997.9559999999997"/>
    <n v="-4169"/>
    <n v="-2.0812251921602976E-3"/>
    <n v="47101.369999998897"/>
    <x v="1"/>
    <x v="0"/>
    <x v="0"/>
  </r>
  <r>
    <x v="1"/>
    <x v="2"/>
    <x v="4"/>
    <x v="0"/>
    <d v="2023-03-28T00:00:00"/>
    <x v="5"/>
    <n v="15"/>
    <n v="2997783"/>
    <n v="3997.0440000000003"/>
    <n v="15"/>
    <n v="2996217"/>
    <n v="3994.9559999999997"/>
    <n v="-1566"/>
    <n v="-5.2238604328615028E-4"/>
    <n v="45535.369999998897"/>
    <x v="1"/>
    <x v="0"/>
    <x v="0"/>
  </r>
  <r>
    <x v="1"/>
    <x v="2"/>
    <x v="4"/>
    <x v="0"/>
    <d v="2023-03-28T00:00:00"/>
    <x v="5"/>
    <n v="15"/>
    <n v="2993283"/>
    <n v="3991.0440000000003"/>
    <n v="15"/>
    <n v="2999217"/>
    <n v="3998.9559999999997"/>
    <n v="5934"/>
    <n v="1.9824386802048165E-3"/>
    <n v="51469.369999998897"/>
    <x v="1"/>
    <x v="0"/>
    <x v="0"/>
  </r>
  <r>
    <x v="1"/>
    <x v="2"/>
    <x v="4"/>
    <x v="1"/>
    <d v="2023-03-29T00:00:00"/>
    <x v="5"/>
    <n v="15"/>
    <n v="3022908"/>
    <n v="4030.5440000000003"/>
    <n v="15"/>
    <n v="3016842"/>
    <n v="4022.4559999999997"/>
    <n v="-6066"/>
    <n v="-2.0066770143188232E-3"/>
    <n v="45403.369999998897"/>
    <x v="1"/>
    <x v="0"/>
    <x v="0"/>
  </r>
  <r>
    <x v="1"/>
    <x v="2"/>
    <x v="4"/>
    <x v="1"/>
    <d v="2023-03-30T00:00:00"/>
    <x v="5"/>
    <n v="10"/>
    <n v="2040522"/>
    <n v="4081.0440000000003"/>
    <n v="10"/>
    <n v="2036853"/>
    <n v="4073.7059999999997"/>
    <n v="-3669"/>
    <n v="-1.7980693175571366E-3"/>
    <n v="41734.369999998897"/>
    <x v="1"/>
    <x v="0"/>
    <x v="0"/>
  </r>
  <r>
    <x v="1"/>
    <x v="2"/>
    <x v="4"/>
    <x v="1"/>
    <d v="2023-03-30T00:00:00"/>
    <x v="15"/>
    <n v="10"/>
    <n v="2619352"/>
    <n v="13096.76"/>
    <n v="10"/>
    <n v="2616378"/>
    <n v="13081.89"/>
    <n v="-2974"/>
    <n v="-1.1353953191476976E-3"/>
    <n v="38760.369999998897"/>
    <x v="1"/>
    <x v="0"/>
    <x v="0"/>
  </r>
  <r>
    <x v="1"/>
    <x v="2"/>
    <x v="4"/>
    <x v="1"/>
    <d v="2023-03-30T00:00:00"/>
    <x v="5"/>
    <n v="10"/>
    <n v="2038522"/>
    <n v="4077.0440000000003"/>
    <n v="10"/>
    <n v="2040728"/>
    <n v="4081.4559999999997"/>
    <n v="2206"/>
    <n v="1.082156582072539E-3"/>
    <n v="40966.369999998897"/>
    <x v="1"/>
    <x v="0"/>
    <x v="0"/>
  </r>
  <r>
    <x v="0"/>
    <x v="1"/>
    <x v="2"/>
    <x v="0"/>
    <d v="2023-03-31T00:00:00"/>
    <x v="0"/>
    <n v="65"/>
    <n v="3977.79"/>
    <n v="0.61196769230769232"/>
    <n v="40"/>
    <n v="0"/>
    <n v="0"/>
    <n v="-3977.79"/>
    <n v="-1"/>
    <n v="36988.579999998896"/>
    <x v="1"/>
    <x v="0"/>
    <x v="0"/>
  </r>
  <r>
    <x v="1"/>
    <x v="2"/>
    <x v="4"/>
    <x v="1"/>
    <d v="2023-03-31T00:00:00"/>
    <x v="5"/>
    <n v="22"/>
    <n v="4520948.4000000004"/>
    <n v="4109.9530909090909"/>
    <n v="22"/>
    <n v="4514001.5999999996"/>
    <n v="4103.6378181818181"/>
    <n v="-6946.8000000007451"/>
    <n v="-1.5365802449769134E-3"/>
    <n v="30041.779999998151"/>
    <x v="1"/>
    <x v="0"/>
    <x v="0"/>
  </r>
  <r>
    <x v="1"/>
    <x v="2"/>
    <x v="4"/>
    <x v="1"/>
    <d v="2023-03-31T00:00:00"/>
    <x v="5"/>
    <n v="12"/>
    <n v="2473676.4"/>
    <n v="4122.7939999999999"/>
    <n v="12"/>
    <n v="2470773.6"/>
    <n v="4117.9560000000001"/>
    <n v="-2902.7999999998137"/>
    <n v="-1.1734760456136636E-3"/>
    <n v="27138.979999998337"/>
    <x v="1"/>
    <x v="0"/>
    <x v="0"/>
  </r>
  <r>
    <x v="1"/>
    <x v="5"/>
    <x v="3"/>
    <x v="1"/>
    <d v="2023-03-23T00:00:00"/>
    <x v="16"/>
    <n v="1800"/>
    <n v="489596.08"/>
    <n v="271.99782222222223"/>
    <n v="1800"/>
    <n v="483437.52"/>
    <n v="268.57640000000004"/>
    <n v="6158.5599999999977"/>
    <n v="1.2578858883020464E-2"/>
    <n v="33297.539999998335"/>
    <x v="1"/>
    <x v="0"/>
    <x v="0"/>
  </r>
  <r>
    <x v="1"/>
    <x v="2"/>
    <x v="4"/>
    <x v="1"/>
    <d v="2023-04-03T00:00:00"/>
    <x v="5"/>
    <n v="15"/>
    <n v="3113845.5"/>
    <n v="4151.7939999999999"/>
    <n v="15"/>
    <n v="3107592"/>
    <n v="4143.4560000000001"/>
    <n v="-6253.5"/>
    <n v="-2.0082884651790862E-3"/>
    <n v="27044.039999998335"/>
    <x v="1"/>
    <x v="1"/>
    <x v="0"/>
  </r>
  <r>
    <x v="1"/>
    <x v="2"/>
    <x v="4"/>
    <x v="0"/>
    <d v="2023-04-04T00:00:00"/>
    <x v="5"/>
    <n v="15"/>
    <n v="3097908"/>
    <n v="4130.5439999999999"/>
    <n v="15"/>
    <n v="3092029.5"/>
    <n v="4122.7060000000001"/>
    <n v="-5878.5"/>
    <n v="-1.8975708768626453E-3"/>
    <n v="21165.539999998335"/>
    <x v="1"/>
    <x v="1"/>
    <x v="0"/>
  </r>
  <r>
    <x v="1"/>
    <x v="2"/>
    <x v="4"/>
    <x v="0"/>
    <d v="2023-04-04T00:00:00"/>
    <x v="5"/>
    <n v="10"/>
    <n v="2073772"/>
    <n v="4147.5439999999999"/>
    <n v="10"/>
    <n v="2069603"/>
    <n v="4139.2060000000001"/>
    <n v="-4169"/>
    <n v="-2.0103463640168107E-3"/>
    <n v="16996.539999998335"/>
    <x v="1"/>
    <x v="1"/>
    <x v="0"/>
  </r>
  <r>
    <x v="1"/>
    <x v="2"/>
    <x v="4"/>
    <x v="0"/>
    <d v="2023-04-04T00:00:00"/>
    <x v="11"/>
    <n v="6"/>
    <n v="539563.19999999995"/>
    <n v="1798.5439999999999"/>
    <n v="6"/>
    <n v="537685.80000000005"/>
    <n v="1792.2860000000001"/>
    <n v="-1877.3999999999069"/>
    <n v="-3.4794811803324308E-3"/>
    <n v="15119.139999998428"/>
    <x v="1"/>
    <x v="1"/>
    <x v="0"/>
  </r>
  <r>
    <x v="1"/>
    <x v="2"/>
    <x v="4"/>
    <x v="0"/>
    <d v="2023-04-05T00:00:00"/>
    <x v="5"/>
    <n v="15"/>
    <n v="3082533"/>
    <n v="4110.0439999999999"/>
    <n v="15"/>
    <n v="3076654.5"/>
    <n v="4102.2060000000001"/>
    <n v="-5878.5"/>
    <n v="-1.9070355451181881E-3"/>
    <n v="9240.6399999984278"/>
    <x v="1"/>
    <x v="1"/>
    <x v="0"/>
  </r>
  <r>
    <x v="1"/>
    <x v="2"/>
    <x v="4"/>
    <x v="0"/>
    <d v="2023-04-06T00:00:00"/>
    <x v="5"/>
    <n v="10"/>
    <n v="2052522"/>
    <n v="4105.0439999999999"/>
    <n v="10"/>
    <n v="2048478"/>
    <n v="4096.9560000000001"/>
    <n v="-4044"/>
    <n v="-1.9702590276741831E-3"/>
    <n v="5196.6399999984278"/>
    <x v="1"/>
    <x v="1"/>
    <x v="0"/>
  </r>
  <r>
    <x v="1"/>
    <x v="2"/>
    <x v="4"/>
    <x v="1"/>
    <d v="2023-04-11T00:00:00"/>
    <x v="5"/>
    <n v="15"/>
    <n v="3111408"/>
    <n v="4148.5439999999999"/>
    <n v="15"/>
    <n v="3108904.5"/>
    <n v="4145.2060000000001"/>
    <n v="-2503.5"/>
    <n v="-8.0461964486811238E-4"/>
    <n v="2693.1399999984278"/>
    <x v="1"/>
    <x v="1"/>
    <x v="0"/>
  </r>
  <r>
    <x v="1"/>
    <x v="2"/>
    <x v="4"/>
    <x v="0"/>
    <d v="2023-04-11T00:00:00"/>
    <x v="5"/>
    <n v="10"/>
    <n v="2066147"/>
    <n v="4132.2939999999999"/>
    <n v="10"/>
    <n v="2072528"/>
    <n v="4145.0559999999996"/>
    <n v="6381"/>
    <n v="3.0883572175647999E-3"/>
    <n v="9074.1399999984278"/>
    <x v="1"/>
    <x v="1"/>
    <x v="0"/>
  </r>
  <r>
    <x v="1"/>
    <x v="2"/>
    <x v="4"/>
    <x v="0"/>
    <d v="2023-04-12T00:00:00"/>
    <x v="5"/>
    <n v="10"/>
    <n v="2063022"/>
    <n v="4126.0439999999999"/>
    <n v="10"/>
    <n v="2070728"/>
    <n v="4141.4560000000001"/>
    <n v="7706"/>
    <n v="3.7352970545152359E-3"/>
    <n v="16780.139999998428"/>
    <x v="1"/>
    <x v="1"/>
    <x v="0"/>
  </r>
  <r>
    <x v="1"/>
    <x v="2"/>
    <x v="4"/>
    <x v="1"/>
    <d v="2023-04-13T00:00:00"/>
    <x v="5"/>
    <n v="10"/>
    <n v="2077022"/>
    <n v="4154.0439999999999"/>
    <n v="10"/>
    <n v="2072978"/>
    <n v="4145.9560000000001"/>
    <n v="-4044"/>
    <n v="-1.9470183753469482E-3"/>
    <n v="12736.139999998428"/>
    <x v="1"/>
    <x v="1"/>
    <x v="0"/>
  </r>
  <r>
    <x v="1"/>
    <x v="2"/>
    <x v="4"/>
    <x v="1"/>
    <d v="2023-04-14T00:00:00"/>
    <x v="5"/>
    <n v="10"/>
    <n v="2092897"/>
    <n v="4185.7939999999999"/>
    <n v="10"/>
    <n v="2088978"/>
    <n v="4177.9560000000001"/>
    <n v="-3919"/>
    <n v="-1.8725240659238696E-3"/>
    <n v="8817.1399999984278"/>
    <x v="1"/>
    <x v="1"/>
    <x v="0"/>
  </r>
  <r>
    <x v="1"/>
    <x v="3"/>
    <x v="3"/>
    <x v="1"/>
    <d v="2023-04-17T00:00:00"/>
    <x v="17"/>
    <n v="1500"/>
    <n v="142365.6"/>
    <n v="94.91040000000001"/>
    <n v="1500"/>
    <n v="139028.76999999999"/>
    <n v="92.685846666666663"/>
    <n v="-3336.8300000000163"/>
    <n v="-2.3438457042993674E-2"/>
    <n v="5480.3099999984115"/>
    <x v="1"/>
    <x v="1"/>
    <x v="0"/>
  </r>
  <r>
    <x v="1"/>
    <x v="2"/>
    <x v="4"/>
    <x v="0"/>
    <d v="2023-04-17T00:00:00"/>
    <x v="5"/>
    <n v="15"/>
    <n v="3112533"/>
    <n v="4150.0439999999999"/>
    <n v="15"/>
    <n v="3112842"/>
    <n v="4150.4560000000001"/>
    <n v="309"/>
    <n v="9.9276055868386445E-5"/>
    <n v="5789.3099999984115"/>
    <x v="1"/>
    <x v="1"/>
    <x v="0"/>
  </r>
  <r>
    <x v="1"/>
    <x v="0"/>
    <x v="3"/>
    <x v="1"/>
    <d v="2023-04-17T00:00:00"/>
    <x v="17"/>
    <n v="1500"/>
    <n v="142365.6"/>
    <n v="94.91040000000001"/>
    <n v="1500"/>
    <n v="139028.76999999999"/>
    <n v="92.685846666666663"/>
    <n v="-3336.8300000000163"/>
    <n v="-2.3438457042993674E-2"/>
    <n v="2452.4799999983952"/>
    <x v="1"/>
    <x v="1"/>
    <x v="0"/>
  </r>
  <r>
    <x v="1"/>
    <x v="2"/>
    <x v="4"/>
    <x v="0"/>
    <d v="2023-04-18T00:00:00"/>
    <x v="5"/>
    <n v="15"/>
    <n v="3129220.5"/>
    <n v="4172.2939999999999"/>
    <n v="15"/>
    <n v="3130967"/>
    <n v="4174.6226666666662"/>
    <n v="1746.5"/>
    <n v="5.5812621705620996E-4"/>
    <n v="4198.9799999983952"/>
    <x v="1"/>
    <x v="1"/>
    <x v="0"/>
  </r>
  <r>
    <x v="1"/>
    <x v="5"/>
    <x v="3"/>
    <x v="0"/>
    <d v="2023-03-09T00:00:00"/>
    <x v="18"/>
    <n v="333"/>
    <n v="99733.5"/>
    <n v="299.5"/>
    <n v="333"/>
    <n v="106541.85"/>
    <n v="319.94549549549549"/>
    <n v="6808.3500000000058"/>
    <n v="6.8265427363924921E-2"/>
    <n v="11007.329999998401"/>
    <x v="1"/>
    <x v="0"/>
    <x v="0"/>
  </r>
  <r>
    <x v="1"/>
    <x v="3"/>
    <x v="4"/>
    <x v="0"/>
    <d v="2023-04-20T00:00:00"/>
    <x v="5"/>
    <n v="25"/>
    <n v="5181305"/>
    <n v="4145.0439999999999"/>
    <n v="25"/>
    <n v="5171195"/>
    <n v="4136.9560000000001"/>
    <n v="-10110"/>
    <n v="-1.95124587338518E-3"/>
    <n v="897.32999999840104"/>
    <x v="1"/>
    <x v="1"/>
    <x v="0"/>
  </r>
  <r>
    <x v="0"/>
    <x v="4"/>
    <x v="5"/>
    <x v="0"/>
    <d v="2023-04-21T00:00:00"/>
    <x v="19"/>
    <n v="35"/>
    <n v="5804.1200000000008"/>
    <n v="1.6583200000000002"/>
    <n v="35"/>
    <n v="0"/>
    <n v="0"/>
    <n v="-5804.1200000000008"/>
    <n v="-1"/>
    <n v="-4906.7900000015998"/>
    <x v="1"/>
    <x v="1"/>
    <x v="0"/>
  </r>
  <r>
    <x v="0"/>
    <x v="4"/>
    <x v="5"/>
    <x v="0"/>
    <d v="2023-04-21T00:00:00"/>
    <x v="20"/>
    <n v="30"/>
    <n v="5684.32"/>
    <n v="1.8947733333333332"/>
    <n v="30"/>
    <n v="20408.47"/>
    <n v="6.8028233333333334"/>
    <n v="14724.150000000001"/>
    <n v="2.5903098347735529"/>
    <n v="9817.3599999984017"/>
    <x v="1"/>
    <x v="1"/>
    <x v="0"/>
  </r>
  <r>
    <x v="0"/>
    <x v="4"/>
    <x v="5"/>
    <x v="0"/>
    <d v="2023-04-21T00:00:00"/>
    <x v="21"/>
    <n v="70"/>
    <n v="6381.34"/>
    <n v="0.9116200000000001"/>
    <n v="70"/>
    <n v="31903.38"/>
    <n v="4.5576257142857148"/>
    <n v="25522.04"/>
    <n v="3.9994797330968104"/>
    <n v="35339.399999998401"/>
    <x v="1"/>
    <x v="1"/>
    <x v="0"/>
  </r>
  <r>
    <x v="1"/>
    <x v="4"/>
    <x v="3"/>
    <x v="0"/>
    <d v="2023-04-21T00:00:00"/>
    <x v="22"/>
    <n v="4000"/>
    <n v="132020"/>
    <n v="33.005000000000003"/>
    <n v="4000"/>
    <n v="144446.06"/>
    <n v="36.111514999999997"/>
    <n v="12426.059999999998"/>
    <n v="9.4122557188304631E-2"/>
    <n v="47765.459999998398"/>
    <x v="1"/>
    <x v="1"/>
    <x v="0"/>
  </r>
  <r>
    <x v="0"/>
    <x v="3"/>
    <x v="2"/>
    <x v="0"/>
    <d v="2023-04-21T00:00:00"/>
    <x v="12"/>
    <n v="11"/>
    <n v="2016.07"/>
    <n v="1.8327909090909091"/>
    <n v="11"/>
    <n v="0"/>
    <n v="0"/>
    <n v="-2016.07"/>
    <n v="-1"/>
    <n v="45749.389999998399"/>
    <x v="1"/>
    <x v="1"/>
    <x v="0"/>
  </r>
  <r>
    <x v="1"/>
    <x v="4"/>
    <x v="6"/>
    <x v="1"/>
    <d v="2023-04-24T00:00:00"/>
    <x v="23"/>
    <n v="1000000"/>
    <n v="1243848.8799999999"/>
    <n v="1.2438488799999998"/>
    <n v="1000000"/>
    <n v="1243855.1200000001"/>
    <n v="1.2438551200000001"/>
    <n v="6.2400000002235174"/>
    <n v="5.0166614261502715E-6"/>
    <n v="45755.629999998622"/>
    <x v="1"/>
    <x v="1"/>
    <x v="0"/>
  </r>
  <r>
    <x v="1"/>
    <x v="4"/>
    <x v="3"/>
    <x v="0"/>
    <d v="2023-04-25T00:00:00"/>
    <x v="24"/>
    <n v="2700"/>
    <n v="125883.44"/>
    <n v="46.623496296296295"/>
    <n v="2700"/>
    <n v="130262.86"/>
    <n v="48.245503703703704"/>
    <n v="4379.4199999999983"/>
    <n v="3.4789484621646855E-2"/>
    <n v="50135.04999999862"/>
    <x v="1"/>
    <x v="1"/>
    <x v="0"/>
  </r>
  <r>
    <x v="1"/>
    <x v="2"/>
    <x v="4"/>
    <x v="0"/>
    <d v="2023-04-25T00:00:00"/>
    <x v="5"/>
    <n v="25"/>
    <n v="5162555"/>
    <n v="4130.0439999999999"/>
    <n v="25"/>
    <n v="5152132.5"/>
    <n v="4121.7060000000001"/>
    <n v="-10422.5"/>
    <n v="-2.0188646900613501E-3"/>
    <n v="39712.54999999862"/>
    <x v="1"/>
    <x v="1"/>
    <x v="0"/>
  </r>
  <r>
    <x v="1"/>
    <x v="2"/>
    <x v="4"/>
    <x v="0"/>
    <d v="2023-04-25T00:00:00"/>
    <x v="5"/>
    <n v="25"/>
    <n v="5137555"/>
    <n v="4110.0439999999999"/>
    <n v="25"/>
    <n v="5127445"/>
    <n v="4101.9560000000001"/>
    <n v="-10110"/>
    <n v="-1.9678621445414547E-3"/>
    <n v="29602.54999999862"/>
    <x v="1"/>
    <x v="1"/>
    <x v="0"/>
  </r>
  <r>
    <x v="1"/>
    <x v="2"/>
    <x v="4"/>
    <x v="1"/>
    <d v="2023-04-27T00:00:00"/>
    <x v="5"/>
    <n v="15"/>
    <n v="3093783"/>
    <n v="4125.0439999999999"/>
    <n v="15"/>
    <n v="3089967"/>
    <n v="4119.9560000000001"/>
    <n v="-3816"/>
    <n v="-1.2334413887463353E-3"/>
    <n v="25786.54999999862"/>
    <x v="1"/>
    <x v="1"/>
    <x v="0"/>
  </r>
  <r>
    <x v="0"/>
    <x v="4"/>
    <x v="5"/>
    <x v="0"/>
    <d v="2023-04-28T00:00:00"/>
    <x v="25"/>
    <n v="100"/>
    <n v="4367.4399999999996"/>
    <n v="0.43674399999999997"/>
    <n v="100"/>
    <n v="0"/>
    <n v="0"/>
    <n v="-4367.4399999999996"/>
    <n v="-1"/>
    <n v="21419.109999998622"/>
    <x v="1"/>
    <x v="1"/>
    <x v="0"/>
  </r>
  <r>
    <x v="1"/>
    <x v="2"/>
    <x v="4"/>
    <x v="1"/>
    <d v="2023-04-28T00:00:00"/>
    <x v="5"/>
    <n v="15"/>
    <n v="3129408"/>
    <n v="4172.5439999999999"/>
    <n v="15"/>
    <n v="3123717"/>
    <n v="4164.9560000000001"/>
    <n v="-5691"/>
    <n v="-1.8185548193140055E-3"/>
    <n v="15728.109999998622"/>
    <x v="1"/>
    <x v="1"/>
    <x v="0"/>
  </r>
  <r>
    <x v="1"/>
    <x v="0"/>
    <x v="7"/>
    <x v="0"/>
    <d v="2023-05-01T00:00:00"/>
    <x v="26"/>
    <n v="1500"/>
    <n v="160461.22"/>
    <n v="106.97414666666667"/>
    <n v="1500"/>
    <n v="155122.21"/>
    <n v="103.41480666666666"/>
    <n v="-5339.0100000000093"/>
    <n v="-3.3272899208917947E-2"/>
    <n v="10389.099999998612"/>
    <x v="1"/>
    <x v="2"/>
    <x v="0"/>
  </r>
  <r>
    <x v="1"/>
    <x v="5"/>
    <x v="7"/>
    <x v="0"/>
    <d v="2023-04-17T00:00:00"/>
    <x v="27"/>
    <n v="2361"/>
    <n v="99870.3"/>
    <n v="42.300000000000004"/>
    <n v="2361"/>
    <n v="94321.2"/>
    <n v="39.949682337992378"/>
    <n v="-5549.1000000000058"/>
    <n v="-5.5563065295688566E-2"/>
    <n v="4839.9999999986067"/>
    <x v="1"/>
    <x v="1"/>
    <x v="0"/>
  </r>
  <r>
    <x v="1"/>
    <x v="4"/>
    <x v="3"/>
    <x v="0"/>
    <d v="2023-05-02T00:00:00"/>
    <x v="28"/>
    <n v="16666"/>
    <n v="179076.17"/>
    <n v="10.745000000000001"/>
    <n v="16666"/>
    <n v="168908.35"/>
    <n v="10.13490639625585"/>
    <n v="-10167.820000000007"/>
    <n v="-5.6779302349385816E-2"/>
    <n v="-5327.8200000014003"/>
    <x v="1"/>
    <x v="2"/>
    <x v="0"/>
  </r>
  <r>
    <x v="1"/>
    <x v="3"/>
    <x v="3"/>
    <x v="0"/>
    <d v="2023-05-02T00:00:00"/>
    <x v="29"/>
    <n v="4000"/>
    <n v="335600"/>
    <n v="83.9"/>
    <n v="4000"/>
    <n v="324543.78000000003"/>
    <n v="81.135945000000007"/>
    <n v="-11056.219999999972"/>
    <n v="-3.2944636471990453E-2"/>
    <n v="-16384.040000001372"/>
    <x v="1"/>
    <x v="2"/>
    <x v="0"/>
  </r>
  <r>
    <x v="1"/>
    <x v="3"/>
    <x v="3"/>
    <x v="0"/>
    <d v="2023-05-02T00:00:00"/>
    <x v="30"/>
    <n v="13000"/>
    <n v="95193.13"/>
    <n v="7.322548461538462"/>
    <n v="13000"/>
    <n v="89282.28"/>
    <n v="6.8678676923076925"/>
    <n v="-5910.8500000000058"/>
    <n v="-6.2093241392524895E-2"/>
    <n v="-22294.890000001378"/>
    <x v="1"/>
    <x v="2"/>
    <x v="0"/>
  </r>
  <r>
    <x v="0"/>
    <x v="3"/>
    <x v="2"/>
    <x v="0"/>
    <d v="2023-05-03T00:00:00"/>
    <x v="31"/>
    <n v="9"/>
    <n v="9138.56"/>
    <n v="10.153955555555555"/>
    <n v="9"/>
    <n v="5850"/>
    <n v="6.5"/>
    <n v="-3288.5599999999995"/>
    <n v="-0.35985538202955386"/>
    <n v="-25583.45000000138"/>
    <x v="1"/>
    <x v="2"/>
    <x v="0"/>
  </r>
  <r>
    <x v="1"/>
    <x v="2"/>
    <x v="4"/>
    <x v="1"/>
    <d v="2023-05-03T00:00:00"/>
    <x v="5"/>
    <n v="10"/>
    <n v="2067172"/>
    <n v="4134.3440000000001"/>
    <n v="10"/>
    <n v="2074978"/>
    <n v="4149.9560000000001"/>
    <n v="7806"/>
    <n v="3.7761734388817381E-3"/>
    <n v="-17777.45000000138"/>
    <x v="1"/>
    <x v="2"/>
    <x v="0"/>
  </r>
  <r>
    <x v="1"/>
    <x v="5"/>
    <x v="3"/>
    <x v="0"/>
    <d v="2023-04-03T00:00:00"/>
    <x v="21"/>
    <n v="1154"/>
    <n v="149922.29"/>
    <n v="129.91532928942809"/>
    <n v="1154"/>
    <n v="157248.65"/>
    <n v="136.26399480069324"/>
    <n v="7326.359999999986"/>
    <n v="4.886771673511648E-2"/>
    <n v="-10451.090000001393"/>
    <x v="1"/>
    <x v="1"/>
    <x v="0"/>
  </r>
  <r>
    <x v="1"/>
    <x v="1"/>
    <x v="3"/>
    <x v="1"/>
    <d v="2023-05-05T00:00:00"/>
    <x v="1"/>
    <n v="2666"/>
    <n v="439890"/>
    <n v="165"/>
    <n v="2666"/>
    <n v="443868.76"/>
    <n v="166.49240810202551"/>
    <n v="-3978.7600000000093"/>
    <n v="9.0448975880333786E-3"/>
    <n v="-14429.850000001403"/>
    <x v="1"/>
    <x v="2"/>
    <x v="0"/>
  </r>
  <r>
    <x v="1"/>
    <x v="5"/>
    <x v="3"/>
    <x v="0"/>
    <d v="2023-04-28T00:00:00"/>
    <x v="32"/>
    <n v="3500"/>
    <n v="256479.65"/>
    <n v="73.279899999999998"/>
    <n v="3500"/>
    <n v="244263.1"/>
    <n v="69.789457142857145"/>
    <n v="-12216.549999999988"/>
    <n v="-4.763165420726357E-2"/>
    <n v="-26646.400000001391"/>
    <x v="1"/>
    <x v="1"/>
    <x v="0"/>
  </r>
  <r>
    <x v="1"/>
    <x v="4"/>
    <x v="3"/>
    <x v="0"/>
    <d v="2023-05-09T00:00:00"/>
    <x v="33"/>
    <n v="3000"/>
    <n v="155715"/>
    <n v="51.905000000000001"/>
    <n v="3000"/>
    <n v="158756.79999999999"/>
    <n v="52.918933333333328"/>
    <n v="3041.7999999999884"/>
    <n v="1.9534405805477831E-2"/>
    <n v="-23604.600000001403"/>
    <x v="1"/>
    <x v="2"/>
    <x v="0"/>
  </r>
  <r>
    <x v="1"/>
    <x v="3"/>
    <x v="6"/>
    <x v="0"/>
    <d v="2023-05-10T00:00:00"/>
    <x v="34"/>
    <n v="75000"/>
    <n v="789954.04"/>
    <n v="10.532720533333334"/>
    <n v="75000"/>
    <n v="783980.96"/>
    <n v="10.453079466666667"/>
    <n v="-5973.0800000000745"/>
    <n v="-7.6189095204557966E-3"/>
    <n v="-29577.680000001477"/>
    <x v="1"/>
    <x v="2"/>
    <x v="0"/>
  </r>
  <r>
    <x v="1"/>
    <x v="5"/>
    <x v="3"/>
    <x v="1"/>
    <d v="2023-04-24T00:00:00"/>
    <x v="35"/>
    <n v="10685"/>
    <n v="151859.99"/>
    <n v="14.212446420215255"/>
    <n v="10685"/>
    <n v="125423.6"/>
    <n v="11.738287318671034"/>
    <n v="26436.389999999985"/>
    <n v="0.17408397037297307"/>
    <n v="-3141.2900000014924"/>
    <x v="1"/>
    <x v="1"/>
    <x v="0"/>
  </r>
  <r>
    <x v="0"/>
    <x v="4"/>
    <x v="2"/>
    <x v="0"/>
    <d v="2023-05-12T00:00:00"/>
    <x v="36"/>
    <n v="80"/>
    <n v="8703.07"/>
    <n v="1.08788375"/>
    <n v="100"/>
    <n v="0"/>
    <n v="0"/>
    <n v="-8703.07"/>
    <n v="-1"/>
    <n v="-11844.360000001492"/>
    <x v="1"/>
    <x v="2"/>
    <x v="0"/>
  </r>
  <r>
    <x v="0"/>
    <x v="4"/>
    <x v="5"/>
    <x v="0"/>
    <d v="2023-05-12T00:00:00"/>
    <x v="37"/>
    <n v="4"/>
    <n v="6399.36"/>
    <n v="15.998399999999998"/>
    <n v="100"/>
    <n v="0"/>
    <n v="0"/>
    <n v="-6399.36"/>
    <n v="-1"/>
    <n v="-18243.720000001493"/>
    <x v="1"/>
    <x v="2"/>
    <x v="0"/>
  </r>
  <r>
    <x v="1"/>
    <x v="4"/>
    <x v="3"/>
    <x v="1"/>
    <d v="2023-05-12T00:00:00"/>
    <x v="17"/>
    <n v="3000"/>
    <n v="354859.7"/>
    <n v="118.28656666666667"/>
    <n v="3000"/>
    <n v="348031.03"/>
    <n v="116.01034333333334"/>
    <n v="-6828.6699999999837"/>
    <n v="-1.9243295307976652E-2"/>
    <n v="-25072.390000001476"/>
    <x v="1"/>
    <x v="2"/>
    <x v="0"/>
  </r>
  <r>
    <x v="1"/>
    <x v="3"/>
    <x v="3"/>
    <x v="1"/>
    <d v="2023-05-12T00:00:00"/>
    <x v="17"/>
    <n v="3000"/>
    <n v="354859.7"/>
    <n v="118.28656666666667"/>
    <n v="3000"/>
    <n v="348031.03"/>
    <n v="116.01034333333334"/>
    <n v="-6828.6699999999837"/>
    <n v="-1.9243295307976652E-2"/>
    <n v="-31901.06000000146"/>
    <x v="1"/>
    <x v="2"/>
    <x v="0"/>
  </r>
  <r>
    <x v="1"/>
    <x v="4"/>
    <x v="3"/>
    <x v="0"/>
    <d v="2023-05-17T00:00:00"/>
    <x v="10"/>
    <n v="21400"/>
    <n v="136425"/>
    <n v="6.375"/>
    <n v="21400"/>
    <n v="133510.04999999999"/>
    <n v="6.23878738317757"/>
    <n v="-2914.9500000000116"/>
    <n v="-2.1366684991753728E-2"/>
    <n v="-34816.010000001472"/>
    <x v="1"/>
    <x v="2"/>
    <x v="0"/>
  </r>
  <r>
    <x v="1"/>
    <x v="2"/>
    <x v="4"/>
    <x v="1"/>
    <d v="2023-05-17T00:00:00"/>
    <x v="5"/>
    <n v="10"/>
    <n v="2081500"/>
    <n v="4163"/>
    <n v="10"/>
    <n v="2077500"/>
    <n v="4155"/>
    <n v="-4044"/>
    <n v="-1.9216910881575786E-3"/>
    <n v="-38860.010000001472"/>
    <x v="1"/>
    <x v="2"/>
    <x v="0"/>
  </r>
  <r>
    <x v="1"/>
    <x v="2"/>
    <x v="4"/>
    <x v="0"/>
    <d v="2023-05-17T00:00:00"/>
    <x v="5"/>
    <n v="10"/>
    <n v="2106000"/>
    <n v="4212"/>
    <n v="10"/>
    <n v="2102000"/>
    <n v="4204"/>
    <n v="-4044"/>
    <n v="-1.8993352326685661E-3"/>
    <n v="-42904.010000001472"/>
    <x v="1"/>
    <x v="2"/>
    <x v="0"/>
  </r>
  <r>
    <x v="1"/>
    <x v="0"/>
    <x v="3"/>
    <x v="1"/>
    <d v="2023-05-17T00:00:00"/>
    <x v="38"/>
    <n v="1000"/>
    <n v="309772.51"/>
    <n v="309.77251000000001"/>
    <n v="1000"/>
    <n v="313780.01"/>
    <n v="313.78001"/>
    <n v="-4007.5"/>
    <n v="1.2936912962354189E-2"/>
    <n v="-46911.510000001472"/>
    <x v="1"/>
    <x v="2"/>
    <x v="0"/>
  </r>
  <r>
    <x v="1"/>
    <x v="5"/>
    <x v="3"/>
    <x v="0"/>
    <d v="2023-04-06T00:00:00"/>
    <x v="39"/>
    <n v="345"/>
    <n v="99937.88"/>
    <n v="289.67501449275363"/>
    <n v="345"/>
    <n v="97239.03"/>
    <n v="281.85226086956521"/>
    <n v="-2698.8500000000058"/>
    <n v="-2.7005275677250765E-2"/>
    <n v="-49610.360000001478"/>
    <x v="1"/>
    <x v="1"/>
    <x v="0"/>
  </r>
  <r>
    <x v="1"/>
    <x v="4"/>
    <x v="3"/>
    <x v="0"/>
    <d v="2023-05-18T00:00:00"/>
    <x v="40"/>
    <n v="1200"/>
    <n v="80734.820000000007"/>
    <n v="67.279016666666678"/>
    <n v="1200"/>
    <n v="76161.59"/>
    <n v="63.467991666666663"/>
    <n v="-4573.2300000000105"/>
    <n v="-5.6645075817348914E-2"/>
    <n v="-54183.590000001488"/>
    <x v="1"/>
    <x v="2"/>
    <x v="0"/>
  </r>
  <r>
    <x v="1"/>
    <x v="3"/>
    <x v="3"/>
    <x v="0"/>
    <d v="2023-05-18T00:00:00"/>
    <x v="41"/>
    <n v="7400"/>
    <n v="495762.3"/>
    <n v="66.994905405405405"/>
    <n v="7400"/>
    <n v="498028.62"/>
    <n v="67.301164864864859"/>
    <n v="2266.320000000007"/>
    <n v="4.5713843105858638E-3"/>
    <n v="-51917.270000001481"/>
    <x v="1"/>
    <x v="2"/>
    <x v="0"/>
  </r>
  <r>
    <x v="1"/>
    <x v="5"/>
    <x v="3"/>
    <x v="0"/>
    <d v="2023-05-12T00:00:00"/>
    <x v="42"/>
    <n v="1500"/>
    <n v="129630"/>
    <n v="86.42"/>
    <n v="1500"/>
    <n v="125357.56"/>
    <n v="83.571706666666671"/>
    <n v="-4272.4400000000023"/>
    <n v="-3.2958728689346621E-2"/>
    <n v="-56189.710000001483"/>
    <x v="1"/>
    <x v="2"/>
    <x v="0"/>
  </r>
  <r>
    <x v="0"/>
    <x v="0"/>
    <x v="0"/>
    <x v="0"/>
    <d v="2023-05-19T00:00:00"/>
    <x v="17"/>
    <n v="25"/>
    <n v="6285.04"/>
    <n v="2.5140159999999998"/>
    <n v="25"/>
    <n v="0"/>
    <n v="0"/>
    <n v="-6285.04"/>
    <n v="-1"/>
    <n v="-62474.750000001484"/>
    <x v="1"/>
    <x v="2"/>
    <x v="0"/>
  </r>
  <r>
    <x v="0"/>
    <x v="0"/>
    <x v="2"/>
    <x v="0"/>
    <d v="2023-05-19T00:00:00"/>
    <x v="0"/>
    <n v="20"/>
    <n v="3920.58"/>
    <n v="1.9602899999999999"/>
    <n v="20"/>
    <n v="0"/>
    <n v="0"/>
    <n v="-3920.58"/>
    <n v="-1"/>
    <n v="-66395.330000001486"/>
    <x v="1"/>
    <x v="2"/>
    <x v="0"/>
  </r>
  <r>
    <x v="0"/>
    <x v="4"/>
    <x v="2"/>
    <x v="0"/>
    <d v="2023-05-19T00:00:00"/>
    <x v="43"/>
    <n v="40"/>
    <n v="6627.56"/>
    <n v="1.6568900000000002"/>
    <n v="40"/>
    <n v="9599.06"/>
    <n v="2.3997649999999999"/>
    <n v="2971.4999999999991"/>
    <n v="0.44835505072756771"/>
    <n v="-63423.830000001486"/>
    <x v="1"/>
    <x v="2"/>
    <x v="0"/>
  </r>
  <r>
    <x v="0"/>
    <x v="3"/>
    <x v="2"/>
    <x v="0"/>
    <d v="2023-05-19T00:00:00"/>
    <x v="44"/>
    <n v="25"/>
    <n v="6248.73"/>
    <n v="2.499492"/>
    <n v="25"/>
    <n v="0"/>
    <n v="0"/>
    <n v="-6248.73"/>
    <n v="-1"/>
    <n v="-69672.560000001482"/>
    <x v="1"/>
    <x v="2"/>
    <x v="0"/>
  </r>
  <r>
    <x v="1"/>
    <x v="1"/>
    <x v="3"/>
    <x v="1"/>
    <d v="2023-05-23T00:00:00"/>
    <x v="1"/>
    <n v="350"/>
    <n v="63172.69"/>
    <n v="180.49340000000001"/>
    <n v="350"/>
    <n v="67196.75"/>
    <n v="191.99071428571429"/>
    <n v="-4024.0599999999977"/>
    <n v="6.3699361227137846E-2"/>
    <n v="-73696.62000000148"/>
    <x v="1"/>
    <x v="2"/>
    <x v="0"/>
  </r>
  <r>
    <x v="1"/>
    <x v="4"/>
    <x v="3"/>
    <x v="0"/>
    <d v="2023-05-23T00:00:00"/>
    <x v="45"/>
    <n v="1800"/>
    <n v="209221.07"/>
    <n v="116.23392777777778"/>
    <n v="1800"/>
    <n v="207345.81"/>
    <n v="115.19211666666666"/>
    <n v="1875.2600000000093"/>
    <n v="-8.9630552028053794E-3"/>
    <n v="-71821.36000000147"/>
    <x v="1"/>
    <x v="2"/>
    <x v="0"/>
  </r>
  <r>
    <x v="0"/>
    <x v="4"/>
    <x v="5"/>
    <x v="0"/>
    <d v="2023-05-24T00:00:00"/>
    <x v="35"/>
    <n v="105"/>
    <n v="6043.4"/>
    <n v="0.57556190476190472"/>
    <n v="105"/>
    <n v="23860.949999999997"/>
    <n v="2.184533476190476"/>
    <n v="17817.549999999996"/>
    <n v="2.7954796141244995"/>
    <n v="-54003.810000001475"/>
    <x v="1"/>
    <x v="2"/>
    <x v="0"/>
  </r>
  <r>
    <x v="1"/>
    <x v="4"/>
    <x v="6"/>
    <x v="1"/>
    <d v="2023-05-25T00:00:00"/>
    <x v="46"/>
    <n v="1500000"/>
    <n v="1655321.89"/>
    <n v="1.1035479266666666"/>
    <n v="1000000"/>
    <n v="1619276.91"/>
    <n v="1.0795179399999999"/>
    <n v="36044.979999999981"/>
    <n v="2.1775208929303763E-2"/>
    <n v="-17958.830000001493"/>
    <x v="1"/>
    <x v="2"/>
    <x v="0"/>
  </r>
  <r>
    <x v="1"/>
    <x v="4"/>
    <x v="3"/>
    <x v="1"/>
    <d v="2023-05-25T00:00:00"/>
    <x v="47"/>
    <n v="5000"/>
    <n v="225682.47"/>
    <n v="45.136493999999999"/>
    <n v="5000"/>
    <n v="183884.9"/>
    <n v="36.776980000000002"/>
    <n v="41797.570000000007"/>
    <n v="0.18520521332472117"/>
    <n v="23838.739999998514"/>
    <x v="1"/>
    <x v="2"/>
    <x v="0"/>
  </r>
  <r>
    <x v="0"/>
    <x v="0"/>
    <x v="0"/>
    <x v="0"/>
    <d v="2023-05-26T00:00:00"/>
    <x v="3"/>
    <n v="50"/>
    <n v="5249.04"/>
    <n v="1.0498080000000001"/>
    <n v="50"/>
    <n v="0"/>
    <n v="0"/>
    <n v="-5249.04"/>
    <n v="-1"/>
    <n v="18589.699999998513"/>
    <x v="1"/>
    <x v="2"/>
    <x v="0"/>
  </r>
  <r>
    <x v="1"/>
    <x v="4"/>
    <x v="4"/>
    <x v="0"/>
    <d v="2023-05-30T00:00:00"/>
    <x v="48"/>
    <n v="42"/>
    <n v="257299"/>
    <n v="612.61666666666667"/>
    <n v="42"/>
    <n v="247302.7"/>
    <n v="588.81595238095235"/>
    <n v="-9996.2999999999884"/>
    <n v="-3.8850908864783727E-2"/>
    <n v="8593.3999999985244"/>
    <x v="1"/>
    <x v="2"/>
    <x v="0"/>
  </r>
  <r>
    <x v="1"/>
    <x v="3"/>
    <x v="3"/>
    <x v="0"/>
    <d v="2023-05-31T00:00:00"/>
    <x v="41"/>
    <n v="5900"/>
    <n v="387659.5"/>
    <n v="65.704999999999998"/>
    <n v="5900"/>
    <n v="376330.3"/>
    <n v="63.784796610169487"/>
    <n v="-11329.200000000012"/>
    <n v="-2.9224615932280828E-2"/>
    <n v="-2735.8000000014872"/>
    <x v="1"/>
    <x v="2"/>
    <x v="0"/>
  </r>
  <r>
    <x v="1"/>
    <x v="3"/>
    <x v="4"/>
    <x v="0"/>
    <d v="2023-06-01T00:00:00"/>
    <x v="49"/>
    <n v="5"/>
    <n v="174761.85"/>
    <n v="3.4952370000000004"/>
    <n v="5"/>
    <n v="167988.15"/>
    <n v="3.3597630000000001"/>
    <n v="-6773.7000000000116"/>
    <n v="-3.8759603426033837E-2"/>
    <n v="-9509.5000000014988"/>
    <x v="1"/>
    <x v="7"/>
    <x v="0"/>
  </r>
  <r>
    <x v="1"/>
    <x v="1"/>
    <x v="4"/>
    <x v="0"/>
    <d v="2023-06-02T00:00:00"/>
    <x v="50"/>
    <n v="3"/>
    <n v="463409.04"/>
    <n v="30893.935999999998"/>
    <n v="3"/>
    <n v="478465.95"/>
    <n v="31897.73"/>
    <n v="15056.910000000033"/>
    <n v="3.2491619067250031E-2"/>
    <n v="5547.4099999985337"/>
    <x v="1"/>
    <x v="7"/>
    <x v="0"/>
  </r>
  <r>
    <x v="1"/>
    <x v="4"/>
    <x v="6"/>
    <x v="0"/>
    <d v="2023-06-05T00:00:00"/>
    <x v="46"/>
    <n v="685000"/>
    <n v="732807.11"/>
    <n v="1.069791401459854"/>
    <n v="685000"/>
    <n v="733984.35"/>
    <n v="1.07151"/>
    <n v="1177.2399999999907"/>
    <n v="1.603903407477272E-3"/>
    <n v="6724.6499999985244"/>
    <x v="1"/>
    <x v="7"/>
    <x v="0"/>
  </r>
  <r>
    <x v="1"/>
    <x v="0"/>
    <x v="3"/>
    <x v="1"/>
    <d v="2023-06-07T00:00:00"/>
    <x v="51"/>
    <n v="9400"/>
    <n v="176095.57"/>
    <n v="18.733571276595747"/>
    <n v="9400"/>
    <n v="170698.4"/>
    <n v="18.159404255319149"/>
    <n v="5397.1700000000128"/>
    <n v="3.0649095829043356E-2"/>
    <n v="12121.819999998537"/>
    <x v="1"/>
    <x v="7"/>
    <x v="0"/>
  </r>
  <r>
    <x v="1"/>
    <x v="1"/>
    <x v="3"/>
    <x v="1"/>
    <d v="2023-06-07T00:00:00"/>
    <x v="1"/>
    <n v="580"/>
    <n v="127408.33"/>
    <n v="219.66953448275862"/>
    <n v="580"/>
    <n v="133434.78"/>
    <n v="230.05996551724138"/>
    <n v="-6026.4499999999971"/>
    <n v="-4.7300282485454447E-2"/>
    <n v="6095.3699999985402"/>
    <x v="1"/>
    <x v="7"/>
    <x v="0"/>
  </r>
  <r>
    <x v="1"/>
    <x v="4"/>
    <x v="3"/>
    <x v="0"/>
    <d v="2023-06-08T00:00:00"/>
    <x v="52"/>
    <n v="2500"/>
    <n v="243462.5"/>
    <n v="97.385000000000005"/>
    <n v="2500"/>
    <n v="243292.99"/>
    <n v="97.317195999999996"/>
    <n v="-169.51000000000931"/>
    <n v="-6.9624685526528229E-4"/>
    <n v="5925.8599999985308"/>
    <x v="1"/>
    <x v="7"/>
    <x v="0"/>
  </r>
  <r>
    <x v="1"/>
    <x v="1"/>
    <x v="6"/>
    <x v="0"/>
    <d v="2023-06-09T00:00:00"/>
    <x v="53"/>
    <n v="780000"/>
    <n v="9137713.3300000001"/>
    <n v="11.71501708974359"/>
    <n v="780000"/>
    <n v="9070214.6300000008"/>
    <n v="11.628480294871796"/>
    <n v="-6249.8796296295604"/>
    <n v="-6.8905531837779228E-4"/>
    <n v="-324.0196296310296"/>
    <x v="1"/>
    <x v="7"/>
    <x v="0"/>
  </r>
  <r>
    <x v="1"/>
    <x v="3"/>
    <x v="6"/>
    <x v="0"/>
    <d v="2023-06-09T00:00:00"/>
    <x v="54"/>
    <n v="660000"/>
    <n v="7199361.46"/>
    <n v="10.908123424242424"/>
    <n v="660000"/>
    <n v="7102218.71"/>
    <n v="10.76093743939394"/>
    <n v="-8905.5418812101143"/>
    <n v="-1.25390983365114E-3"/>
    <n v="-9229.5615108411439"/>
    <x v="1"/>
    <x v="7"/>
    <x v="0"/>
  </r>
  <r>
    <x v="1"/>
    <x v="4"/>
    <x v="3"/>
    <x v="1"/>
    <d v="2023-06-12T00:00:00"/>
    <x v="55"/>
    <n v="82"/>
    <n v="106393.14"/>
    <n v="1297.4773170731708"/>
    <n v="82"/>
    <n v="101452.58"/>
    <n v="1237.2265853658537"/>
    <n v="4940.5599999999977"/>
    <n v="-4.6436828539885185E-2"/>
    <n v="-4289.0015108411462"/>
    <x v="1"/>
    <x v="7"/>
    <x v="0"/>
  </r>
  <r>
    <x v="1"/>
    <x v="4"/>
    <x v="4"/>
    <x v="0"/>
    <d v="2023-06-13T00:00:00"/>
    <x v="56"/>
    <n v="9"/>
    <n v="913429.98"/>
    <n v="101.49222"/>
    <n v="9"/>
    <n v="930310.02"/>
    <n v="103.36778"/>
    <n v="16880.040000000037"/>
    <n v="1.8479840129617859E-2"/>
    <n v="12591.038489158891"/>
    <x v="1"/>
    <x v="7"/>
    <x v="0"/>
  </r>
  <r>
    <x v="1"/>
    <x v="2"/>
    <x v="4"/>
    <x v="1"/>
    <d v="2023-06-14T00:00:00"/>
    <x v="5"/>
    <n v="10"/>
    <n v="2106000"/>
    <n v="4212"/>
    <n v="10"/>
    <n v="2102000"/>
    <n v="4204"/>
    <n v="-4044"/>
    <n v="-1.8993352326685661E-3"/>
    <n v="8547.038489158891"/>
    <x v="1"/>
    <x v="7"/>
    <x v="0"/>
  </r>
  <r>
    <x v="1"/>
    <x v="4"/>
    <x v="4"/>
    <x v="0"/>
    <d v="2023-06-15T00:00:00"/>
    <x v="56"/>
    <n v="9"/>
    <n v="928999.98"/>
    <n v="103.22221999999999"/>
    <n v="9"/>
    <n v="915510.02"/>
    <n v="101.72333555555556"/>
    <n v="-13489.959999999963"/>
    <n v="-1.4520947567727573E-2"/>
    <n v="-4942.9215108410717"/>
    <x v="1"/>
    <x v="7"/>
    <x v="0"/>
  </r>
  <r>
    <x v="1"/>
    <x v="0"/>
    <x v="3"/>
    <x v="1"/>
    <d v="2023-06-15T00:00:00"/>
    <x v="57"/>
    <n v="3000"/>
    <n v="49674.3"/>
    <n v="16.5581"/>
    <n v="3000"/>
    <n v="56539.33"/>
    <n v="18.846443333333333"/>
    <n v="6865.0299999999988"/>
    <n v="0.13820084027354188"/>
    <n v="1922.1084891589271"/>
    <x v="1"/>
    <x v="7"/>
    <x v="0"/>
  </r>
  <r>
    <x v="1"/>
    <x v="1"/>
    <x v="4"/>
    <x v="1"/>
    <d v="2023-06-16T00:00:00"/>
    <x v="6"/>
    <n v="26"/>
    <n v="573283.88"/>
    <n v="4409.8760000000002"/>
    <n v="26"/>
    <n v="583066.12"/>
    <n v="4485.1239999999998"/>
    <n v="-9826.2399999999907"/>
    <n v="-1.7140269145540933E-2"/>
    <n v="-7904.1315108410636"/>
    <x v="1"/>
    <x v="7"/>
    <x v="0"/>
  </r>
  <r>
    <x v="0"/>
    <x v="4"/>
    <x v="5"/>
    <x v="0"/>
    <d v="2023-06-16T00:00:00"/>
    <x v="58"/>
    <n v="75"/>
    <n v="8171.05"/>
    <n v="1.0894733333333333"/>
    <n v="75"/>
    <n v="0"/>
    <n v="0"/>
    <n v="-8171.05"/>
    <n v="-1"/>
    <n v="-16075.181510841063"/>
    <x v="1"/>
    <x v="7"/>
    <x v="0"/>
  </r>
  <r>
    <x v="0"/>
    <x v="4"/>
    <x v="2"/>
    <x v="0"/>
    <d v="2023-06-16T00:00:00"/>
    <x v="59"/>
    <n v="180"/>
    <n v="7960.02"/>
    <n v="0.44222333333333341"/>
    <n v="180"/>
    <n v="8109.39"/>
    <n v="0.45052166666666671"/>
    <n v="149.36999999999989"/>
    <n v="1.8765028228572202E-2"/>
    <n v="-15925.811510841064"/>
    <x v="1"/>
    <x v="7"/>
    <x v="0"/>
  </r>
  <r>
    <x v="1"/>
    <x v="4"/>
    <x v="3"/>
    <x v="0"/>
    <d v="2023-06-16T00:00:00"/>
    <x v="60"/>
    <n v="9000"/>
    <n v="512049.6"/>
    <n v="56.894399999999997"/>
    <n v="9000"/>
    <n v="517625"/>
    <n v="57.513888888888886"/>
    <n v="-5575.4000000000233"/>
    <n v="-1.0888398311413573E-2"/>
    <n v="-21501.211510841087"/>
    <x v="1"/>
    <x v="7"/>
    <x v="0"/>
  </r>
  <r>
    <x v="0"/>
    <x v="3"/>
    <x v="2"/>
    <x v="0"/>
    <d v="2023-06-16T00:00:00"/>
    <x v="17"/>
    <n v="15"/>
    <n v="4199.24"/>
    <n v="2.7994933333333329"/>
    <n v="15"/>
    <n v="0"/>
    <n v="0"/>
    <n v="-4199.24"/>
    <n v="-1"/>
    <n v="-25700.451510841085"/>
    <x v="1"/>
    <x v="7"/>
    <x v="0"/>
  </r>
  <r>
    <x v="1"/>
    <x v="4"/>
    <x v="3"/>
    <x v="0"/>
    <d v="2023-06-20T00:00:00"/>
    <x v="61"/>
    <n v="13333"/>
    <n v="226767.67"/>
    <n v="17.008000450011252"/>
    <n v="13333"/>
    <n v="216628.76"/>
    <n v="16.247563189079727"/>
    <n v="-10138.910000000003"/>
    <n v="-4.4710562136128222E-2"/>
    <n v="-35839.361510841089"/>
    <x v="1"/>
    <x v="7"/>
    <x v="0"/>
  </r>
  <r>
    <x v="1"/>
    <x v="4"/>
    <x v="3"/>
    <x v="0"/>
    <d v="2023-06-20T00:00:00"/>
    <x v="62"/>
    <n v="1300"/>
    <n v="295157.91000000003"/>
    <n v="227.04454615384617"/>
    <n v="600"/>
    <n v="306390.78999999998"/>
    <n v="510.65131666666662"/>
    <n v="11232.879999999946"/>
    <n v="1.2491239068153943"/>
    <n v="-24606.481510841142"/>
    <x v="1"/>
    <x v="7"/>
    <x v="0"/>
  </r>
  <r>
    <x v="1"/>
    <x v="4"/>
    <x v="3"/>
    <x v="0"/>
    <d v="2023-06-26T00:00:00"/>
    <x v="63"/>
    <n v="4500"/>
    <n v="170975.48"/>
    <n v="37.994551111111114"/>
    <n v="4500"/>
    <n v="181325.5"/>
    <n v="40.294555555555554"/>
    <n v="-10350.01999999999"/>
    <n v="-6.0535112988131273E-2"/>
    <n v="-34956.501510841132"/>
    <x v="1"/>
    <x v="7"/>
    <x v="0"/>
  </r>
  <r>
    <x v="1"/>
    <x v="4"/>
    <x v="3"/>
    <x v="1"/>
    <d v="2023-06-28T00:00:00"/>
    <x v="64"/>
    <n v="384"/>
    <n v="145532.85999999999"/>
    <n v="378.99182291666665"/>
    <n v="384"/>
    <n v="150287.51"/>
    <n v="391.37372395833336"/>
    <n v="-4754.6500000000233"/>
    <n v="-3.2670628475246183E-2"/>
    <n v="-39711.151510841155"/>
    <x v="1"/>
    <x v="7"/>
    <x v="0"/>
  </r>
  <r>
    <x v="1"/>
    <x v="5"/>
    <x v="3"/>
    <x v="0"/>
    <d v="2023-06-20T00:00:00"/>
    <x v="65"/>
    <n v="4761"/>
    <n v="159415.42000000001"/>
    <n v="33.483600084015968"/>
    <n v="4761"/>
    <n v="149119.85999999999"/>
    <n v="31.321121613106488"/>
    <n v="-10295.560000000027"/>
    <n v="-6.4583212841016424E-2"/>
    <n v="-50006.711510841182"/>
    <x v="1"/>
    <x v="7"/>
    <x v="0"/>
  </r>
  <r>
    <x v="1"/>
    <x v="4"/>
    <x v="3"/>
    <x v="1"/>
    <d v="2023-06-29T00:00:00"/>
    <x v="66"/>
    <n v="11350"/>
    <n v="365862.68"/>
    <n v="32.234597356828196"/>
    <n v="11350"/>
    <n v="373666.99"/>
    <n v="32.92220176211454"/>
    <n v="-7804.3099999999977"/>
    <n v="-2.133125466636826E-2"/>
    <n v="-57811.021510841179"/>
    <x v="1"/>
    <x v="7"/>
    <x v="0"/>
  </r>
  <r>
    <x v="1"/>
    <x v="1"/>
    <x v="6"/>
    <x v="0"/>
    <d v="2023-06-30T00:00:00"/>
    <x v="67"/>
    <n v="1000000"/>
    <n v="681553.63"/>
    <n v="0.68155363000000002"/>
    <n v="1000000"/>
    <n v="676070"/>
    <n v="0.67606999999999995"/>
    <n v="-6129"/>
    <n v="-9.0656292987412544E-3"/>
    <n v="-63940.021510841179"/>
    <x v="1"/>
    <x v="7"/>
    <x v="0"/>
  </r>
  <r>
    <x v="1"/>
    <x v="1"/>
    <x v="6"/>
    <x v="0"/>
    <d v="2023-06-30T00:00:00"/>
    <x v="68"/>
    <n v="700000"/>
    <n v="76080320.640000001"/>
    <n v="108.68617234285715"/>
    <n v="700000"/>
    <n v="76262900"/>
    <n v="108.947"/>
    <n v="1675.8548652096836"/>
    <n v="2.1974706773669551E-5"/>
    <n v="-62264.166645631492"/>
    <x v="1"/>
    <x v="7"/>
    <x v="0"/>
  </r>
  <r>
    <x v="1"/>
    <x v="1"/>
    <x v="6"/>
    <x v="0"/>
    <d v="2023-06-30T00:00:00"/>
    <x v="69"/>
    <n v="230000"/>
    <n v="36524040.020000003"/>
    <n v="158.80017400000003"/>
    <n v="230000"/>
    <n v="37535242.109999999"/>
    <n v="163.19670482608694"/>
    <n v="7163.2558909275331"/>
    <n v="1.9084080688583398E-4"/>
    <n v="-55100.91075470396"/>
    <x v="1"/>
    <x v="7"/>
    <x v="0"/>
  </r>
  <r>
    <x v="1"/>
    <x v="4"/>
    <x v="3"/>
    <x v="0"/>
    <d v="2023-06-30T00:00:00"/>
    <x v="70"/>
    <n v="17440"/>
    <n v="201358.3"/>
    <n v="11.545774082568807"/>
    <n v="17440"/>
    <n v="213235.27"/>
    <n v="12.226793004587156"/>
    <n v="-11876.970000000001"/>
    <n v="-5.8984258409015257E-2"/>
    <n v="-66977.880754703961"/>
    <x v="1"/>
    <x v="7"/>
    <x v="0"/>
  </r>
  <r>
    <x v="1"/>
    <x v="4"/>
    <x v="3"/>
    <x v="1"/>
    <d v="2023-06-30T00:00:00"/>
    <x v="71"/>
    <n v="11500"/>
    <n v="163584.51999999999"/>
    <n v="14.224740869565217"/>
    <n v="11500"/>
    <n v="158627.04999999999"/>
    <n v="13.793656521739129"/>
    <n v="4957.4700000000012"/>
    <n v="3.0305251377086378E-2"/>
    <n v="-62020.41075470396"/>
    <x v="1"/>
    <x v="7"/>
    <x v="0"/>
  </r>
  <r>
    <x v="1"/>
    <x v="4"/>
    <x v="3"/>
    <x v="1"/>
    <d v="2023-07-05T00:00:00"/>
    <x v="72"/>
    <n v="7000"/>
    <n v="252731.96"/>
    <n v="36.104565714285712"/>
    <n v="7000"/>
    <n v="267771.21000000002"/>
    <n v="38.253030000000003"/>
    <n v="-15039.250000000029"/>
    <n v="-5.9506720083997419E-2"/>
    <n v="-77059.660754703989"/>
    <x v="1"/>
    <x v="8"/>
    <x v="0"/>
  </r>
  <r>
    <x v="1"/>
    <x v="4"/>
    <x v="3"/>
    <x v="0"/>
    <d v="2023-07-07T00:00:00"/>
    <x v="73"/>
    <n v="3000"/>
    <n v="484982.5"/>
    <n v="161.66083333333333"/>
    <n v="3000"/>
    <n v="467099.66"/>
    <n v="155.69988666666666"/>
    <n v="-17882.840000000026"/>
    <n v="-3.6873165526591201E-2"/>
    <n v="-94942.500754704015"/>
    <x v="1"/>
    <x v="8"/>
    <x v="0"/>
  </r>
  <r>
    <x v="1"/>
    <x v="4"/>
    <x v="3"/>
    <x v="1"/>
    <d v="2023-07-07T00:00:00"/>
    <x v="74"/>
    <n v="14285"/>
    <n v="150632.04999999999"/>
    <n v="10.544770738536926"/>
    <n v="14285"/>
    <n v="161215.85"/>
    <n v="11.285673783689186"/>
    <n v="-10583.800000000017"/>
    <n v="-7.0262603476484817E-2"/>
    <n v="-105526.30075470403"/>
    <x v="1"/>
    <x v="8"/>
    <x v="0"/>
  </r>
  <r>
    <x v="1"/>
    <x v="1"/>
    <x v="4"/>
    <x v="0"/>
    <d v="2023-07-10T00:00:00"/>
    <x v="50"/>
    <n v="4"/>
    <n v="658962.07999999996"/>
    <n v="32948.103999999999"/>
    <n v="4"/>
    <n v="644987.92000000004"/>
    <n v="32249.396000000001"/>
    <n v="-14018.159999999916"/>
    <n v="-2.1273090554770491E-2"/>
    <n v="-119544.46075470395"/>
    <x v="1"/>
    <x v="8"/>
    <x v="0"/>
  </r>
  <r>
    <x v="1"/>
    <x v="4"/>
    <x v="3"/>
    <x v="0"/>
    <d v="2023-07-10T00:00:00"/>
    <x v="75"/>
    <n v="5800"/>
    <n v="313054"/>
    <n v="53.974827586206899"/>
    <n v="5800"/>
    <n v="330437.52"/>
    <n v="56.971986206896553"/>
    <n v="17383.520000000019"/>
    <n v="5.5528822503465816E-2"/>
    <n v="-102160.94075470393"/>
    <x v="1"/>
    <x v="8"/>
    <x v="0"/>
  </r>
  <r>
    <x v="1"/>
    <x v="5"/>
    <x v="3"/>
    <x v="0"/>
    <d v="2023-04-17T00:00:00"/>
    <x v="37"/>
    <n v="157"/>
    <n v="99716.479999999996"/>
    <n v="635.13681528662414"/>
    <n v="157"/>
    <n v="109266.42"/>
    <n v="695.96445859872608"/>
    <n v="9549.9400000000023"/>
    <n v="9.5770929739998872E-2"/>
    <n v="-92611.000754703928"/>
    <x v="1"/>
    <x v="1"/>
    <x v="0"/>
  </r>
  <r>
    <x v="1"/>
    <x v="5"/>
    <x v="3"/>
    <x v="0"/>
    <d v="2023-05-16T00:00:00"/>
    <x v="76"/>
    <n v="550"/>
    <n v="99990"/>
    <n v="181.8"/>
    <n v="550"/>
    <n v="99961.7"/>
    <n v="181.74854545454545"/>
    <n v="-28.30000000000291"/>
    <n v="-2.8302830283031215E-4"/>
    <n v="-92639.300754703931"/>
    <x v="1"/>
    <x v="2"/>
    <x v="0"/>
  </r>
  <r>
    <x v="1"/>
    <x v="5"/>
    <x v="3"/>
    <x v="0"/>
    <d v="2023-05-23T00:00:00"/>
    <x v="18"/>
    <n v="246"/>
    <n v="87728.52"/>
    <n v="356.62"/>
    <n v="246"/>
    <n v="107680.72"/>
    <n v="437.72650406504067"/>
    <n v="19952.199999999997"/>
    <n v="0.22743117061589546"/>
    <n v="-72687.100754703933"/>
    <x v="1"/>
    <x v="2"/>
    <x v="0"/>
  </r>
  <r>
    <x v="1"/>
    <x v="5"/>
    <x v="3"/>
    <x v="0"/>
    <d v="2023-06-27T00:00:00"/>
    <x v="77"/>
    <n v="5600"/>
    <n v="305480"/>
    <n v="54.55"/>
    <n v="3600"/>
    <n v="308529.53000000003"/>
    <n v="85.702647222222225"/>
    <n v="3049.5300000000279"/>
    <n v="9.9827484614378285E-3"/>
    <n v="-69637.570754703906"/>
    <x v="1"/>
    <x v="7"/>
    <x v="0"/>
  </r>
  <r>
    <x v="1"/>
    <x v="1"/>
    <x v="6"/>
    <x v="0"/>
    <d v="2023-07-11T00:00:00"/>
    <x v="53"/>
    <n v="325000"/>
    <n v="3841547.93"/>
    <n v="11.820147476923077"/>
    <n v="325000"/>
    <n v="3745369.26"/>
    <n v="11.524213107692306"/>
    <n v="-8947.4838287613329"/>
    <n v="-2.3889457107258184E-3"/>
    <n v="-78585.054583465244"/>
    <x v="1"/>
    <x v="8"/>
    <x v="0"/>
  </r>
  <r>
    <x v="1"/>
    <x v="1"/>
    <x v="4"/>
    <x v="0"/>
    <d v="2023-07-11T00:00:00"/>
    <x v="14"/>
    <n v="3"/>
    <n v="219607.11"/>
    <n v="73.202370000000002"/>
    <n v="3"/>
    <n v="224992.89"/>
    <n v="74.997630000000001"/>
    <n v="5341.7800000000279"/>
    <n v="2.4324257989643543E-2"/>
    <n v="-73243.274583465216"/>
    <x v="1"/>
    <x v="8"/>
    <x v="0"/>
  </r>
  <r>
    <x v="1"/>
    <x v="0"/>
    <x v="3"/>
    <x v="0"/>
    <d v="2023-07-11T00:00:00"/>
    <x v="78"/>
    <n v="4500"/>
    <n v="90022.5"/>
    <n v="20.004999999999999"/>
    <n v="4500"/>
    <n v="98976.06"/>
    <n v="21.994679999999999"/>
    <n v="8953.5599999999977"/>
    <n v="9.9459135216195954E-2"/>
    <n v="-64289.714583465218"/>
    <x v="1"/>
    <x v="8"/>
    <x v="0"/>
  </r>
  <r>
    <x v="1"/>
    <x v="1"/>
    <x v="6"/>
    <x v="0"/>
    <d v="2023-07-12T00:00:00"/>
    <x v="79"/>
    <n v="1950000"/>
    <n v="14122699.51"/>
    <n v="7.242410005128205"/>
    <n v="1950000"/>
    <n v="13993281.559999999"/>
    <n v="7.1760418256410246"/>
    <n v="-18034.726266166992"/>
    <n v="-9.2485775723933281E-3"/>
    <n v="-82324.440849632214"/>
    <x v="1"/>
    <x v="8"/>
    <x v="0"/>
  </r>
  <r>
    <x v="1"/>
    <x v="1"/>
    <x v="6"/>
    <x v="0"/>
    <d v="2023-07-12T00:00:00"/>
    <x v="80"/>
    <n v="875000"/>
    <n v="10280454.58"/>
    <n v="11.749090948571428"/>
    <n v="875000"/>
    <n v="10107352.51"/>
    <n v="11.551260011428571"/>
    <n v="-16632.139184110645"/>
    <n v="-1.645548541782347E-3"/>
    <n v="-98956.580033742852"/>
    <x v="1"/>
    <x v="8"/>
    <x v="0"/>
  </r>
  <r>
    <x v="1"/>
    <x v="1"/>
    <x v="6"/>
    <x v="0"/>
    <d v="2023-07-12T00:00:00"/>
    <x v="54"/>
    <n v="350000"/>
    <n v="3750573.0700000003"/>
    <n v="10.715923057142858"/>
    <n v="350000"/>
    <n v="3581268.7"/>
    <n v="10.232196285714286"/>
    <n v="-16546.239465360428"/>
    <n v="-4.7274969901029799E-2"/>
    <n v="-115502.81949910328"/>
    <x v="1"/>
    <x v="8"/>
    <x v="0"/>
  </r>
  <r>
    <x v="1"/>
    <x v="1"/>
    <x v="6"/>
    <x v="0"/>
    <d v="2023-07-12T00:00:00"/>
    <x v="81"/>
    <n v="2600000"/>
    <n v="366257164.62"/>
    <n v="140.86814023846154"/>
    <n v="1200000"/>
    <n v="364397922.27000004"/>
    <n v="303.66493522500002"/>
    <n v="-6122.6771165474265"/>
    <n v="-1.6802173509680002E-5"/>
    <n v="-121625.4966156507"/>
    <x v="1"/>
    <x v="8"/>
    <x v="0"/>
  </r>
  <r>
    <x v="1"/>
    <x v="1"/>
    <x v="3"/>
    <x v="1"/>
    <d v="2023-07-12T00:00:00"/>
    <x v="82"/>
    <n v="8000"/>
    <n v="231956.98"/>
    <n v="28.994622500000002"/>
    <n v="8000"/>
    <n v="232039"/>
    <n v="29.004874999999998"/>
    <n v="-82.019999999989523"/>
    <n v="-3.5360005118178188E-4"/>
    <n v="-121707.51661565069"/>
    <x v="1"/>
    <x v="8"/>
    <x v="0"/>
  </r>
  <r>
    <x v="0"/>
    <x v="4"/>
    <x v="5"/>
    <x v="0"/>
    <d v="2023-07-12T00:00:00"/>
    <x v="83"/>
    <n v="90"/>
    <n v="8162.01"/>
    <n v="0.90689000000000008"/>
    <n v="90"/>
    <n v="7439.64"/>
    <n v="0.82662666666666662"/>
    <n v="-722.36999999999989"/>
    <n v="-8.850393469255749E-2"/>
    <n v="-122429.88661565068"/>
    <x v="1"/>
    <x v="8"/>
    <x v="0"/>
  </r>
  <r>
    <x v="1"/>
    <x v="4"/>
    <x v="3"/>
    <x v="1"/>
    <d v="2023-07-12T00:00:00"/>
    <x v="84"/>
    <n v="5405"/>
    <n v="157526.68"/>
    <n v="29.144621646623495"/>
    <n v="5405"/>
    <n v="168131.66"/>
    <n v="31.106690101757632"/>
    <n v="-10604.98000000001"/>
    <n v="-6.7321802249625334E-2"/>
    <n v="-133034.86661565071"/>
    <x v="1"/>
    <x v="8"/>
    <x v="0"/>
  </r>
  <r>
    <x v="1"/>
    <x v="4"/>
    <x v="3"/>
    <x v="0"/>
    <d v="2023-07-12T00:00:00"/>
    <x v="85"/>
    <n v="7500"/>
    <n v="381907.25"/>
    <n v="50.920966666666665"/>
    <n v="7500"/>
    <n v="382468.33"/>
    <n v="50.995777333333336"/>
    <n v="561.0800000000163"/>
    <n v="1.4691525232894533E-3"/>
    <n v="-132473.78661565069"/>
    <x v="1"/>
    <x v="8"/>
    <x v="0"/>
  </r>
  <r>
    <x v="1"/>
    <x v="3"/>
    <x v="6"/>
    <x v="0"/>
    <d v="2023-07-12T00:00:00"/>
    <x v="86"/>
    <n v="1975000"/>
    <n v="21069646.649999999"/>
    <n v="10.668175518987342"/>
    <n v="1975000"/>
    <n v="20734949.171100002"/>
    <n v="10.498708441063291"/>
    <n v="-31879.871774598891"/>
    <n v="-1.6141707227645009E-2"/>
    <n v="-164353.65839024959"/>
    <x v="1"/>
    <x v="8"/>
    <x v="0"/>
  </r>
  <r>
    <x v="1"/>
    <x v="3"/>
    <x v="6"/>
    <x v="1"/>
    <d v="2023-07-13T00:00:00"/>
    <x v="87"/>
    <n v="1500000"/>
    <n v="944981.1"/>
    <n v="0.62998739999999998"/>
    <n v="1500000"/>
    <n v="960124.2"/>
    <n v="0.64008279999999995"/>
    <n v="-15143.099999999977"/>
    <n v="-1.0095399999999985E-2"/>
    <n v="-179496.75839024957"/>
    <x v="1"/>
    <x v="8"/>
    <x v="0"/>
  </r>
  <r>
    <x v="1"/>
    <x v="3"/>
    <x v="6"/>
    <x v="0"/>
    <d v="2023-07-13T00:00:00"/>
    <x v="88"/>
    <n v="1250000"/>
    <n v="1669968.27"/>
    <n v="1.3359746160000001"/>
    <n v="1250000"/>
    <n v="1653591.61"/>
    <n v="1.322873288"/>
    <n v="-13479.45012969333"/>
    <n v="-1.0783560103754664E-2"/>
    <n v="-192976.20851994288"/>
    <x v="1"/>
    <x v="8"/>
    <x v="0"/>
  </r>
  <r>
    <x v="1"/>
    <x v="3"/>
    <x v="3"/>
    <x v="0"/>
    <d v="2023-07-14T00:00:00"/>
    <x v="89"/>
    <n v="1200"/>
    <n v="270221.39999999997"/>
    <n v="225.18449999999996"/>
    <n v="1200"/>
    <n v="341095.84"/>
    <n v="284.24653333333333"/>
    <n v="70874.440000000061"/>
    <n v="0.26228285398565793"/>
    <n v="-122101.76851994282"/>
    <x v="1"/>
    <x v="8"/>
    <x v="0"/>
  </r>
  <r>
    <x v="1"/>
    <x v="4"/>
    <x v="3"/>
    <x v="1"/>
    <d v="2023-07-15T00:00:00"/>
    <x v="90"/>
    <n v="13000"/>
    <n v="170231.75"/>
    <n v="13.094749999999999"/>
    <n v="13000"/>
    <n v="180220.7"/>
    <n v="13.86313076923077"/>
    <n v="-9988.9500000000116"/>
    <n v="-5.8678536759447127E-2"/>
    <n v="-132090.71851994283"/>
    <x v="1"/>
    <x v="8"/>
    <x v="0"/>
  </r>
  <r>
    <x v="1"/>
    <x v="4"/>
    <x v="3"/>
    <x v="0"/>
    <d v="2023-07-15T00:00:00"/>
    <x v="91"/>
    <n v="3500"/>
    <n v="318517.5"/>
    <n v="91.004999999999995"/>
    <n v="3500"/>
    <n v="337484.29000000004"/>
    <n v="96.424082857142864"/>
    <n v="18966.790000000037"/>
    <n v="5.9547089249413425E-2"/>
    <n v="-113123.9285199428"/>
    <x v="1"/>
    <x v="8"/>
    <x v="0"/>
  </r>
  <r>
    <x v="1"/>
    <x v="3"/>
    <x v="4"/>
    <x v="0"/>
    <d v="2023-07-15T00:00:00"/>
    <x v="56"/>
    <n v="10"/>
    <n v="1005872.2"/>
    <n v="100.58722"/>
    <n v="10"/>
    <n v="998427.8"/>
    <n v="99.842780000000005"/>
    <n v="-7488.3999999999069"/>
    <n v="-7.4446833305462732E-3"/>
    <n v="-120612.3285199427"/>
    <x v="1"/>
    <x v="8"/>
    <x v="0"/>
  </r>
  <r>
    <x v="1"/>
    <x v="4"/>
    <x v="3"/>
    <x v="1"/>
    <d v="2023-07-16T00:00:00"/>
    <x v="92"/>
    <n v="1111"/>
    <n v="222200.64"/>
    <n v="200.00057605760577"/>
    <n v="1111"/>
    <n v="232223.74"/>
    <n v="209.02226822682266"/>
    <n v="-10023.099999999977"/>
    <n v="-4.5108330921098901E-2"/>
    <n v="-130635.42851994268"/>
    <x v="1"/>
    <x v="8"/>
    <x v="0"/>
  </r>
  <r>
    <x v="1"/>
    <x v="1"/>
    <x v="3"/>
    <x v="0"/>
    <d v="2023-07-17T00:00:00"/>
    <x v="1"/>
    <n v="205"/>
    <n v="55348.5"/>
    <n v="269.99268292682927"/>
    <n v="205"/>
    <n v="59364.92"/>
    <n v="289.5849756097561"/>
    <n v="-4016.4199999999983"/>
    <n v="-7.2566013532435372E-2"/>
    <n v="-134651.84851994267"/>
    <x v="1"/>
    <x v="8"/>
    <x v="0"/>
  </r>
  <r>
    <x v="1"/>
    <x v="4"/>
    <x v="3"/>
    <x v="0"/>
    <d v="2023-07-17T00:00:00"/>
    <x v="93"/>
    <n v="1200"/>
    <n v="578973.60000000009"/>
    <n v="482.47800000000007"/>
    <n v="1200"/>
    <n v="650388.63"/>
    <n v="541.99052500000005"/>
    <n v="71415.029999999912"/>
    <n v="0.12334764486670889"/>
    <n v="-63236.818519942753"/>
    <x v="1"/>
    <x v="8"/>
    <x v="0"/>
  </r>
  <r>
    <x v="1"/>
    <x v="4"/>
    <x v="6"/>
    <x v="1"/>
    <d v="2023-07-20T00:00:00"/>
    <x v="94"/>
    <n v="2700000"/>
    <n v="2433337.42"/>
    <n v="0.90123608148148149"/>
    <n v="2700000"/>
    <n v="2361302.12"/>
    <n v="0.87455634074074073"/>
    <n v="82367.820853012876"/>
    <n v="3.4882372804125913E-2"/>
    <n v="19131.002333070122"/>
    <x v="1"/>
    <x v="8"/>
    <x v="0"/>
  </r>
  <r>
    <x v="0"/>
    <x v="4"/>
    <x v="5"/>
    <x v="0"/>
    <d v="2023-07-21T00:00:00"/>
    <x v="76"/>
    <n v="40"/>
    <n v="7993.56"/>
    <n v="1.9983899999999999"/>
    <n v="40"/>
    <n v="12355.78"/>
    <n v="3.0889449999999998"/>
    <n v="4362.22"/>
    <n v="0.54571680202563067"/>
    <n v="23493.222333070124"/>
    <x v="1"/>
    <x v="8"/>
    <x v="0"/>
  </r>
  <r>
    <x v="1"/>
    <x v="4"/>
    <x v="3"/>
    <x v="0"/>
    <d v="2023-07-24T00:00:00"/>
    <x v="95"/>
    <n v="6000"/>
    <n v="446225"/>
    <n v="74.370833333333337"/>
    <n v="6000"/>
    <n v="461317.1"/>
    <n v="76.886183333333335"/>
    <n v="15092.099999999977"/>
    <n v="3.3821726707378534E-2"/>
    <n v="38585.3223330701"/>
    <x v="1"/>
    <x v="8"/>
    <x v="0"/>
  </r>
  <r>
    <x v="1"/>
    <x v="3"/>
    <x v="4"/>
    <x v="1"/>
    <d v="2023-07-24T00:00:00"/>
    <x v="14"/>
    <n v="6"/>
    <n v="456585.78"/>
    <n v="76.097630000000009"/>
    <n v="6"/>
    <n v="466514.22"/>
    <n v="77.752369999999999"/>
    <n v="-9972.4399999999441"/>
    <m/>
    <n v="28612.882333070156"/>
    <x v="1"/>
    <x v="8"/>
    <x v="0"/>
  </r>
  <r>
    <x v="1"/>
    <x v="5"/>
    <x v="3"/>
    <x v="0"/>
    <d v="2023-04-27T00:00:00"/>
    <x v="96"/>
    <n v="5555"/>
    <n v="459740.33"/>
    <n v="82.761535553555362"/>
    <n v="5555"/>
    <n v="523936.23"/>
    <n v="94.317953195319532"/>
    <n v="64195.899999999965"/>
    <n v="0.13963512837779526"/>
    <n v="92808.782333070121"/>
    <x v="1"/>
    <x v="1"/>
    <x v="0"/>
  </r>
  <r>
    <x v="1"/>
    <x v="4"/>
    <x v="6"/>
    <x v="0"/>
    <d v="2023-07-25T00:00:00"/>
    <x v="97"/>
    <n v="750000"/>
    <n v="13163664.51"/>
    <n v="17.55155268"/>
    <n v="750000"/>
    <n v="13163664.51"/>
    <n v="17.55155268"/>
    <n v="-5815"/>
    <n v="-4.41746293031286E-4"/>
    <n v="86993.782333070121"/>
    <x v="1"/>
    <x v="8"/>
    <x v="0"/>
  </r>
  <r>
    <x v="1"/>
    <x v="4"/>
    <x v="3"/>
    <x v="1"/>
    <d v="2023-07-26T00:00:00"/>
    <x v="98"/>
    <n v="1000"/>
    <n v="219993.1"/>
    <n v="219.9931"/>
    <n v="1000"/>
    <n v="230104.4"/>
    <n v="230.1044"/>
    <n v="-10111.299999999988"/>
    <n v="-4.5961896077649708E-2"/>
    <n v="76882.482333070133"/>
    <x v="1"/>
    <x v="8"/>
    <x v="0"/>
  </r>
  <r>
    <x v="1"/>
    <x v="3"/>
    <x v="4"/>
    <x v="1"/>
    <d v="2023-07-26T00:00:00"/>
    <x v="99"/>
    <n v="8"/>
    <n v="274296.24"/>
    <n v="3428.703"/>
    <n v="8"/>
    <n v="284503.76"/>
    <n v="3556.297"/>
    <n v="-10251.520000000019"/>
    <n v="-3.7373899109955061E-2"/>
    <n v="66630.962333070114"/>
    <x v="1"/>
    <x v="8"/>
    <x v="0"/>
  </r>
  <r>
    <x v="1"/>
    <x v="1"/>
    <x v="4"/>
    <x v="0"/>
    <d v="2023-07-27T00:00:00"/>
    <x v="100"/>
    <n v="125"/>
    <n v="475767.25"/>
    <n v="3.8061379999999998"/>
    <n v="125"/>
    <n v="499928.75"/>
    <n v="3.9994299999999998"/>
    <n v="24117.5"/>
    <n v="5.0691803607751482E-2"/>
    <n v="90748.462333070114"/>
    <x v="1"/>
    <x v="8"/>
    <x v="0"/>
  </r>
  <r>
    <x v="1"/>
    <x v="4"/>
    <x v="4"/>
    <x v="1"/>
    <d v="2023-07-27T00:00:00"/>
    <x v="5"/>
    <n v="6"/>
    <n v="1373086.8"/>
    <n v="4576.9560000000001"/>
    <n v="6"/>
    <n v="1388088.8"/>
    <n v="4626.9626666666672"/>
    <n v="-15046"/>
    <n v="-1.0957792326020467E-2"/>
    <n v="75702.462333070114"/>
    <x v="1"/>
    <x v="8"/>
    <x v="0"/>
  </r>
  <r>
    <x v="1"/>
    <x v="3"/>
    <x v="4"/>
    <x v="0"/>
    <d v="2023-08-03T00:00:00"/>
    <x v="50"/>
    <n v="2"/>
    <n v="331906.03999999998"/>
    <n v="33190.603999999999"/>
    <n v="2"/>
    <n v="317643.96000000002"/>
    <n v="31764.396000000001"/>
    <n v="-14306.079999999958"/>
    <n v="-4.3102801021638409E-2"/>
    <n v="61396.382333070156"/>
    <x v="1"/>
    <x v="9"/>
    <x v="0"/>
  </r>
  <r>
    <x v="1"/>
    <x v="3"/>
    <x v="4"/>
    <x v="1"/>
    <d v="2023-08-07T00:00:00"/>
    <x v="99"/>
    <n v="8"/>
    <n v="280776.24"/>
    <n v="3509.703"/>
    <n v="8"/>
    <n v="289053.76"/>
    <n v="3613.172"/>
    <n v="-8321.5200000000186"/>
    <n v="-2.963755052777977E-2"/>
    <n v="53074.862333070138"/>
    <x v="1"/>
    <x v="9"/>
    <x v="0"/>
  </r>
  <r>
    <x v="1"/>
    <x v="3"/>
    <x v="4"/>
    <x v="1"/>
    <d v="2023-08-08T00:00:00"/>
    <x v="14"/>
    <n v="4"/>
    <n v="318990.52"/>
    <n v="79.747630000000001"/>
    <n v="4"/>
    <n v="335409.48"/>
    <n v="83.852369999999993"/>
    <n v="-16462.959999999963"/>
    <n v="-5.1609558804443345E-2"/>
    <n v="36611.902333070175"/>
    <x v="1"/>
    <x v="9"/>
    <x v="0"/>
  </r>
  <r>
    <x v="1"/>
    <x v="1"/>
    <x v="4"/>
    <x v="0"/>
    <d v="2023-08-09T00:00:00"/>
    <x v="101"/>
    <n v="50"/>
    <n v="223025"/>
    <n v="4460.5"/>
    <n v="50"/>
    <n v="210351"/>
    <n v="4207.0200000000004"/>
    <n v="-13774"/>
    <n v="-6.1759892388745657E-2"/>
    <n v="22837.902333070175"/>
    <x v="1"/>
    <x v="9"/>
    <x v="0"/>
  </r>
  <r>
    <x v="0"/>
    <x v="4"/>
    <x v="0"/>
    <x v="0"/>
    <d v="2023-08-18T00:00:00"/>
    <x v="0"/>
    <n v="45"/>
    <n v="8198.3799999999992"/>
    <n v="1.821862222222222"/>
    <n v="45"/>
    <n v="15092.63"/>
    <n v="3.3539177777777773"/>
    <n v="6894.25"/>
    <n v="0.84092832974319309"/>
    <n v="29732.152333070175"/>
    <x v="1"/>
    <x v="9"/>
    <x v="0"/>
  </r>
  <r>
    <x v="0"/>
    <x v="4"/>
    <x v="2"/>
    <x v="0"/>
    <d v="2023-08-18T00:00:00"/>
    <x v="102"/>
    <n v="85"/>
    <n v="14862.18"/>
    <n v="1.7484917647058824"/>
    <n v="85"/>
    <n v="0"/>
    <m/>
    <n v="-14862.18"/>
    <n v="-1"/>
    <n v="14869.972333070174"/>
    <x v="1"/>
    <x v="9"/>
    <x v="0"/>
  </r>
  <r>
    <x v="1"/>
    <x v="1"/>
    <x v="4"/>
    <x v="0"/>
    <d v="2023-08-30T00:00:00"/>
    <x v="100"/>
    <n v="175"/>
    <n v="694936.85"/>
    <n v="3.9710677142857138"/>
    <n v="175"/>
    <n v="719451.25"/>
    <n v="4.1111499999999994"/>
    <n v="24470.400000000023"/>
    <n v="3.5212408149028249E-2"/>
    <n v="39340.372333070198"/>
    <x v="1"/>
    <x v="9"/>
    <x v="0"/>
  </r>
  <r>
    <x v="0"/>
    <x v="4"/>
    <x v="0"/>
    <x v="0"/>
    <d v="2023-08-30T00:00:00"/>
    <x v="103"/>
    <n v="25"/>
    <n v="6274.9999999999991"/>
    <n v="2.5099999999999998"/>
    <n v="25"/>
    <n v="0"/>
    <m/>
    <n v="-6274.9999999999991"/>
    <n v="-1"/>
    <n v="33065.372333070198"/>
    <x v="1"/>
    <x v="9"/>
    <x v="0"/>
  </r>
  <r>
    <x v="1"/>
    <x v="1"/>
    <x v="4"/>
    <x v="0"/>
    <d v="2023-09-02T00:00:00"/>
    <x v="104"/>
    <n v="65"/>
    <n v="181270.05"/>
    <n v="27887.699999999997"/>
    <n v="65"/>
    <n v="166018.45000000001"/>
    <n v="25541.300000000003"/>
    <n v="-15251.599999999977"/>
    <n v="-8.4137451277803352E-2"/>
    <n v="17813.772333070221"/>
    <x v="1"/>
    <x v="10"/>
    <x v="0"/>
  </r>
  <r>
    <x v="1"/>
    <x v="2"/>
    <x v="4"/>
    <x v="0"/>
    <d v="2023-09-06T00:00:00"/>
    <x v="5"/>
    <n v="12"/>
    <n v="2688776.4"/>
    <n v="4481.2939999999999"/>
    <n v="12"/>
    <n v="2682723.6"/>
    <n v="4471.2060000000001"/>
    <n v="-6096.7999999998137"/>
    <n v="-2.2511354979163917E-3"/>
    <n v="11716.972333070407"/>
    <x v="1"/>
    <x v="10"/>
    <x v="0"/>
  </r>
  <r>
    <x v="1"/>
    <x v="1"/>
    <x v="3"/>
    <x v="0"/>
    <d v="2023-09-08T00:00:00"/>
    <x v="105"/>
    <n v="6900"/>
    <n v="90750.5"/>
    <n v="13.152246376811593"/>
    <n v="6900"/>
    <n v="81415"/>
    <n v="11.799275362318841"/>
    <n v="-9335.5"/>
    <n v="-0.10286995663935725"/>
    <n v="2381.4723330704073"/>
    <x v="1"/>
    <x v="10"/>
    <x v="0"/>
  </r>
  <r>
    <x v="1"/>
    <x v="1"/>
    <x v="3"/>
    <x v="0"/>
    <d v="2023-09-08T00:00:00"/>
    <x v="106"/>
    <n v="1730"/>
    <n v="196379.13"/>
    <n v="113.51394797687861"/>
    <n v="1730"/>
    <n v="195854.59"/>
    <n v="113.21074566473989"/>
    <n v="524.54000000000815"/>
    <n v="2.6710577646412333E-3"/>
    <n v="2906.0123330704155"/>
    <x v="1"/>
    <x v="10"/>
    <x v="0"/>
  </r>
  <r>
    <x v="1"/>
    <x v="4"/>
    <x v="4"/>
    <x v="0"/>
    <d v="2023-09-10T00:00:00"/>
    <x v="107"/>
    <n v="7"/>
    <n v="483458.29"/>
    <n v="1381.3093999999999"/>
    <n v="7"/>
    <n v="473529.5"/>
    <n v="1352.9414285714286"/>
    <n v="-9928.789999999979"/>
    <n v="-2.0500000000000001E-2"/>
    <n v="-7022.7776669295636"/>
    <x v="1"/>
    <x v="10"/>
    <x v="0"/>
  </r>
  <r>
    <x v="0"/>
    <x v="1"/>
    <x v="5"/>
    <x v="0"/>
    <d v="2023-09-13T00:00:00"/>
    <x v="108"/>
    <n v="200"/>
    <n v="8133"/>
    <n v="0.40665000000000001"/>
    <n v="200"/>
    <n v="17473"/>
    <n v="0.87364999999999993"/>
    <n v="9340"/>
    <n v="1.1484077216279354"/>
    <n v="2317.2223330704364"/>
    <x v="1"/>
    <x v="10"/>
    <x v="0"/>
  </r>
  <r>
    <x v="1"/>
    <x v="1"/>
    <x v="3"/>
    <x v="0"/>
    <d v="2023-09-13T00:00:00"/>
    <x v="109"/>
    <n v="9000"/>
    <n v="168554"/>
    <n v="18.728222222222222"/>
    <n v="9000"/>
    <n v="168489.31"/>
    <n v="18.721034444444445"/>
    <n v="-64.690000000002328"/>
    <n v="-3.8379391767616401E-4"/>
    <n v="2252.5323330704341"/>
    <x v="1"/>
    <x v="10"/>
    <x v="0"/>
  </r>
  <r>
    <x v="1"/>
    <x v="1"/>
    <x v="3"/>
    <x v="0"/>
    <d v="2023-09-13T00:00:00"/>
    <x v="16"/>
    <n v="600"/>
    <n v="269924.49"/>
    <n v="449.87414999999999"/>
    <n v="600"/>
    <n v="271076.99"/>
    <n v="451.79498333333333"/>
    <n v="1152.5"/>
    <n v="4.2697126148131615E-3"/>
    <n v="3405.0323330704341"/>
    <x v="1"/>
    <x v="10"/>
    <x v="0"/>
  </r>
  <r>
    <x v="1"/>
    <x v="1"/>
    <x v="3"/>
    <x v="0"/>
    <d v="2023-09-13T00:00:00"/>
    <x v="110"/>
    <n v="2250"/>
    <n v="109256.05"/>
    <n v="48.558244444444448"/>
    <n v="2250"/>
    <n v="110908.04"/>
    <n v="49.29246222222222"/>
    <n v="1651.9899999999907"/>
    <n v="1.5120352602899218E-2"/>
    <n v="5057.0223330704248"/>
    <x v="1"/>
    <x v="10"/>
    <x v="0"/>
  </r>
  <r>
    <x v="1"/>
    <x v="4"/>
    <x v="4"/>
    <x v="0"/>
    <d v="2023-09-13T00:00:00"/>
    <x v="107"/>
    <n v="5"/>
    <n v="342491.21"/>
    <n v="1369.9648400000001"/>
    <n v="5"/>
    <n v="338008.5"/>
    <n v="1352.0340000000001"/>
    <n v="-4482.710000000021"/>
    <n v="-1.3100000000000001E-2"/>
    <n v="574.31233307040384"/>
    <x v="1"/>
    <x v="10"/>
    <x v="0"/>
  </r>
  <r>
    <x v="1"/>
    <x v="1"/>
    <x v="3"/>
    <x v="0"/>
    <d v="2023-09-14T00:00:00"/>
    <x v="111"/>
    <n v="15000"/>
    <n v="153075"/>
    <n v="10.205"/>
    <n v="15000"/>
    <n v="152651.6"/>
    <n v="10.176773333333333"/>
    <n v="-423.39999999999418"/>
    <n v="-2.7659643965376622E-3"/>
    <n v="150.91233307040966"/>
    <x v="1"/>
    <x v="10"/>
    <x v="0"/>
  </r>
  <r>
    <x v="1"/>
    <x v="1"/>
    <x v="3"/>
    <x v="0"/>
    <d v="2023-09-14T00:00:00"/>
    <x v="112"/>
    <n v="1800"/>
    <n v="124210"/>
    <n v="69.00555555555556"/>
    <n v="1800"/>
    <n v="125310.82"/>
    <n v="69.617122222222221"/>
    <n v="1100.820000000007"/>
    <n v="8.8625714515738682E-3"/>
    <n v="1251.7323330704166"/>
    <x v="1"/>
    <x v="10"/>
    <x v="0"/>
  </r>
  <r>
    <x v="1"/>
    <x v="5"/>
    <x v="3"/>
    <x v="0"/>
    <d v="2023-08-29T00:00:00"/>
    <x v="110"/>
    <n v="1800"/>
    <n v="78840"/>
    <n v="43.8"/>
    <n v="1800"/>
    <n v="82832.67"/>
    <n v="46.018149999999999"/>
    <n v="3992.6699999999983"/>
    <n v="5.0642694063926921E-2"/>
    <n v="5244.4023330704149"/>
    <x v="1"/>
    <x v="9"/>
    <x v="0"/>
  </r>
  <r>
    <x v="1"/>
    <x v="5"/>
    <x v="3"/>
    <x v="0"/>
    <d v="2023-09-14T00:00:00"/>
    <x v="113"/>
    <n v="15000"/>
    <n v="233513.49"/>
    <n v="15.567565999999999"/>
    <n v="15000"/>
    <n v="227548.18"/>
    <n v="15.169878666666666"/>
    <n v="-5965.3099999999977"/>
    <n v="-2.5545890303810704E-2"/>
    <n v="-720.90766692958277"/>
    <x v="1"/>
    <x v="10"/>
    <x v="0"/>
  </r>
  <r>
    <x v="1"/>
    <x v="1"/>
    <x v="3"/>
    <x v="0"/>
    <d v="2023-09-19T00:00:00"/>
    <x v="114"/>
    <n v="2640"/>
    <n v="115569.57"/>
    <n v="43.776352272727273"/>
    <n v="2640"/>
    <n v="109536.17"/>
    <n v="41.490973484848482"/>
    <n v="-6033.4000000000087"/>
    <n v="-5.2205783927378194E-2"/>
    <n v="-6754.3076669295915"/>
    <x v="1"/>
    <x v="10"/>
    <x v="0"/>
  </r>
  <r>
    <x v="1"/>
    <x v="1"/>
    <x v="3"/>
    <x v="1"/>
    <d v="2023-09-19T00:00:00"/>
    <x v="115"/>
    <n v="2000"/>
    <n v="108013.45"/>
    <n v="54.006724999999996"/>
    <n v="2000"/>
    <n v="99610"/>
    <n v="49.805"/>
    <n v="8403.4499999999971"/>
    <n v="-7.7800033236601493E-2"/>
    <n v="1649.1423330704056"/>
    <x v="1"/>
    <x v="10"/>
    <x v="0"/>
  </r>
  <r>
    <x v="1"/>
    <x v="1"/>
    <x v="3"/>
    <x v="0"/>
    <d v="2023-09-20T00:00:00"/>
    <x v="116"/>
    <n v="2300"/>
    <n v="111550"/>
    <n v="48.5"/>
    <n v="2300"/>
    <n v="106411.72"/>
    <n v="46.265965217391305"/>
    <n v="-5138.2799999999988"/>
    <n v="-4.606257283729269E-2"/>
    <n v="-3489.1376669295933"/>
    <x v="1"/>
    <x v="10"/>
    <x v="0"/>
  </r>
  <r>
    <x v="1"/>
    <x v="1"/>
    <x v="3"/>
    <x v="0"/>
    <d v="2023-09-20T00:00:00"/>
    <x v="117"/>
    <n v="6750"/>
    <n v="135000"/>
    <n v="20"/>
    <n v="6750"/>
    <n v="132370.07"/>
    <n v="19.610380740740741"/>
    <n v="-2629.929999999993"/>
    <n v="-1.9480962962962912E-2"/>
    <n v="-6119.0676669295863"/>
    <x v="1"/>
    <x v="10"/>
    <x v="0"/>
  </r>
  <r>
    <x v="1"/>
    <x v="1"/>
    <x v="4"/>
    <x v="0"/>
    <d v="2023-09-20T00:00:00"/>
    <x v="50"/>
    <n v="4"/>
    <n v="658062.07999999996"/>
    <n v="32903.103999999999"/>
    <n v="4"/>
    <n v="657087.92000000004"/>
    <n v="32854.396000000001"/>
    <n v="-974.15999999991618"/>
    <n v="-1.4803466566557311E-3"/>
    <n v="-7093.2276669295024"/>
    <x v="1"/>
    <x v="10"/>
    <x v="0"/>
  </r>
  <r>
    <x v="1"/>
    <x v="4"/>
    <x v="6"/>
    <x v="1"/>
    <d v="2023-09-20T00:00:00"/>
    <x v="118"/>
    <n v="1950000"/>
    <n v="1906018.4799999997"/>
    <n v="0.97744537435897427"/>
    <n v="1950000"/>
    <n v="1873328.23"/>
    <n v="0.96068114358974355"/>
    <n v="36367.903124999742"/>
    <n v="1.9413524305348102E-2"/>
    <n v="29274.67545807024"/>
    <x v="1"/>
    <x v="10"/>
    <x v="0"/>
  </r>
  <r>
    <x v="1"/>
    <x v="2"/>
    <x v="4"/>
    <x v="0"/>
    <d v="2023-09-20T00:00:00"/>
    <x v="5"/>
    <n v="7"/>
    <n v="1568463.9"/>
    <n v="4481.3254285714283"/>
    <n v="7"/>
    <n v="1565761.1"/>
    <n v="4473.6031428571432"/>
    <n v="-2746.7999999998137"/>
    <n v="-1.7232146688232973E-3"/>
    <n v="26527.875458070426"/>
    <x v="1"/>
    <x v="10"/>
    <x v="0"/>
  </r>
  <r>
    <x v="1"/>
    <x v="5"/>
    <x v="3"/>
    <x v="0"/>
    <d v="2023-08-30T00:00:00"/>
    <x v="119"/>
    <n v="2500"/>
    <n v="49724.75"/>
    <n v="19.889900000000001"/>
    <n v="2500"/>
    <n v="52749.83"/>
    <n v="21.099931999999999"/>
    <n v="3025.0800000000017"/>
    <n v="6.0836504959803757E-2"/>
    <n v="29552.955458070428"/>
    <x v="1"/>
    <x v="9"/>
    <x v="0"/>
  </r>
  <r>
    <x v="1"/>
    <x v="5"/>
    <x v="3"/>
    <x v="0"/>
    <d v="2023-09-05T00:00:00"/>
    <x v="2"/>
    <n v="1600"/>
    <n v="217600"/>
    <n v="136"/>
    <n v="1600"/>
    <n v="210468.55"/>
    <n v="131.54284375"/>
    <n v="-7131.4500000000116"/>
    <n v="-3.2773207720588289E-2"/>
    <n v="22421.505458070416"/>
    <x v="1"/>
    <x v="10"/>
    <x v="0"/>
  </r>
  <r>
    <x v="1"/>
    <x v="5"/>
    <x v="3"/>
    <x v="0"/>
    <d v="2023-09-07T00:00:00"/>
    <x v="120"/>
    <n v="325"/>
    <n v="151450"/>
    <n v="466"/>
    <n v="325"/>
    <n v="142414.18"/>
    <n v="438.19747692307692"/>
    <n v="-9035.820000000007"/>
    <n v="-5.9662066688676178E-2"/>
    <n v="13385.685458070409"/>
    <x v="1"/>
    <x v="10"/>
    <x v="0"/>
  </r>
  <r>
    <x v="1"/>
    <x v="1"/>
    <x v="3"/>
    <x v="0"/>
    <d v="2023-09-21T00:00:00"/>
    <x v="1"/>
    <n v="350"/>
    <n v="96951.75"/>
    <n v="277.005"/>
    <n v="350"/>
    <n v="91263"/>
    <n v="260.75142857142856"/>
    <n v="-5688.75"/>
    <n v="5.8676094036466613E-2"/>
    <n v="7696.9354580704094"/>
    <x v="1"/>
    <x v="10"/>
    <x v="0"/>
  </r>
  <r>
    <x v="1"/>
    <x v="1"/>
    <x v="6"/>
    <x v="0"/>
    <d v="2023-09-21T00:00:00"/>
    <x v="121"/>
    <n v="1250000"/>
    <n v="721264.47"/>
    <n v="0.57701157599999997"/>
    <n v="1250000"/>
    <n v="724232.91"/>
    <n v="0.57938632800000001"/>
    <n v="3295"/>
    <n v="2.6359999999999999E-3"/>
    <n v="10991.935458070409"/>
    <x v="1"/>
    <x v="10"/>
    <x v="0"/>
  </r>
  <r>
    <x v="1"/>
    <x v="1"/>
    <x v="3"/>
    <x v="1"/>
    <d v="2023-09-25T00:00:00"/>
    <x v="122"/>
    <n v="4000"/>
    <n v="159778.14000000001"/>
    <n v="39.944535000000002"/>
    <n v="4000"/>
    <n v="158397.24"/>
    <n v="39.599309999999996"/>
    <n v="1380.9000000000233"/>
    <n v="8.6426090577848957E-3"/>
    <n v="12372.835458070433"/>
    <x v="1"/>
    <x v="10"/>
    <x v="0"/>
  </r>
  <r>
    <x v="1"/>
    <x v="1"/>
    <x v="3"/>
    <x v="0"/>
    <d v="2023-09-26T00:00:00"/>
    <x v="123"/>
    <n v="2250"/>
    <n v="239069.64"/>
    <n v="106.25317333333334"/>
    <n v="2250"/>
    <n v="239799.25"/>
    <n v="106.57744444444444"/>
    <n v="729.60999999998603"/>
    <n v="3.0518722494415418E-3"/>
    <n v="13102.445458070419"/>
    <x v="1"/>
    <x v="10"/>
    <x v="0"/>
  </r>
  <r>
    <x v="1"/>
    <x v="3"/>
    <x v="4"/>
    <x v="0"/>
    <d v="2023-09-27T00:00:00"/>
    <x v="100"/>
    <n v="260"/>
    <n v="1087099"/>
    <n v="4.1811499999999997"/>
    <n v="260"/>
    <n v="1170255"/>
    <n v="4.50098076923077"/>
    <n v="83156"/>
    <n v="7.6493493232907037E-2"/>
    <n v="96258.445458070419"/>
    <x v="1"/>
    <x v="10"/>
    <x v="0"/>
  </r>
  <r>
    <x v="1"/>
    <x v="1"/>
    <x v="3"/>
    <x v="1"/>
    <d v="2023-09-28T00:00:00"/>
    <x v="89"/>
    <n v="295"/>
    <n v="78998.850000000006"/>
    <n v="267.79271186440678"/>
    <n v="295"/>
    <n v="79551.570000000007"/>
    <n v="269.66633898305088"/>
    <n v="-552.72000000000116"/>
    <n v="6.9965575448251195E-3"/>
    <n v="95705.725458070418"/>
    <x v="1"/>
    <x v="10"/>
    <x v="0"/>
  </r>
  <r>
    <x v="1"/>
    <x v="3"/>
    <x v="4"/>
    <x v="0"/>
    <d v="2023-09-28T00:00:00"/>
    <x v="124"/>
    <n v="6"/>
    <n v="183272.22"/>
    <n v="27.272651785714285"/>
    <n v="6"/>
    <n v="174921.60000000001"/>
    <n v="26.03"/>
    <n v="-8350.6199999999953"/>
    <n v="-4.5564024924235627E-2"/>
    <n v="87355.105458070422"/>
    <x v="1"/>
    <x v="10"/>
    <x v="0"/>
  </r>
  <r>
    <x v="1"/>
    <x v="1"/>
    <x v="6"/>
    <x v="1"/>
    <d v="2023-09-29T00:00:00"/>
    <x v="125"/>
    <n v="1500000"/>
    <n v="2136802.31"/>
    <n v="1.4245348733333334"/>
    <n v="1500000"/>
    <n v="2149078.14"/>
    <n v="1.43271876"/>
    <n v="-9044.8315440000551"/>
    <n v="-6.0298876960000365E-3"/>
    <n v="78310.273914070363"/>
    <x v="1"/>
    <x v="10"/>
    <x v="0"/>
  </r>
  <r>
    <x v="1"/>
    <x v="1"/>
    <x v="3"/>
    <x v="0"/>
    <d v="2023-09-29T00:00:00"/>
    <x v="16"/>
    <n v="465"/>
    <n v="195720.83"/>
    <n v="420.90501075268816"/>
    <n v="465"/>
    <n v="202278.3"/>
    <n v="435.00709677419354"/>
    <n v="6557.4700000000012"/>
    <n v="3.3504200855882335E-2"/>
    <n v="84867.743914070365"/>
    <x v="1"/>
    <x v="10"/>
    <x v="0"/>
  </r>
  <r>
    <x v="1"/>
    <x v="1"/>
    <x v="3"/>
    <x v="0"/>
    <d v="2023-09-29T00:00:00"/>
    <x v="119"/>
    <n v="6000"/>
    <n v="119141.3"/>
    <n v="19.856883333333332"/>
    <n v="6000"/>
    <n v="134968.04999999999"/>
    <n v="22.494674999999997"/>
    <n v="15826.749999999985"/>
    <n v="0.13284016541702989"/>
    <n v="100694.49391407035"/>
    <x v="1"/>
    <x v="10"/>
    <x v="0"/>
  </r>
  <r>
    <x v="1"/>
    <x v="1"/>
    <x v="6"/>
    <x v="0"/>
    <d v="2023-09-29T00:00:00"/>
    <x v="67"/>
    <n v="2000000"/>
    <n v="1324126.57"/>
    <n v="0.662063285"/>
    <n v="2000000"/>
    <n v="1345645.49"/>
    <n v="0.67282274499999994"/>
    <n v="23502.533857579649"/>
    <n v="1.1751266928789823E-2"/>
    <n v="124197.02777165"/>
    <x v="1"/>
    <x v="10"/>
    <x v="0"/>
  </r>
  <r>
    <x v="0"/>
    <x v="4"/>
    <x v="5"/>
    <x v="0"/>
    <d v="2023-09-29T00:00:00"/>
    <x v="25"/>
    <n v="110"/>
    <n v="9875.91"/>
    <n v="0.89780999999999989"/>
    <n v="110"/>
    <n v="2558.85"/>
    <n v="0.23262272727272726"/>
    <n v="-7317.0599999999995"/>
    <n v="-0.74089982594009052"/>
    <n v="116879.96777165"/>
    <x v="1"/>
    <x v="10"/>
    <x v="0"/>
  </r>
  <r>
    <x v="1"/>
    <x v="3"/>
    <x v="4"/>
    <x v="1"/>
    <d v="2023-09-29T00:00:00"/>
    <x v="15"/>
    <n v="3"/>
    <n v="891278.4"/>
    <n v="14854.640000000001"/>
    <n v="3"/>
    <n v="894753.65"/>
    <n v="14912.560833333335"/>
    <n v="-3475.25"/>
    <n v="-3.8991744891382985E-3"/>
    <n v="113404.71777165"/>
    <x v="1"/>
    <x v="10"/>
    <x v="0"/>
  </r>
  <r>
    <x v="1"/>
    <x v="3"/>
    <x v="4"/>
    <x v="1"/>
    <d v="2023-09-29T00:00:00"/>
    <x v="11"/>
    <n v="9"/>
    <n v="836910.02"/>
    <n v="1859.8000444444444"/>
    <n v="9"/>
    <n v="811519.79999999993"/>
    <n v="1803.3773333333331"/>
    <n v="25390.220000000088"/>
    <n v="3.0338052351195518E-2"/>
    <n v="138794.93777165009"/>
    <x v="1"/>
    <x v="10"/>
    <x v="0"/>
  </r>
  <r>
    <x v="1"/>
    <x v="1"/>
    <x v="3"/>
    <x v="0"/>
    <d v="2023-09-30T00:00:00"/>
    <x v="117"/>
    <n v="5000"/>
    <n v="93775"/>
    <n v="18.754999999999999"/>
    <n v="5000"/>
    <n v="95750"/>
    <n v="19.149999999999999"/>
    <n v="1975"/>
    <n v="2.1061050386563585E-2"/>
    <n v="140769.93777165009"/>
    <x v="1"/>
    <x v="10"/>
    <x v="0"/>
  </r>
  <r>
    <x v="1"/>
    <x v="4"/>
    <x v="4"/>
    <x v="0"/>
    <d v="2023-10-01T00:00:00"/>
    <x v="126"/>
    <n v="3"/>
    <n v="310235.90999999997"/>
    <n v="2.4621897619047619"/>
    <n v="3"/>
    <n v="301762.89"/>
    <n v="2.3949435714285716"/>
    <n v="-8473.0199999999604"/>
    <n v="-2.7311538499846653E-2"/>
    <n v="132296.91777165013"/>
    <x v="1"/>
    <x v="3"/>
    <x v="0"/>
  </r>
  <r>
    <x v="1"/>
    <x v="1"/>
    <x v="6"/>
    <x v="0"/>
    <d v="2023-10-02T00:00:00"/>
    <x v="121"/>
    <n v="1000000"/>
    <n v="587400"/>
    <n v="0.58740000000000003"/>
    <n v="1000000"/>
    <n v="582788.31000000006"/>
    <n v="0.58278831000000009"/>
    <n v="-5402.8149999999996"/>
    <n v="-5.4028149999999992E-3"/>
    <n v="126894.10277165013"/>
    <x v="1"/>
    <x v="3"/>
    <x v="0"/>
  </r>
  <r>
    <x v="1"/>
    <x v="1"/>
    <x v="6"/>
    <x v="0"/>
    <d v="2023-10-02T00:00:00"/>
    <x v="127"/>
    <n v="335000"/>
    <n v="129675727.47"/>
    <n v="387.09172379104479"/>
    <n v="335000"/>
    <n v="129641085.31999999"/>
    <n v="386.98831438805968"/>
    <n v="-88"/>
    <n v="-6.7879715587681877E-7"/>
    <n v="126806.10277165013"/>
    <x v="1"/>
    <x v="3"/>
    <x v="0"/>
  </r>
  <r>
    <x v="1"/>
    <x v="1"/>
    <x v="6"/>
    <x v="0"/>
    <d v="2023-10-03T00:00:00"/>
    <x v="68"/>
    <n v="1200000"/>
    <n v="132415154.62"/>
    <n v="110.34596218333334"/>
    <n v="1200000"/>
    <n v="130760196.22"/>
    <n v="108.96683018333333"/>
    <n v="-11107.103355704738"/>
    <n v="-8.4942541207397543E-5"/>
    <n v="115698.99941594539"/>
    <x v="1"/>
    <x v="3"/>
    <x v="0"/>
  </r>
  <r>
    <x v="1"/>
    <x v="1"/>
    <x v="6"/>
    <x v="0"/>
    <d v="2023-10-03T00:00:00"/>
    <x v="87"/>
    <n v="1000000"/>
    <n v="599011.98"/>
    <n v="0.59901198"/>
    <n v="1000000"/>
    <n v="589878.19999999995"/>
    <n v="0.58987819999999991"/>
    <n v="-9133.7800000000279"/>
    <n v="-9.1337800000000271E-3"/>
    <n v="106565.21941594536"/>
    <x v="1"/>
    <x v="3"/>
    <x v="0"/>
  </r>
  <r>
    <x v="1"/>
    <x v="1"/>
    <x v="6"/>
    <x v="0"/>
    <d v="2023-10-03T00:00:00"/>
    <x v="128"/>
    <n v="1000000"/>
    <n v="89501791.459999993"/>
    <n v="89.501791459999993"/>
    <n v="1000000"/>
    <n v="88267242.370000005"/>
    <n v="88.267242370000005"/>
    <n v="-8285.5643624160311"/>
    <n v="-8.2855643624160299E-3"/>
    <n v="98279.655053529335"/>
    <x v="1"/>
    <x v="3"/>
    <x v="0"/>
  </r>
  <r>
    <x v="1"/>
    <x v="3"/>
    <x v="4"/>
    <x v="0"/>
    <d v="2023-10-03T00:00:00"/>
    <x v="124"/>
    <n v="12"/>
    <n v="357539.64"/>
    <n v="26.602651785714286"/>
    <n v="12"/>
    <n v="348364.79999999999"/>
    <n v="25.919999999999998"/>
    <n v="-9174.8400000000256"/>
    <n v="-2.5661042786752332E-2"/>
    <n v="89104.81505352931"/>
    <x v="1"/>
    <x v="3"/>
    <x v="0"/>
  </r>
  <r>
    <x v="1"/>
    <x v="5"/>
    <x v="3"/>
    <x v="0"/>
    <d v="2023-09-14T00:00:00"/>
    <x v="129"/>
    <n v="6500"/>
    <n v="103951.65"/>
    <n v="15.992561538461537"/>
    <n v="6500"/>
    <n v="103696.47"/>
    <n v="15.953303076923078"/>
    <n v="-255.17999999999302"/>
    <n v="-2.454795089832562E-3"/>
    <n v="88849.635053529317"/>
    <x v="1"/>
    <x v="10"/>
    <x v="0"/>
  </r>
  <r>
    <x v="0"/>
    <x v="0"/>
    <x v="2"/>
    <x v="0"/>
    <d v="2023-10-04T00:00:00"/>
    <x v="59"/>
    <n v="350"/>
    <n v="6195"/>
    <n v="0.17699999999999999"/>
    <n v="350"/>
    <n v="25950.480000000003"/>
    <n v="0.74144228571428583"/>
    <n v="19755.480000000003"/>
    <n v="3.1889394673123497"/>
    <n v="108605.11505352933"/>
    <x v="1"/>
    <x v="3"/>
    <x v="0"/>
  </r>
  <r>
    <x v="1"/>
    <x v="1"/>
    <x v="3"/>
    <x v="1"/>
    <d v="2023-10-04T00:00:00"/>
    <x v="130"/>
    <n v="3600"/>
    <n v="163240.17000000001"/>
    <n v="45.34449166666667"/>
    <n v="3600"/>
    <n v="162404"/>
    <n v="45.112222222222222"/>
    <n v="836.17000000001281"/>
    <n v="5.122329877505106E-3"/>
    <n v="109441.28505352934"/>
    <x v="1"/>
    <x v="3"/>
    <x v="0"/>
  </r>
  <r>
    <x v="1"/>
    <x v="1"/>
    <x v="3"/>
    <x v="1"/>
    <d v="2023-10-04T00:00:00"/>
    <x v="131"/>
    <n v="2200"/>
    <n v="161247.39000000001"/>
    <n v="73.294268181818182"/>
    <n v="2200"/>
    <n v="159079.51"/>
    <n v="72.308868181818184"/>
    <n v="2167.8800000000047"/>
    <n v="1.3444434666508428E-2"/>
    <n v="111609.16505352934"/>
    <x v="1"/>
    <x v="3"/>
    <x v="0"/>
  </r>
  <r>
    <x v="1"/>
    <x v="1"/>
    <x v="3"/>
    <x v="1"/>
    <d v="2023-10-04T00:00:00"/>
    <x v="132"/>
    <n v="4400"/>
    <n v="133111.14000000001"/>
    <n v="30.252531818181822"/>
    <n v="4400"/>
    <n v="126492.72"/>
    <n v="28.748345454545454"/>
    <n v="6618.4200000000128"/>
    <n v="4.9721007573070235E-2"/>
    <n v="118227.58505352936"/>
    <x v="1"/>
    <x v="3"/>
    <x v="0"/>
  </r>
  <r>
    <x v="1"/>
    <x v="3"/>
    <x v="4"/>
    <x v="0"/>
    <d v="2023-10-04T00:00:00"/>
    <x v="14"/>
    <n v="6"/>
    <n v="473624.22"/>
    <n v="157.87473999999997"/>
    <n v="6"/>
    <n v="520425.78"/>
    <n v="86.73763000000001"/>
    <n v="46801.560000000056"/>
    <n v="9.881580802603393E-2"/>
    <n v="165029.14505352941"/>
    <x v="1"/>
    <x v="3"/>
    <x v="0"/>
  </r>
  <r>
    <x v="1"/>
    <x v="1"/>
    <x v="4"/>
    <x v="0"/>
    <d v="2023-10-05T00:00:00"/>
    <x v="56"/>
    <n v="18"/>
    <n v="1890579.96"/>
    <n v="105.03222"/>
    <n v="18"/>
    <n v="1914320.04"/>
    <n v="106.35111333333333"/>
    <n v="23740.080000000075"/>
    <n v="1.2557035672799617E-2"/>
    <n v="188769.22505352949"/>
    <x v="1"/>
    <x v="3"/>
    <x v="0"/>
  </r>
  <r>
    <x v="0"/>
    <x v="0"/>
    <x v="2"/>
    <x v="0"/>
    <d v="2023-10-06T00:00:00"/>
    <x v="13"/>
    <n v="25"/>
    <n v="6007.01"/>
    <n v="2.4028040000000002"/>
    <n v="25"/>
    <n v="12473.33"/>
    <n v="4.9893320000000001"/>
    <n v="6466.32"/>
    <n v="1.0764623331740748"/>
    <n v="195235.54505352949"/>
    <x v="1"/>
    <x v="3"/>
    <x v="0"/>
  </r>
  <r>
    <x v="1"/>
    <x v="1"/>
    <x v="6"/>
    <x v="0"/>
    <d v="2023-10-06T00:00:00"/>
    <x v="133"/>
    <n v="900000"/>
    <n v="3969979.9800000004"/>
    <n v="4.4110888666666668"/>
    <n v="900000"/>
    <n v="3902142.41"/>
    <n v="4.3357137888888895"/>
    <n v="-15626"/>
    <n v="-4.0044668692652864E-3"/>
    <n v="179609.54505352949"/>
    <x v="1"/>
    <x v="3"/>
    <x v="0"/>
  </r>
  <r>
    <x v="1"/>
    <x v="2"/>
    <x v="4"/>
    <x v="1"/>
    <d v="2023-10-06T00:00:00"/>
    <x v="5"/>
    <n v="5"/>
    <n v="1087250"/>
    <n v="4349"/>
    <n v="5"/>
    <n v="1089272"/>
    <n v="4357.0879999999997"/>
    <n v="-2022"/>
    <n v="1.8597378707748305E-3"/>
    <n v="177587.54505352949"/>
    <x v="1"/>
    <x v="3"/>
    <x v="0"/>
  </r>
  <r>
    <x v="1"/>
    <x v="1"/>
    <x v="3"/>
    <x v="0"/>
    <d v="2023-10-10T00:00:00"/>
    <x v="109"/>
    <n v="9000"/>
    <n v="130427.72"/>
    <n v="14.49196888888889"/>
    <n v="9000"/>
    <n v="143952.54"/>
    <n v="15.994726666666667"/>
    <n v="13524.820000000007"/>
    <n v="0.10369590145407745"/>
    <n v="191112.3650535295"/>
    <x v="1"/>
    <x v="3"/>
    <x v="0"/>
  </r>
  <r>
    <x v="1"/>
    <x v="1"/>
    <x v="6"/>
    <x v="1"/>
    <d v="2023-10-12T00:00:00"/>
    <x v="134"/>
    <n v="8500000"/>
    <n v="69520660.920000002"/>
    <n v="8.1789012847058817"/>
    <n v="8500000"/>
    <n v="70445959.920000002"/>
    <n v="8.2877599905882349"/>
    <n v="-6195"/>
    <n v="-7.2882352941176472E-4"/>
    <n v="184917.3650535295"/>
    <x v="1"/>
    <x v="3"/>
    <x v="0"/>
  </r>
  <r>
    <x v="1"/>
    <x v="1"/>
    <x v="6"/>
    <x v="0"/>
    <d v="2023-10-12T00:00:00"/>
    <x v="88"/>
    <n v="1340000"/>
    <n v="1815180.8599999999"/>
    <n v="1.354612582089552"/>
    <n v="1340000"/>
    <n v="1828572.6600000001"/>
    <n v="1.3646064626865673"/>
    <n v="3311.4"/>
    <n v="1.8109206554581211E-3"/>
    <n v="188228.7650535295"/>
    <x v="1"/>
    <x v="3"/>
    <x v="0"/>
  </r>
  <r>
    <x v="1"/>
    <x v="1"/>
    <x v="3"/>
    <x v="0"/>
    <d v="2023-10-12T00:00:00"/>
    <x v="135"/>
    <n v="4000"/>
    <n v="73420"/>
    <n v="18.355"/>
    <n v="4000"/>
    <n v="82699.75"/>
    <n v="20.674937499999999"/>
    <n v="9279.75"/>
    <n v="0.12639267229637702"/>
    <n v="197508.5150535295"/>
    <x v="1"/>
    <x v="3"/>
    <x v="0"/>
  </r>
  <r>
    <x v="1"/>
    <x v="1"/>
    <x v="3"/>
    <x v="0"/>
    <d v="2023-10-12T00:00:00"/>
    <x v="136"/>
    <n v="3333"/>
    <n v="127337.26"/>
    <n v="38.204998499849985"/>
    <n v="3333"/>
    <n v="140663.76"/>
    <n v="42.203348334833485"/>
    <n v="13326.500000000015"/>
    <n v="0.10465514963962641"/>
    <n v="210835.01505352953"/>
    <x v="1"/>
    <x v="3"/>
    <x v="0"/>
  </r>
  <r>
    <x v="1"/>
    <x v="1"/>
    <x v="3"/>
    <x v="0"/>
    <d v="2023-10-16T00:00:00"/>
    <x v="137"/>
    <n v="1500"/>
    <n v="270007.5"/>
    <n v="180.005"/>
    <n v="1500"/>
    <n v="278922.81"/>
    <n v="185.94854000000001"/>
    <n v="8915.3099999999977"/>
    <n v="3.3018749479181125E-2"/>
    <n v="219750.32505352952"/>
    <x v="1"/>
    <x v="3"/>
    <x v="0"/>
  </r>
  <r>
    <x v="1"/>
    <x v="0"/>
    <x v="4"/>
    <x v="0"/>
    <d v="2023-10-18T00:00:00"/>
    <x v="138"/>
    <n v="2"/>
    <n v="366806"/>
    <n v="1834.03"/>
    <n v="2"/>
    <n v="388195.16"/>
    <n v="1940.9757999999999"/>
    <n v="21389.159999999974"/>
    <n v="5.8311914199876705E-2"/>
    <n v="241139.4850535295"/>
    <x v="1"/>
    <x v="3"/>
    <x v="0"/>
  </r>
  <r>
    <x v="1"/>
    <x v="1"/>
    <x v="3"/>
    <x v="0"/>
    <d v="2023-10-18T00:00:00"/>
    <x v="139"/>
    <n v="3000"/>
    <n v="116115"/>
    <n v="38.704999999999998"/>
    <n v="3000"/>
    <n v="113922.64"/>
    <n v="37.974213333333331"/>
    <n v="-2192.3600000000006"/>
    <n v="-1.8880937002109983E-2"/>
    <n v="238947.12505352951"/>
    <x v="1"/>
    <x v="3"/>
    <x v="0"/>
  </r>
  <r>
    <x v="0"/>
    <x v="4"/>
    <x v="2"/>
    <x v="0"/>
    <d v="2023-10-19T00:00:00"/>
    <x v="140"/>
    <n v="160"/>
    <n v="11431.4"/>
    <n v="0.71446249999999989"/>
    <n v="160"/>
    <n v="0"/>
    <n v="0"/>
    <n v="-11431.4"/>
    <n v="-1"/>
    <n v="227515.72505352952"/>
    <x v="1"/>
    <x v="3"/>
    <x v="0"/>
  </r>
  <r>
    <x v="1"/>
    <x v="5"/>
    <x v="3"/>
    <x v="0"/>
    <d v="2023-10-12T00:00:00"/>
    <x v="141"/>
    <n v="8200"/>
    <n v="204179.89"/>
    <n v="24.899986585365856"/>
    <n v="8200"/>
    <n v="194516.94"/>
    <n v="23.721578048780486"/>
    <n v="-9662.9500000000116"/>
    <n v="-4.7325669535819667E-2"/>
    <n v="217852.77505352951"/>
    <x v="1"/>
    <x v="3"/>
    <x v="0"/>
  </r>
  <r>
    <x v="0"/>
    <x v="1"/>
    <x v="5"/>
    <x v="0"/>
    <d v="2023-10-20T00:00:00"/>
    <x v="108"/>
    <n v="200"/>
    <n v="8734"/>
    <n v="0.43670000000000003"/>
    <n v="200"/>
    <n v="0"/>
    <m/>
    <n v="-8734"/>
    <n v="-1"/>
    <n v="209118.77505352951"/>
    <x v="1"/>
    <x v="3"/>
    <x v="0"/>
  </r>
  <r>
    <x v="1"/>
    <x v="1"/>
    <x v="4"/>
    <x v="0"/>
    <d v="2023-10-20T00:00:00"/>
    <x v="49"/>
    <n v="5"/>
    <n v="172011.85"/>
    <n v="3.4402370000000002"/>
    <n v="5"/>
    <n v="163038.15"/>
    <n v="0"/>
    <n v="-8973.7000000000116"/>
    <n v="-5.2169080211625023E-2"/>
    <n v="200145.07505352949"/>
    <x v="1"/>
    <x v="3"/>
    <x v="0"/>
  </r>
  <r>
    <x v="1"/>
    <x v="1"/>
    <x v="3"/>
    <x v="1"/>
    <d v="2023-10-20T00:00:00"/>
    <x v="115"/>
    <n v="2500"/>
    <n v="110250"/>
    <n v="44.1"/>
    <n v="2500"/>
    <n v="110838.97"/>
    <n v="44.335588000000001"/>
    <n v="-588.97000000000116"/>
    <n v="-5.3421315192743873E-3"/>
    <n v="199556.10505352949"/>
    <x v="1"/>
    <x v="3"/>
    <x v="0"/>
  </r>
  <r>
    <x v="1"/>
    <x v="1"/>
    <x v="3"/>
    <x v="0"/>
    <d v="2023-10-20T00:00:00"/>
    <x v="142"/>
    <n v="10000"/>
    <n v="674050"/>
    <n v="67.405000000000001"/>
    <n v="10000"/>
    <n v="676750"/>
    <n v="67.674999999999997"/>
    <n v="2700"/>
    <n v="4.0056375639789333E-3"/>
    <n v="202256.10505352949"/>
    <x v="1"/>
    <x v="3"/>
    <x v="0"/>
  </r>
  <r>
    <x v="1"/>
    <x v="1"/>
    <x v="6"/>
    <x v="0"/>
    <d v="2023-10-20T00:00:00"/>
    <x v="143"/>
    <n v="1000000"/>
    <n v="23113664.699999999"/>
    <n v="23.113664699999998"/>
    <n v="1000000"/>
    <n v="23222138.140000001"/>
    <n v="23.222138140000002"/>
    <n v="4671.1219848079554"/>
    <n v="2.0114952191942973E-4"/>
    <n v="206927.22703833744"/>
    <x v="1"/>
    <x v="3"/>
    <x v="0"/>
  </r>
  <r>
    <x v="1"/>
    <x v="1"/>
    <x v="3"/>
    <x v="1"/>
    <d v="2023-10-20T00:00:00"/>
    <x v="132"/>
    <n v="6000"/>
    <n v="170033.21"/>
    <n v="28.33886833333333"/>
    <n v="6000"/>
    <n v="164851.65"/>
    <n v="27.475275"/>
    <n v="5181.5599999999977"/>
    <n v="3.0473811557165789E-2"/>
    <n v="212108.78703833744"/>
    <x v="1"/>
    <x v="3"/>
    <x v="0"/>
  </r>
  <r>
    <x v="1"/>
    <x v="1"/>
    <x v="4"/>
    <x v="1"/>
    <d v="2023-10-20T00:00:00"/>
    <x v="15"/>
    <n v="1"/>
    <n v="301850"/>
    <n v="15092.5"/>
    <n v="1"/>
    <n v="295340"/>
    <n v="0"/>
    <n v="6510"/>
    <n v="2.1567003478548948E-2"/>
    <n v="218618.78703833744"/>
    <x v="1"/>
    <x v="3"/>
    <x v="0"/>
  </r>
  <r>
    <x v="1"/>
    <x v="1"/>
    <x v="4"/>
    <x v="0"/>
    <d v="2023-10-24T00:00:00"/>
    <x v="56"/>
    <n v="12"/>
    <n v="1271906.6399999999"/>
    <n v="105.99221999999999"/>
    <n v="12"/>
    <n v="1263480"/>
    <n v="105.29"/>
    <n v="-8426.6399999998976"/>
    <n v="-6.6252032460494886E-3"/>
    <n v="210192.14703833754"/>
    <x v="1"/>
    <x v="3"/>
    <x v="0"/>
  </r>
  <r>
    <x v="1"/>
    <x v="1"/>
    <x v="3"/>
    <x v="0"/>
    <d v="2023-10-25T00:00:00"/>
    <x v="18"/>
    <n v="135"/>
    <n v="55438.75"/>
    <n v="410.65740740740739"/>
    <n v="135"/>
    <n v="55583.09"/>
    <n v="411.72659259259257"/>
    <n v="144.33999999999651"/>
    <n v="2.603594056503736E-3"/>
    <n v="210336.48703833754"/>
    <x v="1"/>
    <x v="3"/>
    <x v="0"/>
  </r>
  <r>
    <x v="1"/>
    <x v="1"/>
    <x v="3"/>
    <x v="0"/>
    <d v="2023-10-25T00:00:00"/>
    <x v="144"/>
    <n v="6500"/>
    <n v="116707.5"/>
    <n v="17.954999999999998"/>
    <n v="6500"/>
    <n v="119190.6"/>
    <n v="18.337015384615384"/>
    <n v="2483.1000000000058"/>
    <n v="2.1276267592057117E-2"/>
    <n v="212819.58703833754"/>
    <x v="1"/>
    <x v="3"/>
    <x v="0"/>
  </r>
  <r>
    <x v="1"/>
    <x v="1"/>
    <x v="4"/>
    <x v="0"/>
    <d v="2023-10-26T00:00:00"/>
    <x v="14"/>
    <n v="4"/>
    <n v="341249.48"/>
    <n v="85.312370000000001"/>
    <n v="4"/>
    <n v="333640"/>
    <n v="83.41"/>
    <n v="-7609.4799999999814"/>
    <n v="-2.2298876470082774E-2"/>
    <n v="205210.10703833756"/>
    <x v="1"/>
    <x v="3"/>
    <x v="0"/>
  </r>
  <r>
    <x v="1"/>
    <x v="1"/>
    <x v="3"/>
    <x v="0"/>
    <d v="2023-10-26T00:00:00"/>
    <x v="142"/>
    <n v="11000"/>
    <n v="744048"/>
    <n v="67.640727272727275"/>
    <n v="11000"/>
    <n v="743270"/>
    <n v="67.569999999999993"/>
    <n v="-778"/>
    <n v="-1.04563146463669E-3"/>
    <n v="204432.10703833756"/>
    <x v="1"/>
    <x v="3"/>
    <x v="0"/>
  </r>
  <r>
    <x v="1"/>
    <x v="1"/>
    <x v="3"/>
    <x v="1"/>
    <d v="2023-10-26T00:00:00"/>
    <x v="145"/>
    <n v="800"/>
    <n v="134649.56"/>
    <n v="168.31195"/>
    <n v="800"/>
    <n v="128868.38"/>
    <n v="161.085475"/>
    <n v="5781.179999999993"/>
    <n v="4.2935008476819331E-2"/>
    <n v="210213.28703833756"/>
    <x v="1"/>
    <x v="3"/>
    <x v="0"/>
  </r>
  <r>
    <x v="1"/>
    <x v="4"/>
    <x v="6"/>
    <x v="0"/>
    <d v="2023-10-26T00:00:00"/>
    <x v="97"/>
    <n v="625000"/>
    <n v="11870187.5"/>
    <n v="18.9923"/>
    <n v="625000"/>
    <n v="11829718.75"/>
    <n v="18.92755"/>
    <n v="-2163"/>
    <n v="-3.4608E-3"/>
    <n v="208050.28703833756"/>
    <x v="1"/>
    <x v="3"/>
    <x v="0"/>
  </r>
  <r>
    <x v="1"/>
    <x v="3"/>
    <x v="4"/>
    <x v="0"/>
    <d v="2023-10-26T00:00:00"/>
    <x v="100"/>
    <n v="200"/>
    <n v="904192.8"/>
    <n v="4.5209640000000002"/>
    <n v="200"/>
    <n v="979503.2"/>
    <n v="4.8975159999999995"/>
    <n v="75310.399999999907"/>
    <n v="8.3290200939445544E-2"/>
    <n v="283360.68703833746"/>
    <x v="1"/>
    <x v="3"/>
    <x v="0"/>
  </r>
  <r>
    <x v="1"/>
    <x v="1"/>
    <x v="6"/>
    <x v="0"/>
    <d v="2023-10-27T00:00:00"/>
    <x v="88"/>
    <n v="1300000"/>
    <n v="1774535.46"/>
    <n v="1.3650272769230769"/>
    <n v="1300000"/>
    <n v="1780967.37"/>
    <n v="1.3699749000000001"/>
    <n v="4721"/>
    <n v="3.6315384615384617E-3"/>
    <n v="288081.68703833746"/>
    <x v="1"/>
    <x v="3"/>
    <x v="0"/>
  </r>
  <r>
    <x v="1"/>
    <x v="3"/>
    <x v="4"/>
    <x v="0"/>
    <d v="2023-10-30T00:00:00"/>
    <x v="124"/>
    <n v="12"/>
    <n v="363251.54"/>
    <n v="27.027644345238091"/>
    <n v="12"/>
    <n v="359753.16"/>
    <n v="26.767348214285711"/>
    <n v="-3498.3800000000047"/>
    <n v="-9.6307368717556026E-3"/>
    <n v="284583.30703833746"/>
    <x v="1"/>
    <x v="3"/>
    <x v="0"/>
  </r>
  <r>
    <x v="1"/>
    <x v="3"/>
    <x v="4"/>
    <x v="0"/>
    <d v="2023-11-01T00:00:00"/>
    <x v="100"/>
    <n v="160"/>
    <n v="777325"/>
    <n v="9.7330000000000005"/>
    <n v="160"/>
    <n v="764241"/>
    <n v="4.7765062499999997"/>
    <n v="-13084"/>
    <n v="-1.6832084391985334E-2"/>
    <n v="271499.30703833746"/>
    <x v="1"/>
    <x v="11"/>
    <x v="0"/>
  </r>
  <r>
    <x v="1"/>
    <x v="1"/>
    <x v="3"/>
    <x v="1"/>
    <d v="2023-11-02T00:00:00"/>
    <x v="115"/>
    <n v="3000"/>
    <n v="124775"/>
    <n v="41.591666666666669"/>
    <n v="3000"/>
    <n v="120765"/>
    <n v="40.255000000000003"/>
    <n v="4010"/>
    <n v="3.2137848126627927E-2"/>
    <n v="275509.30703833746"/>
    <x v="1"/>
    <x v="11"/>
    <x v="0"/>
  </r>
  <r>
    <x v="1"/>
    <x v="1"/>
    <x v="6"/>
    <x v="0"/>
    <d v="2023-11-02T00:00:00"/>
    <x v="146"/>
    <n v="2000000"/>
    <n v="2710150.73"/>
    <n v="1.355075365"/>
    <n v="2000000"/>
    <n v="2747185.23"/>
    <n v="1.373592615"/>
    <n v="26938"/>
    <n v="1.3468999999999998E-2"/>
    <n v="302447.30703833746"/>
    <x v="1"/>
    <x v="11"/>
    <x v="0"/>
  </r>
  <r>
    <x v="1"/>
    <x v="1"/>
    <x v="6"/>
    <x v="0"/>
    <d v="2023-11-03T00:00:00"/>
    <x v="147"/>
    <n v="450000"/>
    <n v="7969532.8600000003"/>
    <n v="17.710073022222222"/>
    <n v="450000"/>
    <n v="7805140.04"/>
    <n v="17.344755644444444"/>
    <n v="-9468"/>
    <n v="-2.104E-2"/>
    <n v="292979.30703833746"/>
    <x v="1"/>
    <x v="11"/>
    <x v="0"/>
  </r>
  <r>
    <x v="1"/>
    <x v="5"/>
    <x v="3"/>
    <x v="0"/>
    <d v="2023-10-09T00:00:00"/>
    <x v="148"/>
    <n v="742"/>
    <n v="189395.5"/>
    <n v="255.25"/>
    <n v="742"/>
    <n v="174344.64"/>
    <n v="234.9658221024259"/>
    <n v="-15050.859999999986"/>
    <n v="-7.9467885984619416E-2"/>
    <n v="277928.44703833747"/>
    <x v="1"/>
    <x v="3"/>
    <x v="0"/>
  </r>
  <r>
    <x v="1"/>
    <x v="1"/>
    <x v="3"/>
    <x v="0"/>
    <d v="2023-11-08T00:00:00"/>
    <x v="137"/>
    <n v="980"/>
    <n v="173121.9"/>
    <n v="176.655"/>
    <n v="980"/>
    <n v="188847.77000000002"/>
    <n v="192.701806122449"/>
    <n v="15725.870000000024"/>
    <n v="9.0836976719872092E-2"/>
    <n v="293654.31703833747"/>
    <x v="1"/>
    <x v="11"/>
    <x v="0"/>
  </r>
  <r>
    <x v="1"/>
    <x v="1"/>
    <x v="4"/>
    <x v="1"/>
    <d v="2023-11-09T00:00:00"/>
    <x v="50"/>
    <n v="2"/>
    <n v="321893.96000000002"/>
    <n v="32189.396000000001"/>
    <n v="2"/>
    <n v="328481.03999999998"/>
    <n v="0"/>
    <n v="-6587.0799999999581"/>
    <n v="-2.0463509163079537E-2"/>
    <n v="287067.23703833751"/>
    <x v="1"/>
    <x v="11"/>
    <x v="0"/>
  </r>
  <r>
    <x v="1"/>
    <x v="1"/>
    <x v="3"/>
    <x v="0"/>
    <d v="2023-11-09T00:00:00"/>
    <x v="110"/>
    <n v="1900"/>
    <n v="63659.5"/>
    <n v="33.505000000000003"/>
    <n v="1900"/>
    <n v="58722.65"/>
    <n v="30.906657894736842"/>
    <n v="-4936.8499999999985"/>
    <n v="-7.755087614574413E-2"/>
    <n v="282130.38703833753"/>
    <x v="1"/>
    <x v="11"/>
    <x v="0"/>
  </r>
  <r>
    <x v="1"/>
    <x v="3"/>
    <x v="6"/>
    <x v="0"/>
    <d v="2023-11-09T00:00:00"/>
    <x v="97"/>
    <n v="670000"/>
    <n v="12352060.130000001"/>
    <n v="18.435910641791047"/>
    <n v="670000"/>
    <n v="12313439.91"/>
    <n v="18.378268522388058"/>
    <n v="-2088"/>
    <n v="-3.1164179104477613E-3"/>
    <n v="280042.38703833753"/>
    <x v="1"/>
    <x v="11"/>
    <x v="0"/>
  </r>
  <r>
    <x v="1"/>
    <x v="4"/>
    <x v="6"/>
    <x v="0"/>
    <d v="2023-11-14T00:00:00"/>
    <x v="149"/>
    <n v="750000"/>
    <n v="9005075.6099999994"/>
    <n v="12.006767479999999"/>
    <n v="750000"/>
    <n v="9275812.0899999999"/>
    <n v="12.367749453333333"/>
    <n v="24443"/>
    <n v="3.2590666666666671E-2"/>
    <n v="304485.38703833753"/>
    <x v="1"/>
    <x v="11"/>
    <x v="0"/>
  </r>
  <r>
    <x v="0"/>
    <x v="0"/>
    <x v="1"/>
    <x v="0"/>
    <d v="2023-11-15T00:00:00"/>
    <x v="150"/>
    <n v="6"/>
    <n v="9567.16"/>
    <n v="15.945266666666667"/>
    <n v="6"/>
    <n v="9674.31"/>
    <n v="16.123850000000001"/>
    <n v="107.14999999999964"/>
    <n v="1.1199770882895277E-2"/>
    <n v="304592.53703833756"/>
    <x v="1"/>
    <x v="11"/>
    <x v="0"/>
  </r>
  <r>
    <x v="1"/>
    <x v="1"/>
    <x v="6"/>
    <x v="1"/>
    <d v="2023-11-15T00:00:00"/>
    <x v="23"/>
    <n v="600000"/>
    <n v="735675.29"/>
    <n v="1.2261254833333335"/>
    <n v="600000"/>
    <n v="745809.33"/>
    <n v="1.24301555"/>
    <n v="-10134"/>
    <n v="-1.6890000000000002E-2"/>
    <n v="294458.53703833756"/>
    <x v="1"/>
    <x v="11"/>
    <x v="0"/>
  </r>
  <r>
    <x v="1"/>
    <x v="1"/>
    <x v="6"/>
    <x v="0"/>
    <d v="2023-11-15T00:00:00"/>
    <x v="53"/>
    <n v="750000"/>
    <n v="8913964.3100000005"/>
    <n v="11.885285746666668"/>
    <n v="750000"/>
    <n v="8825114.1600000001"/>
    <n v="11.766818880000001"/>
    <n v="-8274"/>
    <n v="-1.1032E-2"/>
    <n v="286184.53703833756"/>
    <x v="1"/>
    <x v="11"/>
    <x v="0"/>
  </r>
  <r>
    <x v="1"/>
    <x v="1"/>
    <x v="3"/>
    <x v="0"/>
    <d v="2023-11-16T00:00:00"/>
    <x v="112"/>
    <n v="3600"/>
    <n v="259212"/>
    <n v="72.00333333333333"/>
    <n v="3600"/>
    <n v="260157.37"/>
    <n v="72.265936111111117"/>
    <n v="945.36999999999534"/>
    <n v="3.6470919556193205E-3"/>
    <n v="287129.90703833755"/>
    <x v="1"/>
    <x v="11"/>
    <x v="0"/>
  </r>
  <r>
    <x v="1"/>
    <x v="3"/>
    <x v="4"/>
    <x v="0"/>
    <d v="2023-11-16T00:00:00"/>
    <x v="14"/>
    <n v="7"/>
    <n v="542476.59"/>
    <n v="154.90974"/>
    <n v="7"/>
    <n v="529950"/>
    <n v="0"/>
    <n v="-12526.589999999967"/>
    <n v="-2.3091484924722683E-2"/>
    <n v="274603.31703833758"/>
    <x v="1"/>
    <x v="11"/>
    <x v="0"/>
  </r>
  <r>
    <x v="1"/>
    <x v="1"/>
    <x v="6"/>
    <x v="0"/>
    <d v="2023-11-17T00:00:00"/>
    <x v="81"/>
    <n v="2500000"/>
    <n v="368877342.65999997"/>
    <n v="147.55093706399998"/>
    <n v="2500000"/>
    <n v="374944992.81999999"/>
    <n v="149.977997128"/>
    <n v="40456.935525159322"/>
    <n v="1.0790098894474769E-4"/>
    <n v="315060.25256349694"/>
    <x v="1"/>
    <x v="11"/>
    <x v="0"/>
  </r>
  <r>
    <x v="1"/>
    <x v="3"/>
    <x v="4"/>
    <x v="1"/>
    <d v="2023-11-17T00:00:00"/>
    <x v="138"/>
    <n v="3"/>
    <n v="589192.74"/>
    <n v="1963.9757999999999"/>
    <n v="3"/>
    <n v="598507.26"/>
    <n v="0"/>
    <n v="-9314.5200000000186"/>
    <n v="-1.58089524321023E-2"/>
    <n v="305745.73256349692"/>
    <x v="1"/>
    <x v="11"/>
    <x v="0"/>
  </r>
  <r>
    <x v="0"/>
    <x v="0"/>
    <x v="2"/>
    <x v="0"/>
    <d v="2023-11-20T00:00:00"/>
    <x v="7"/>
    <n v="30"/>
    <n v="5420.38"/>
    <n v="1.8067933333333335"/>
    <n v="30"/>
    <n v="9784.32"/>
    <n v="3.2614399999999999"/>
    <n v="4363.9399999999996"/>
    <n v="0.80509853552702926"/>
    <n v="310109.67256349692"/>
    <x v="1"/>
    <x v="11"/>
    <x v="0"/>
  </r>
  <r>
    <x v="0"/>
    <x v="1"/>
    <x v="5"/>
    <x v="0"/>
    <d v="2023-11-20T00:00:00"/>
    <x v="119"/>
    <n v="20"/>
    <n v="2910.5"/>
    <n v="1.4552500000000002"/>
    <n v="0"/>
    <n v="0"/>
    <m/>
    <n v="-2910.5"/>
    <n v="-1"/>
    <n v="307199.17256349692"/>
    <x v="1"/>
    <x v="11"/>
    <x v="0"/>
  </r>
  <r>
    <x v="1"/>
    <x v="1"/>
    <x v="3"/>
    <x v="0"/>
    <d v="2023-11-20T00:00:00"/>
    <x v="16"/>
    <n v="950"/>
    <n v="432067.84000000003"/>
    <n v="454.80825263157897"/>
    <n v="950"/>
    <n v="466333.89"/>
    <n v="490.87777894736843"/>
    <n v="34266.049999999988"/>
    <n v="7.9307106032237867E-2"/>
    <n v="341465.22256349691"/>
    <x v="1"/>
    <x v="11"/>
    <x v="0"/>
  </r>
  <r>
    <x v="1"/>
    <x v="1"/>
    <x v="3"/>
    <x v="0"/>
    <d v="2023-11-21T00:00:00"/>
    <x v="136"/>
    <n v="3500"/>
    <n v="148004.74"/>
    <n v="42.28706857142857"/>
    <n v="3500"/>
    <n v="155267.64000000001"/>
    <n v="44.362182857142862"/>
    <n v="7262.9000000000233"/>
    <n v="4.9072077015911951E-2"/>
    <n v="348728.12256349693"/>
    <x v="1"/>
    <x v="11"/>
    <x v="0"/>
  </r>
  <r>
    <x v="1"/>
    <x v="1"/>
    <x v="3"/>
    <x v="0"/>
    <d v="2023-11-24T00:00:00"/>
    <x v="151"/>
    <n v="15000"/>
    <n v="293144.83"/>
    <n v="19.542988666666666"/>
    <n v="15000"/>
    <n v="288516.14"/>
    <n v="19.234409333333335"/>
    <n v="-4628.6900000000023"/>
    <n v="-1.5789771902168639E-2"/>
    <n v="344099.43256349693"/>
    <x v="1"/>
    <x v="11"/>
    <x v="0"/>
  </r>
  <r>
    <x v="1"/>
    <x v="1"/>
    <x v="4"/>
    <x v="0"/>
    <d v="2023-11-24T00:00:00"/>
    <x v="56"/>
    <n v="10"/>
    <n v="1035500"/>
    <n v="103.55"/>
    <n v="10"/>
    <n v="1032927.8"/>
    <n v="0"/>
    <n v="-2572.1999999999534"/>
    <n v="-2.4840173829067634E-3"/>
    <n v="341527.23256349697"/>
    <x v="1"/>
    <x v="11"/>
    <x v="0"/>
  </r>
  <r>
    <x v="1"/>
    <x v="1"/>
    <x v="3"/>
    <x v="0"/>
    <d v="2023-11-24T00:00:00"/>
    <x v="116"/>
    <n v="1700"/>
    <n v="44616.05"/>
    <n v="26.24473529411765"/>
    <n v="1700"/>
    <n v="42231.92"/>
    <n v="24.842305882352939"/>
    <n v="-2384.1300000000047"/>
    <n v="-5.3436599609333515E-2"/>
    <n v="339143.10256349697"/>
    <x v="1"/>
    <x v="11"/>
    <x v="0"/>
  </r>
  <r>
    <x v="0"/>
    <x v="4"/>
    <x v="2"/>
    <x v="0"/>
    <d v="2023-11-24T00:00:00"/>
    <x v="0"/>
    <n v="20"/>
    <n v="6435.78"/>
    <n v="3.2178899999999997"/>
    <n v="20"/>
    <n v="0"/>
    <m/>
    <n v="-6435.78"/>
    <n v="-1"/>
    <n v="332707.32256349694"/>
    <x v="1"/>
    <x v="11"/>
    <x v="0"/>
  </r>
  <r>
    <x v="1"/>
    <x v="1"/>
    <x v="3"/>
    <x v="0"/>
    <d v="2023-11-27T00:00:00"/>
    <x v="119"/>
    <n v="4200"/>
    <n v="99050"/>
    <n v="23.583333333333332"/>
    <n v="4200"/>
    <n v="123131.4"/>
    <n v="29.317"/>
    <n v="24081.399999999994"/>
    <n v="0.24312367491166073"/>
    <n v="356788.72256349691"/>
    <x v="1"/>
    <x v="11"/>
    <x v="0"/>
  </r>
  <r>
    <x v="1"/>
    <x v="1"/>
    <x v="3"/>
    <x v="0"/>
    <d v="2023-11-28T00:00:00"/>
    <x v="152"/>
    <n v="990"/>
    <n v="127912.95"/>
    <n v="129.20499999999998"/>
    <n v="990"/>
    <n v="128035.09"/>
    <n v="129.32837373737374"/>
    <n v="122.13999999999942"/>
    <n v="9.548681349308215E-4"/>
    <n v="356910.86256349692"/>
    <x v="1"/>
    <x v="11"/>
    <x v="0"/>
  </r>
  <r>
    <x v="1"/>
    <x v="1"/>
    <x v="3"/>
    <x v="0"/>
    <d v="2023-11-28T00:00:00"/>
    <x v="132"/>
    <n v="6500"/>
    <n v="228091.5"/>
    <n v="35.091000000000001"/>
    <n v="6500"/>
    <n v="249427.75"/>
    <n v="38.3735"/>
    <n v="21336.25"/>
    <n v="9.3542503775896957E-2"/>
    <n v="378247.11256349692"/>
    <x v="1"/>
    <x v="11"/>
    <x v="0"/>
  </r>
  <r>
    <x v="1"/>
    <x v="5"/>
    <x v="3"/>
    <x v="0"/>
    <d v="2023-10-03T00:00:00"/>
    <x v="153"/>
    <n v="1500"/>
    <n v="56800"/>
    <n v="37.866666666666667"/>
    <n v="1500"/>
    <n v="67870.210000000006"/>
    <n v="45.246806666666672"/>
    <n v="11070.210000000006"/>
    <n v="0.19489806338028182"/>
    <n v="389317.32256349694"/>
    <x v="1"/>
    <x v="3"/>
    <x v="0"/>
  </r>
  <r>
    <x v="1"/>
    <x v="1"/>
    <x v="3"/>
    <x v="0"/>
    <d v="2023-11-29T00:00:00"/>
    <x v="154"/>
    <n v="600"/>
    <n v="62750.57"/>
    <n v="104.58428333333333"/>
    <n v="600"/>
    <n v="69358.36"/>
    <n v="115.59726666666667"/>
    <n v="6607.7900000000009"/>
    <n v="0.10530246976242608"/>
    <n v="395925.11256349692"/>
    <x v="1"/>
    <x v="11"/>
    <x v="0"/>
  </r>
  <r>
    <x v="1"/>
    <x v="1"/>
    <x v="3"/>
    <x v="0"/>
    <d v="2023-11-30T00:00:00"/>
    <x v="155"/>
    <n v="500"/>
    <n v="164562.32"/>
    <n v="329.12464"/>
    <n v="500"/>
    <n v="165124.35999999999"/>
    <n v="330.24871999999999"/>
    <n v="562.03999999997905"/>
    <n v="3.4153626419460969E-3"/>
    <n v="396487.1525634969"/>
    <x v="1"/>
    <x v="11"/>
    <x v="0"/>
  </r>
  <r>
    <x v="1"/>
    <x v="1"/>
    <x v="3"/>
    <x v="0"/>
    <d v="2023-11-30T00:00:00"/>
    <x v="1"/>
    <n v="680"/>
    <n v="161166.79999999999"/>
    <n v="237.01"/>
    <n v="680"/>
    <n v="163226.79999999999"/>
    <n v="240.03941176470587"/>
    <n v="2060"/>
    <n v="1.2781788805138528E-2"/>
    <n v="398547.1525634969"/>
    <x v="1"/>
    <x v="11"/>
    <x v="0"/>
  </r>
  <r>
    <x v="1"/>
    <x v="1"/>
    <x v="4"/>
    <x v="0"/>
    <d v="2023-12-01T00:00:00"/>
    <x v="11"/>
    <n v="6"/>
    <n v="540853.19999999995"/>
    <n v="1802.8439999999998"/>
    <n v="6"/>
    <n v="557836.80000000005"/>
    <n v="1859.4560000000001"/>
    <n v="16983.600000000093"/>
    <n v="3.1401496746252207E-2"/>
    <n v="415530.75256349699"/>
    <x v="1"/>
    <x v="4"/>
    <x v="0"/>
  </r>
  <r>
    <x v="1"/>
    <x v="1"/>
    <x v="3"/>
    <x v="1"/>
    <d v="2023-12-04T00:00:00"/>
    <x v="114"/>
    <n v="2600"/>
    <n v="96605.61"/>
    <n v="37.156003846153844"/>
    <n v="2600"/>
    <n v="98111"/>
    <n v="37.734999999999999"/>
    <n v="-1505.3899999999994"/>
    <n v="-1.558284244569233E-2"/>
    <n v="414025.36256349698"/>
    <x v="1"/>
    <x v="4"/>
    <x v="0"/>
  </r>
  <r>
    <x v="1"/>
    <x v="1"/>
    <x v="3"/>
    <x v="0"/>
    <d v="2023-12-04T00:00:00"/>
    <x v="1"/>
    <n v="100"/>
    <n v="23888.5"/>
    <n v="238.88499999999999"/>
    <n v="100"/>
    <n v="23603"/>
    <n v="236.03"/>
    <n v="-285.5"/>
    <n v="-1.1951357347677752E-2"/>
    <n v="413739.86256349698"/>
    <x v="1"/>
    <x v="4"/>
    <x v="0"/>
  </r>
  <r>
    <x v="1"/>
    <x v="1"/>
    <x v="3"/>
    <x v="1"/>
    <d v="2023-12-05T00:00:00"/>
    <x v="156"/>
    <n v="10000"/>
    <n v="137450.18"/>
    <n v="13.745018"/>
    <n v="10000"/>
    <n v="145050"/>
    <n v="14.505000000000001"/>
    <n v="-7599.820000000007"/>
    <n v="-5.5291451782747809E-2"/>
    <n v="406140.04256349697"/>
    <x v="1"/>
    <x v="4"/>
    <x v="0"/>
  </r>
  <r>
    <x v="1"/>
    <x v="1"/>
    <x v="3"/>
    <x v="0"/>
    <d v="2023-12-05T00:00:00"/>
    <x v="157"/>
    <n v="3900"/>
    <n v="127959"/>
    <n v="32.81"/>
    <n v="3900"/>
    <n v="120721.86"/>
    <n v="30.954323076923078"/>
    <n v="-7237.1399999999994"/>
    <n v="-5.655827257168311E-2"/>
    <n v="398902.90256349696"/>
    <x v="1"/>
    <x v="4"/>
    <x v="0"/>
  </r>
  <r>
    <x v="1"/>
    <x v="1"/>
    <x v="3"/>
    <x v="0"/>
    <d v="2023-12-05T00:00:00"/>
    <x v="158"/>
    <n v="1560"/>
    <n v="147864.95999999999"/>
    <n v="94.785230769230765"/>
    <n v="1560"/>
    <n v="149231.34"/>
    <n v="95.661115384615385"/>
    <n v="1366.3800000000047"/>
    <n v="9.2407288379884236E-3"/>
    <n v="400269.28256349696"/>
    <x v="1"/>
    <x v="4"/>
    <x v="0"/>
  </r>
  <r>
    <x v="1"/>
    <x v="0"/>
    <x v="3"/>
    <x v="0"/>
    <d v="2023-12-06T00:00:00"/>
    <x v="16"/>
    <n v="450"/>
    <n v="207423.95"/>
    <n v="460.94211111111116"/>
    <n v="450"/>
    <n v="204912.55"/>
    <n v="455.36122222222218"/>
    <n v="-2511.4000000000233"/>
    <n v="-1.2107570027472831E-2"/>
    <n v="397757.88256349694"/>
    <x v="1"/>
    <x v="4"/>
    <x v="0"/>
  </r>
  <r>
    <x v="1"/>
    <x v="1"/>
    <x v="3"/>
    <x v="0"/>
    <d v="2023-12-07T00:00:00"/>
    <x v="159"/>
    <n v="5000"/>
    <n v="122876.73999999999"/>
    <n v="24.575347999999998"/>
    <n v="5000"/>
    <n v="115424.35"/>
    <n v="23.084870000000002"/>
    <n v="-7452.3899999999849"/>
    <n v="-6.0649314101269169E-2"/>
    <n v="390305.49256349693"/>
    <x v="1"/>
    <x v="4"/>
    <x v="0"/>
  </r>
  <r>
    <x v="1"/>
    <x v="1"/>
    <x v="3"/>
    <x v="0"/>
    <d v="2023-12-08T00:00:00"/>
    <x v="160"/>
    <n v="4000"/>
    <n v="137577.45000000001"/>
    <n v="34.3943625"/>
    <n v="4000"/>
    <n v="129708.36"/>
    <n v="32.42709"/>
    <n v="-7869.0900000000111"/>
    <n v="-5.719752764715446E-2"/>
    <n v="382436.4025634969"/>
    <x v="1"/>
    <x v="4"/>
    <x v="0"/>
  </r>
  <r>
    <x v="0"/>
    <x v="1"/>
    <x v="5"/>
    <x v="0"/>
    <d v="2023-12-13T00:00:00"/>
    <x v="14"/>
    <n v="270"/>
    <n v="78064.740000000005"/>
    <n v="4.5047700000000006"/>
    <n v="220"/>
    <n v="71447.86"/>
    <n v="3.2476299999999996"/>
    <n v="-6616.8800000000047"/>
    <n v="-0.27906863169484808"/>
    <n v="375819.5225634969"/>
    <x v="1"/>
    <x v="4"/>
    <x v="0"/>
  </r>
  <r>
    <x v="0"/>
    <x v="1"/>
    <x v="2"/>
    <x v="0"/>
    <d v="2023-12-13T00:00:00"/>
    <x v="138"/>
    <n v="4"/>
    <n v="7369.48"/>
    <n v="18.4237"/>
    <n v="4"/>
    <n v="12490.52"/>
    <n v="31.226300000000002"/>
    <n v="5121.0400000000009"/>
    <n v="0.69489841888437187"/>
    <n v="380940.56256349687"/>
    <x v="1"/>
    <x v="4"/>
    <x v="0"/>
  </r>
  <r>
    <x v="1"/>
    <x v="3"/>
    <x v="6"/>
    <x v="0"/>
    <d v="2023-12-13T00:00:00"/>
    <x v="97"/>
    <n v="270000"/>
    <n v="5124513.5999999996"/>
    <n v="18.979679999999998"/>
    <n v="270000"/>
    <n v="5075478.17"/>
    <n v="18.798067296296296"/>
    <n v="-2608"/>
    <n v="-9.6592592592592598E-3"/>
    <n v="378332.56256349687"/>
    <x v="1"/>
    <x v="4"/>
    <x v="0"/>
  </r>
  <r>
    <x v="1"/>
    <x v="1"/>
    <x v="3"/>
    <x v="0"/>
    <d v="2023-12-14T00:00:00"/>
    <x v="161"/>
    <n v="4800"/>
    <n v="166416"/>
    <n v="34.67"/>
    <n v="4800"/>
    <n v="182373.84"/>
    <n v="37.994549999999997"/>
    <n v="15957.839999999997"/>
    <n v="9.5891260455725394E-2"/>
    <n v="394290.40256349684"/>
    <x v="1"/>
    <x v="4"/>
    <x v="0"/>
  </r>
  <r>
    <x v="1"/>
    <x v="1"/>
    <x v="3"/>
    <x v="0"/>
    <d v="2023-12-14T00:00:00"/>
    <x v="110"/>
    <n v="3900"/>
    <n v="155451.78"/>
    <n v="39.859430769230769"/>
    <n v="3900"/>
    <n v="176290.04"/>
    <n v="45.20257435897436"/>
    <n v="20838.260000000009"/>
    <n v="0.13404967122280625"/>
    <n v="415128.66256349685"/>
    <x v="1"/>
    <x v="4"/>
    <x v="0"/>
  </r>
  <r>
    <x v="1"/>
    <x v="1"/>
    <x v="3"/>
    <x v="0"/>
    <d v="2023-12-14T00:00:00"/>
    <x v="162"/>
    <n v="6650"/>
    <n v="238850"/>
    <n v="35.917293233082709"/>
    <n v="6650"/>
    <n v="288811.5"/>
    <n v="43.430300751879699"/>
    <n v="49961.5"/>
    <n v="0.20917521456981369"/>
    <n v="465090.16256349685"/>
    <x v="1"/>
    <x v="4"/>
    <x v="0"/>
  </r>
  <r>
    <x v="0"/>
    <x v="0"/>
    <x v="8"/>
    <x v="1"/>
    <d v="2023-12-15T00:00:00"/>
    <x v="163"/>
    <n v="20"/>
    <n v="-4672.33"/>
    <n v="-2.3361649999999998"/>
    <n v="20"/>
    <n v="-12498.03"/>
    <n v="-6.2490150000000009"/>
    <n v="-7825.7000000000007"/>
    <n v="-1.6749030997382468"/>
    <n v="457264.46256349684"/>
    <x v="1"/>
    <x v="4"/>
    <x v="0"/>
  </r>
  <r>
    <x v="0"/>
    <x v="0"/>
    <x v="8"/>
    <x v="0"/>
    <d v="2023-12-15T00:00:00"/>
    <x v="164"/>
    <n v="12"/>
    <n v="-4327.34"/>
    <n v="-3.6061166666666669"/>
    <n v="12"/>
    <n v="-2650.64"/>
    <n v="-2.2088666666666668"/>
    <n v="1676.7000000000003"/>
    <n v="0.38746666543419284"/>
    <n v="458941.16256349685"/>
    <x v="1"/>
    <x v="4"/>
    <x v="0"/>
  </r>
  <r>
    <x v="1"/>
    <x v="1"/>
    <x v="3"/>
    <x v="0"/>
    <d v="2023-12-16T00:00:00"/>
    <x v="116"/>
    <n v="3200"/>
    <n v="85616"/>
    <n v="26.754999999999999"/>
    <n v="3200"/>
    <n v="89184.47"/>
    <n v="27.870146875"/>
    <n v="3568.4700000000012"/>
    <n v="4.167994300130818E-2"/>
    <n v="462509.63256349682"/>
    <x v="1"/>
    <x v="4"/>
    <x v="0"/>
  </r>
  <r>
    <x v="1"/>
    <x v="1"/>
    <x v="3"/>
    <x v="0"/>
    <d v="2023-12-19T00:00:00"/>
    <x v="165"/>
    <n v="1000"/>
    <n v="146449.5"/>
    <n v="146.4495"/>
    <n v="1000"/>
    <n v="146442.18"/>
    <n v="146.44217999999998"/>
    <n v="-7.3200000000069849"/>
    <n v="-4.9983099976490085E-5"/>
    <n v="462502.31256349682"/>
    <x v="1"/>
    <x v="4"/>
    <x v="0"/>
  </r>
  <r>
    <x v="1"/>
    <x v="5"/>
    <x v="3"/>
    <x v="0"/>
    <d v="2023-12-14T00:00:00"/>
    <x v="166"/>
    <n v="2400"/>
    <n v="148042.25"/>
    <n v="61.684270833333336"/>
    <n v="2400"/>
    <n v="147925.35999999999"/>
    <n v="61.635566666666662"/>
    <n v="-116.89000000001397"/>
    <n v="-7.8957189586090432E-4"/>
    <n v="462385.4225634968"/>
    <x v="1"/>
    <x v="4"/>
    <x v="0"/>
  </r>
  <r>
    <x v="1"/>
    <x v="1"/>
    <x v="3"/>
    <x v="0"/>
    <d v="2023-12-21T00:00:00"/>
    <x v="156"/>
    <n v="8400"/>
    <n v="140308.29"/>
    <n v="16.703367857142858"/>
    <n v="8400"/>
    <n v="142787.29"/>
    <n v="16.998486904761904"/>
    <n v="-2479"/>
    <n v="-1.7668236139147586E-2"/>
    <n v="459906.4225634968"/>
    <x v="1"/>
    <x v="4"/>
    <x v="0"/>
  </r>
  <r>
    <x v="1"/>
    <x v="3"/>
    <x v="3"/>
    <x v="0"/>
    <d v="2023-12-21T00:00:00"/>
    <x v="167"/>
    <n v="1400"/>
    <n v="292937.15000000002"/>
    <n v="209.24082142857145"/>
    <n v="1400"/>
    <n v="303089.15000000002"/>
    <n v="216.49225000000001"/>
    <n v="-10152"/>
    <n v="-3.4655898031369523E-2"/>
    <n v="449754.4225634968"/>
    <x v="1"/>
    <x v="4"/>
    <x v="0"/>
  </r>
  <r>
    <x v="1"/>
    <x v="1"/>
    <x v="3"/>
    <x v="0"/>
    <d v="2023-12-22T00:00:00"/>
    <x v="89"/>
    <n v="500"/>
    <n v="157097.5"/>
    <n v="314.19499999999999"/>
    <n v="500"/>
    <n v="148832.34"/>
    <n v="297.66467999999998"/>
    <n v="-8265.1600000000035"/>
    <n v="-5.2611658365028111E-2"/>
    <n v="441489.26256349683"/>
    <x v="1"/>
    <x v="4"/>
    <x v="0"/>
  </r>
  <r>
    <x v="1"/>
    <x v="1"/>
    <x v="3"/>
    <x v="0"/>
    <d v="2023-12-22T00:00:00"/>
    <x v="1"/>
    <n v="1950"/>
    <n v="495094.9"/>
    <n v="253.89482051282053"/>
    <n v="1950"/>
    <n v="492283.8"/>
    <n v="252.45323076923077"/>
    <n v="-2811.1000000000349"/>
    <n v="-5.6779013478022791E-3"/>
    <n v="438678.16256349679"/>
    <x v="1"/>
    <x v="4"/>
    <x v="0"/>
  </r>
  <r>
    <x v="1"/>
    <x v="0"/>
    <x v="4"/>
    <x v="0"/>
    <d v="2023-12-27T00:00:00"/>
    <x v="100"/>
    <n v="100"/>
    <n v="389557"/>
    <n v="3.8955700000000002"/>
    <n v="100"/>
    <n v="382142"/>
    <n v="38.214199999999998"/>
    <n v="-7415"/>
    <n v="-1.9034441686325749E-2"/>
    <n v="431263.16256349679"/>
    <x v="1"/>
    <x v="4"/>
    <x v="0"/>
  </r>
  <r>
    <x v="0"/>
    <x v="5"/>
    <x v="5"/>
    <x v="0"/>
    <d v="2023-06-20T00:00:00"/>
    <x v="168"/>
    <n v="50"/>
    <n v="20032.5"/>
    <n v="4.0065"/>
    <n v="50"/>
    <n v="38407.189999999995"/>
    <n v="7.6814379999999991"/>
    <n v="18374.689999999995"/>
    <n v="0.9172439785348806"/>
    <n v="449637.8525634968"/>
    <x v="1"/>
    <x v="7"/>
    <x v="0"/>
  </r>
  <r>
    <x v="1"/>
    <x v="1"/>
    <x v="3"/>
    <x v="0"/>
    <d v="2023-12-29T00:00:00"/>
    <x v="169"/>
    <n v="25000"/>
    <n v="541504"/>
    <n v="21.660160000000001"/>
    <n v="25000"/>
    <n v="524120.48"/>
    <n v="20.964819200000001"/>
    <n v="-17383.520000000019"/>
    <n v="-3.2102292873182871E-2"/>
    <n v="432254.33256349678"/>
    <x v="1"/>
    <x v="4"/>
    <x v="0"/>
  </r>
  <r>
    <x v="1"/>
    <x v="1"/>
    <x v="3"/>
    <x v="0"/>
    <d v="2023-12-29T00:00:00"/>
    <x v="2"/>
    <n v="1000"/>
    <n v="154579.20000000001"/>
    <n v="154.57920000000001"/>
    <n v="1000"/>
    <n v="152718.63"/>
    <n v="152.71863000000002"/>
    <n v="-1860.570000000007"/>
    <n v="-1.2036354179605063E-2"/>
    <n v="430393.76256349677"/>
    <x v="1"/>
    <x v="4"/>
    <x v="0"/>
  </r>
  <r>
    <x v="1"/>
    <x v="1"/>
    <x v="3"/>
    <x v="0"/>
    <d v="2023-12-29T00:00:00"/>
    <x v="162"/>
    <n v="4500"/>
    <n v="201982"/>
    <n v="44.884888888888888"/>
    <n v="4500"/>
    <n v="200402.69"/>
    <n v="44.533931111111109"/>
    <n v="-1579.3099999999977"/>
    <n v="-7.8190630848293304E-3"/>
    <n v="428814.45256349677"/>
    <x v="1"/>
    <x v="4"/>
    <x v="0"/>
  </r>
  <r>
    <x v="1"/>
    <x v="1"/>
    <x v="3"/>
    <x v="0"/>
    <d v="2023-12-29T00:00:00"/>
    <x v="110"/>
    <n v="4000"/>
    <n v="218020"/>
    <n v="54.505000000000003"/>
    <n v="4000"/>
    <n v="217734.71"/>
    <n v="54.433677499999995"/>
    <n v="-285.29000000000815"/>
    <n v="-1.3085496743418408E-3"/>
    <n v="428529.16256349673"/>
    <x v="1"/>
    <x v="4"/>
    <x v="0"/>
  </r>
  <r>
    <x v="1"/>
    <x v="1"/>
    <x v="3"/>
    <x v="0"/>
    <d v="2024-01-02T00:00:00"/>
    <x v="170"/>
    <n v="6500"/>
    <n v="907237.5"/>
    <n v="139.57499999999999"/>
    <n v="6500"/>
    <n v="908141.81"/>
    <n v="139.71412461538463"/>
    <n v="864.31000000005588"/>
    <n v="9.5268328304336616E-4"/>
    <n v="429393.47256349679"/>
    <x v="2"/>
    <x v="5"/>
    <x v="0"/>
  </r>
  <r>
    <x v="1"/>
    <x v="1"/>
    <x v="4"/>
    <x v="0"/>
    <d v="2024-01-02T00:00:00"/>
    <x v="14"/>
    <n v="5"/>
    <n v="350011.85"/>
    <n v="70.002369999999999"/>
    <n v="3"/>
    <n v="368760.52"/>
    <n v="0"/>
    <n v="18748.670000000042"/>
    <n v="5.3565814985978455E-2"/>
    <n v="448142.14256349683"/>
    <x v="2"/>
    <x v="5"/>
    <x v="0"/>
  </r>
  <r>
    <x v="1"/>
    <x v="1"/>
    <x v="3"/>
    <x v="0"/>
    <d v="2024-01-04T00:00:00"/>
    <x v="19"/>
    <n v="2200"/>
    <n v="432051.05"/>
    <n v="196.38684090909089"/>
    <n v="2200"/>
    <n v="428435.3"/>
    <n v="194.74331818181818"/>
    <n v="-3615.75"/>
    <n v="-8.368802714401458E-3"/>
    <n v="444526.39256349683"/>
    <x v="2"/>
    <x v="5"/>
    <x v="0"/>
  </r>
  <r>
    <x v="1"/>
    <x v="1"/>
    <x v="3"/>
    <x v="0"/>
    <d v="2024-01-04T00:00:00"/>
    <x v="162"/>
    <n v="5000"/>
    <n v="176750"/>
    <n v="35.35"/>
    <n v="5000"/>
    <n v="175956.91"/>
    <n v="35.191381999999997"/>
    <n v="-833.08999999999651"/>
    <n v="-4.7133804809052137E-3"/>
    <n v="443693.30256349687"/>
    <x v="2"/>
    <x v="5"/>
    <x v="0"/>
  </r>
  <r>
    <x v="1"/>
    <x v="1"/>
    <x v="3"/>
    <x v="0"/>
    <d v="2024-01-05T00:00:00"/>
    <x v="110"/>
    <n v="4500"/>
    <n v="207965.5"/>
    <n v="46.214555555555556"/>
    <n v="4500"/>
    <n v="201311.9"/>
    <n v="44.735977777777777"/>
    <n v="-6653.6000000000058"/>
    <n v="-3.1993768197128881E-2"/>
    <n v="437039.70256349689"/>
    <x v="2"/>
    <x v="5"/>
    <x v="0"/>
  </r>
  <r>
    <x v="1"/>
    <x v="0"/>
    <x v="4"/>
    <x v="0"/>
    <d v="2024-01-05T00:00:00"/>
    <x v="138"/>
    <n v="5"/>
    <n v="1029272.1"/>
    <n v="2048.02"/>
    <n v="5"/>
    <n v="1027307.8999999999"/>
    <n v="2093.9757999999997"/>
    <n v="-1964.2000000001863"/>
    <n v="-1.9083389125190376E-3"/>
    <n v="435075.5025634967"/>
    <x v="2"/>
    <x v="5"/>
    <x v="0"/>
  </r>
  <r>
    <x v="1"/>
    <x v="1"/>
    <x v="3"/>
    <x v="0"/>
    <d v="2024-01-08T00:00:00"/>
    <x v="135"/>
    <n v="6000"/>
    <n v="153700.95000000001"/>
    <n v="25.616825000000002"/>
    <n v="6000"/>
    <n v="167907.66"/>
    <n v="27.98461"/>
    <n v="14206.709999999992"/>
    <n v="9.2430853550352104E-2"/>
    <n v="449282.21256349667"/>
    <x v="2"/>
    <x v="5"/>
    <x v="0"/>
  </r>
  <r>
    <x v="1"/>
    <x v="1"/>
    <x v="3"/>
    <x v="0"/>
    <d v="2024-01-09T00:00:00"/>
    <x v="171"/>
    <n v="10000"/>
    <n v="170000"/>
    <n v="17"/>
    <n v="10000"/>
    <n v="164776.92000000001"/>
    <n v="16.477692000000001"/>
    <n v="-5326.0599999999868"/>
    <n v="-3.1329764705882272E-2"/>
    <n v="443956.15256349667"/>
    <x v="2"/>
    <x v="5"/>
    <x v="0"/>
  </r>
  <r>
    <x v="1"/>
    <x v="1"/>
    <x v="3"/>
    <x v="0"/>
    <d v="2024-01-09T00:00:00"/>
    <x v="157"/>
    <n v="3100"/>
    <n v="116902.41"/>
    <n v="37.71045483870968"/>
    <n v="3100"/>
    <n v="111880"/>
    <n v="36.090322580645164"/>
    <n v="-5022.4100000000035"/>
    <n v="-4.2962416258142185E-2"/>
    <n v="438933.74256349669"/>
    <x v="2"/>
    <x v="5"/>
    <x v="0"/>
  </r>
  <r>
    <x v="1"/>
    <x v="1"/>
    <x v="3"/>
    <x v="0"/>
    <d v="2024-01-11T00:00:00"/>
    <x v="162"/>
    <n v="6500"/>
    <n v="221487.5"/>
    <n v="34.075000000000003"/>
    <n v="6500"/>
    <n v="212054.44"/>
    <n v="32.623759999999997"/>
    <n v="-9433.0599999999977"/>
    <n v="-4.258958180484225E-2"/>
    <n v="429500.6825634967"/>
    <x v="2"/>
    <x v="5"/>
    <x v="0"/>
  </r>
  <r>
    <x v="1"/>
    <x v="1"/>
    <x v="3"/>
    <x v="0"/>
    <d v="2024-01-11T00:00:00"/>
    <x v="119"/>
    <n v="3700"/>
    <n v="159188.98000000001"/>
    <n v="43.024048648648652"/>
    <n v="3700"/>
    <n v="161304.88"/>
    <n v="43.595913513513516"/>
    <n v="2115.8999999999942"/>
    <n v="1.3291749215303685E-2"/>
    <n v="431616.58256349666"/>
    <x v="2"/>
    <x v="5"/>
    <x v="0"/>
  </r>
  <r>
    <x v="1"/>
    <x v="1"/>
    <x v="6"/>
    <x v="1"/>
    <d v="2024-01-13T00:00:00"/>
    <x v="118"/>
    <n v="2000000"/>
    <n v="1921661.55"/>
    <n v="0.96083077500000003"/>
    <n v="2000000"/>
    <n v="1930888.7"/>
    <n v="0.96544434999999995"/>
    <n v="-10161"/>
    <n v="-5.0804999999999999E-3"/>
    <n v="421455.58256349666"/>
    <x v="2"/>
    <x v="5"/>
    <x v="0"/>
  </r>
  <r>
    <x v="1"/>
    <x v="1"/>
    <x v="3"/>
    <x v="0"/>
    <d v="2024-01-16T00:00:00"/>
    <x v="165"/>
    <n v="1000"/>
    <n v="150735"/>
    <n v="150.73500000000001"/>
    <n v="1000"/>
    <n v="143131.34"/>
    <n v="143.13133999999999"/>
    <n v="-7603.6600000000035"/>
    <n v="-5.0443891597837284E-2"/>
    <n v="413851.92256349663"/>
    <x v="2"/>
    <x v="5"/>
    <x v="0"/>
  </r>
  <r>
    <x v="1"/>
    <x v="1"/>
    <x v="3"/>
    <x v="0"/>
    <d v="2024-01-16T00:00:00"/>
    <x v="169"/>
    <n v="5000"/>
    <n v="105775"/>
    <n v="21.155000000000001"/>
    <n v="5000"/>
    <n v="99412.05"/>
    <n v="19.88241"/>
    <n v="-6362.9499999999971"/>
    <n v="-6.0155518789884163E-2"/>
    <n v="407488.97256349662"/>
    <x v="2"/>
    <x v="5"/>
    <x v="0"/>
  </r>
  <r>
    <x v="1"/>
    <x v="5"/>
    <x v="3"/>
    <x v="0"/>
    <d v="2024-01-10T00:00:00"/>
    <x v="157"/>
    <n v="3700"/>
    <n v="141775"/>
    <n v="38.317567567567565"/>
    <n v="3700"/>
    <n v="121766.07"/>
    <n v="32.909748648648652"/>
    <n v="-20008.929999999993"/>
    <n v="-0.14113158173161694"/>
    <n v="387480.04256349662"/>
    <x v="2"/>
    <x v="5"/>
    <x v="0"/>
  </r>
  <r>
    <x v="1"/>
    <x v="0"/>
    <x v="7"/>
    <x v="1"/>
    <d v="2024-01-19T00:00:00"/>
    <x v="172"/>
    <n v="3775"/>
    <n v="743592.92"/>
    <n v="196.97825695364239"/>
    <n v="3775"/>
    <n v="753376.74"/>
    <n v="199.56999735099336"/>
    <n v="-9783.8199999999488"/>
    <n v="-1.3157494829294432E-2"/>
    <n v="377696.22256349667"/>
    <x v="2"/>
    <x v="5"/>
    <x v="0"/>
  </r>
  <r>
    <x v="0"/>
    <x v="1"/>
    <x v="2"/>
    <x v="0"/>
    <d v="2024-01-19T00:00:00"/>
    <x v="156"/>
    <n v="130"/>
    <n v="19459.599999999999"/>
    <n v="1.4968923076923075"/>
    <n v="130"/>
    <n v="24959.73"/>
    <n v="1.9199792307692309"/>
    <n v="5500.130000000001"/>
    <n v="0.28264352813007487"/>
    <n v="383196.35256349668"/>
    <x v="2"/>
    <x v="5"/>
    <x v="0"/>
  </r>
  <r>
    <x v="0"/>
    <x v="5"/>
    <x v="5"/>
    <x v="0"/>
    <d v="2023-10-18T00:00:00"/>
    <x v="173"/>
    <n v="100"/>
    <n v="20065"/>
    <n v="2.0065"/>
    <n v="100"/>
    <n v="57434.54"/>
    <n v="5.7434540000000007"/>
    <n v="37369.54"/>
    <n v="1.8624241216047845"/>
    <n v="420565.89256349666"/>
    <x v="1"/>
    <x v="3"/>
    <x v="0"/>
  </r>
  <r>
    <x v="1"/>
    <x v="1"/>
    <x v="3"/>
    <x v="0"/>
    <d v="2024-01-22T00:00:00"/>
    <x v="170"/>
    <n v="2250"/>
    <n v="374400"/>
    <n v="166.4"/>
    <n v="2250"/>
    <n v="380174.36"/>
    <n v="168.96638222222222"/>
    <n v="5734.359999999986"/>
    <n v="1.5316132478632441E-2"/>
    <n v="426300.25256349664"/>
    <x v="2"/>
    <x v="5"/>
    <x v="0"/>
  </r>
  <r>
    <x v="1"/>
    <x v="1"/>
    <x v="3"/>
    <x v="0"/>
    <d v="2024-01-22T00:00:00"/>
    <x v="171"/>
    <n v="10000"/>
    <n v="169286.94"/>
    <n v="16.928694"/>
    <n v="10000"/>
    <n v="179464.16"/>
    <n v="17.946415999999999"/>
    <n v="10177.220000000001"/>
    <n v="6.0118163870172152E-2"/>
    <n v="436477.47256349667"/>
    <x v="2"/>
    <x v="5"/>
    <x v="0"/>
  </r>
  <r>
    <x v="1"/>
    <x v="1"/>
    <x v="3"/>
    <x v="0"/>
    <d v="2024-01-23T00:00:00"/>
    <x v="131"/>
    <n v="10000"/>
    <n v="1038600"/>
    <n v="103.86"/>
    <n v="10000"/>
    <n v="1032613.16"/>
    <n v="103.26131600000001"/>
    <n v="-6026.8399999999674"/>
    <n v="-5.8028499903716229E-3"/>
    <n v="430450.63256349671"/>
    <x v="2"/>
    <x v="5"/>
    <x v="0"/>
  </r>
  <r>
    <x v="1"/>
    <x v="1"/>
    <x v="3"/>
    <x v="0"/>
    <d v="2024-01-23T00:00:00"/>
    <x v="174"/>
    <n v="4200"/>
    <n v="622104"/>
    <n v="148.12"/>
    <n v="4200"/>
    <n v="616453.66"/>
    <n v="146.77468095238095"/>
    <n v="-5690.3399999999674"/>
    <n v="-9.1469272018825914E-3"/>
    <n v="424760.29256349674"/>
    <x v="2"/>
    <x v="5"/>
    <x v="0"/>
  </r>
  <r>
    <x v="1"/>
    <x v="1"/>
    <x v="3"/>
    <x v="0"/>
    <d v="2024-01-24T00:00:00"/>
    <x v="119"/>
    <n v="3400"/>
    <n v="142191.4"/>
    <n v="41.820999999999998"/>
    <n v="3400"/>
    <n v="159407.16"/>
    <n v="46.884458823529414"/>
    <n v="17215.760000000009"/>
    <n v="0.12107455162548515"/>
    <n v="441976.05256349675"/>
    <x v="2"/>
    <x v="5"/>
    <x v="0"/>
  </r>
  <r>
    <x v="1"/>
    <x v="1"/>
    <x v="3"/>
    <x v="0"/>
    <d v="2024-01-25T00:00:00"/>
    <x v="175"/>
    <n v="5000"/>
    <n v="232275"/>
    <n v="46.454999999999998"/>
    <n v="5000"/>
    <n v="246848.35"/>
    <n v="49.369669999999999"/>
    <n v="14573.350000000006"/>
    <n v="6.2741793133139628E-2"/>
    <n v="456549.40256349673"/>
    <x v="2"/>
    <x v="5"/>
    <x v="0"/>
  </r>
  <r>
    <x v="0"/>
    <x v="0"/>
    <x v="5"/>
    <x v="0"/>
    <d v="2024-01-26T00:00:00"/>
    <x v="27"/>
    <n v="80"/>
    <n v="7057.2"/>
    <n v="0.88214999999999999"/>
    <n v="80"/>
    <n v="19795.29"/>
    <n v="2.4744112500000002"/>
    <n v="12738.09"/>
    <n v="1.8049778949158308"/>
    <n v="469287.49256349675"/>
    <x v="2"/>
    <x v="5"/>
    <x v="0"/>
  </r>
  <r>
    <x v="1"/>
    <x v="1"/>
    <x v="3"/>
    <x v="0"/>
    <d v="2024-01-29T00:00:00"/>
    <x v="1"/>
    <n v="240"/>
    <n v="50054.65"/>
    <n v="208.56104166666668"/>
    <n v="240"/>
    <n v="44734.8"/>
    <n v="186.39500000000001"/>
    <n v="-5319.8499999999985"/>
    <n v="-0.10628083504729327"/>
    <n v="463967.64256349677"/>
    <x v="2"/>
    <x v="5"/>
    <x v="0"/>
  </r>
  <r>
    <x v="1"/>
    <x v="1"/>
    <x v="3"/>
    <x v="0"/>
    <d v="2024-01-29T00:00:00"/>
    <x v="176"/>
    <n v="1600"/>
    <n v="316032"/>
    <n v="197.52"/>
    <n v="1600"/>
    <n v="328575.46999999997"/>
    <n v="205.35966874999997"/>
    <n v="12543.469999999972"/>
    <n v="3.9690506024706272E-2"/>
    <n v="476511.11256349675"/>
    <x v="2"/>
    <x v="5"/>
    <x v="0"/>
  </r>
  <r>
    <x v="1"/>
    <x v="3"/>
    <x v="4"/>
    <x v="0"/>
    <d v="2024-01-29T00:00:00"/>
    <x v="100"/>
    <n v="200"/>
    <n v="818464"/>
    <n v="4.09232"/>
    <n v="200"/>
    <n v="820086"/>
    <m/>
    <n v="1622"/>
    <n v="1.9817609571099034E-3"/>
    <n v="478133.11256349675"/>
    <x v="2"/>
    <x v="5"/>
    <x v="0"/>
  </r>
  <r>
    <x v="1"/>
    <x v="1"/>
    <x v="4"/>
    <x v="0"/>
    <d v="2024-01-31T00:00:00"/>
    <x v="11"/>
    <n v="7"/>
    <n v="699070.4"/>
    <n v="1997.3440000000001"/>
    <n v="7"/>
    <n v="685055"/>
    <n v="1957.3"/>
    <n v="-14015.400000000023"/>
    <n v="-2.0048624573433552E-2"/>
    <n v="464117.71256349672"/>
    <x v="2"/>
    <x v="5"/>
    <x v="0"/>
  </r>
  <r>
    <x v="1"/>
    <x v="1"/>
    <x v="6"/>
    <x v="0"/>
    <d v="2024-01-31T00:00:00"/>
    <x v="177"/>
    <n v="2000000"/>
    <n v="1775505.44"/>
    <n v="0.88775271999999994"/>
    <n v="2000000"/>
    <n v="1762410.19"/>
    <n v="0.88120509499999999"/>
    <n v="-13095.25"/>
    <n v="-6.5476249999999996E-3"/>
    <n v="451022.46256349672"/>
    <x v="2"/>
    <x v="5"/>
    <x v="0"/>
  </r>
  <r>
    <x v="1"/>
    <x v="1"/>
    <x v="3"/>
    <x v="0"/>
    <d v="2024-01-31T00:00:00"/>
    <x v="96"/>
    <n v="2750"/>
    <n v="310653.75"/>
    <n v="112.965"/>
    <n v="1750"/>
    <n v="320565.87"/>
    <n v="183.18049714285715"/>
    <n v="9912.1199999999953"/>
    <n v="3.190729228280681E-2"/>
    <n v="460934.58256349672"/>
    <x v="2"/>
    <x v="5"/>
    <x v="0"/>
  </r>
  <r>
    <x v="1"/>
    <x v="1"/>
    <x v="3"/>
    <x v="0"/>
    <d v="2024-02-01T00:00:00"/>
    <x v="162"/>
    <n v="3000"/>
    <n v="104835"/>
    <n v="34.945"/>
    <n v="3000"/>
    <n v="94427.199999999997"/>
    <n v="31.475733333333331"/>
    <n v="-10407.800000000003"/>
    <n v="-9.9277912910764557E-2"/>
    <n v="450526.78256349673"/>
    <x v="2"/>
    <x v="6"/>
    <x v="0"/>
  </r>
  <r>
    <x v="1"/>
    <x v="1"/>
    <x v="3"/>
    <x v="0"/>
    <d v="2024-02-01T00:00:00"/>
    <x v="119"/>
    <n v="2500"/>
    <n v="107337.5"/>
    <n v="42.935000000000002"/>
    <n v="2500"/>
    <n v="98272.37"/>
    <n v="39.308948000000001"/>
    <n v="-9065.1300000000047"/>
    <n v="-8.4454454407825827E-2"/>
    <n v="441461.65256349673"/>
    <x v="2"/>
    <x v="6"/>
    <x v="0"/>
  </r>
  <r>
    <x v="1"/>
    <x v="1"/>
    <x v="3"/>
    <x v="0"/>
    <d v="2024-02-01T00:00:00"/>
    <x v="110"/>
    <n v="2500"/>
    <n v="111862.5"/>
    <n v="44.744999999999997"/>
    <n v="2500"/>
    <n v="105586.24000000001"/>
    <n v="42.234496"/>
    <n v="-6276.2599999999948"/>
    <n v="-5.6106916973963528E-2"/>
    <n v="435185.39256349672"/>
    <x v="2"/>
    <x v="6"/>
    <x v="0"/>
  </r>
  <r>
    <x v="1"/>
    <x v="1"/>
    <x v="3"/>
    <x v="0"/>
    <d v="2024-02-01T00:00:00"/>
    <x v="178"/>
    <n v="750"/>
    <n v="157143.75"/>
    <n v="209.52500000000001"/>
    <n v="750"/>
    <n v="152515"/>
    <n v="203.35333333333332"/>
    <n v="-4628.75"/>
    <n v="-2.9455514457304221E-2"/>
    <n v="430556.64256349672"/>
    <x v="2"/>
    <x v="6"/>
    <x v="0"/>
  </r>
  <r>
    <x v="1"/>
    <x v="1"/>
    <x v="3"/>
    <x v="0"/>
    <d v="2024-02-01T00:00:00"/>
    <x v="132"/>
    <n v="2500"/>
    <n v="96902.5"/>
    <n v="38.761000000000003"/>
    <n v="2500"/>
    <n v="97098.81"/>
    <n v="38.839523999999997"/>
    <n v="196.30999999999767"/>
    <n v="2.0258507262454289E-3"/>
    <n v="430752.95256349671"/>
    <x v="2"/>
    <x v="6"/>
    <x v="0"/>
  </r>
  <r>
    <x v="1"/>
    <x v="1"/>
    <x v="3"/>
    <x v="0"/>
    <d v="2024-02-01T00:00:00"/>
    <x v="164"/>
    <n v="3000"/>
    <n v="372321"/>
    <n v="124.107"/>
    <n v="1500"/>
    <n v="382062.68"/>
    <n v="254.70845333333332"/>
    <n v="9741.679999999993"/>
    <n v="2.6164734194418237E-2"/>
    <n v="440494.63256349671"/>
    <x v="2"/>
    <x v="6"/>
    <x v="0"/>
  </r>
  <r>
    <x v="1"/>
    <x v="3"/>
    <x v="4"/>
    <x v="0"/>
    <d v="2024-02-01T00:00:00"/>
    <x v="100"/>
    <n v="200"/>
    <n v="815420"/>
    <n v="4.0770999999999997"/>
    <n v="200"/>
    <n v="778893"/>
    <m/>
    <n v="-36527"/>
    <n v="-4.4795320203085527E-2"/>
    <n v="403967.63256349671"/>
    <x v="2"/>
    <x v="6"/>
    <x v="0"/>
  </r>
  <r>
    <x v="1"/>
    <x v="3"/>
    <x v="4"/>
    <x v="0"/>
    <d v="2024-02-01T00:00:00"/>
    <x v="14"/>
    <n v="3"/>
    <n v="227077.11"/>
    <n v="75.692369999999997"/>
    <n v="3"/>
    <n v="221752.89"/>
    <n v="0"/>
    <n v="-5324.2199999999721"/>
    <n v="-2.344674899200528E-2"/>
    <n v="398643.41256349673"/>
    <x v="2"/>
    <x v="6"/>
    <x v="0"/>
  </r>
  <r>
    <x v="0"/>
    <x v="0"/>
    <x v="5"/>
    <x v="0"/>
    <d v="2024-02-02T00:00:00"/>
    <x v="179"/>
    <n v="25"/>
    <n v="7248.67"/>
    <n v="2.8994680000000002"/>
    <n v="25"/>
    <n v="18053.370000000003"/>
    <n v="7.2213480000000017"/>
    <n v="10804.700000000003"/>
    <n v="1.4905768920367466"/>
    <n v="409448.11256349675"/>
    <x v="2"/>
    <x v="6"/>
    <x v="0"/>
  </r>
  <r>
    <x v="1"/>
    <x v="1"/>
    <x v="3"/>
    <x v="0"/>
    <d v="2024-02-02T00:00:00"/>
    <x v="180"/>
    <n v="10000"/>
    <n v="275285"/>
    <n v="27.528500000000001"/>
    <n v="10000"/>
    <n v="276321.87"/>
    <n v="27.632186999999998"/>
    <n v="987"/>
    <n v="3.5853751566558294E-3"/>
    <n v="410435.11256349675"/>
    <x v="2"/>
    <x v="6"/>
    <x v="0"/>
  </r>
  <r>
    <x v="1"/>
    <x v="1"/>
    <x v="3"/>
    <x v="0"/>
    <d v="2024-02-05T00:00:00"/>
    <x v="156"/>
    <n v="18000"/>
    <n v="284136.45"/>
    <n v="15.785358333333335"/>
    <n v="18000"/>
    <n v="301286.45"/>
    <n v="16.73813611111111"/>
    <n v="-17150"/>
    <n v="-6.0358324319178334E-2"/>
    <n v="393285.11256349675"/>
    <x v="2"/>
    <x v="6"/>
    <x v="0"/>
  </r>
  <r>
    <x v="1"/>
    <x v="1"/>
    <x v="3"/>
    <x v="0"/>
    <d v="2024-02-05T00:00:00"/>
    <x v="181"/>
    <n v="20000"/>
    <n v="871910.45"/>
    <n v="43.595522499999994"/>
    <n v="20000"/>
    <n v="860994.45"/>
    <n v="43.049722499999994"/>
    <n v="-10956"/>
    <n v="-1.2565510598020703E-2"/>
    <n v="382329.11256349675"/>
    <x v="2"/>
    <x v="6"/>
    <x v="0"/>
  </r>
  <r>
    <x v="1"/>
    <x v="1"/>
    <x v="3"/>
    <x v="0"/>
    <d v="2024-02-06T00:00:00"/>
    <x v="182"/>
    <n v="4000"/>
    <n v="156520"/>
    <n v="39.130000000000003"/>
    <n v="4000"/>
    <n v="150380"/>
    <n v="37.594999999999999"/>
    <n v="-6182"/>
    <n v="-3.9496549961666239E-2"/>
    <n v="376147.11256349675"/>
    <x v="2"/>
    <x v="6"/>
    <x v="0"/>
  </r>
  <r>
    <x v="1"/>
    <x v="1"/>
    <x v="3"/>
    <x v="0"/>
    <d v="2024-02-06T00:00:00"/>
    <x v="183"/>
    <n v="8000"/>
    <n v="163175.60999999999"/>
    <n v="20.396951249999997"/>
    <n v="8000"/>
    <n v="157159.93"/>
    <n v="19.64499125"/>
    <n v="6015.679999999993"/>
    <n v="3.6866293927137722E-2"/>
    <n v="382162.79256349674"/>
    <x v="2"/>
    <x v="6"/>
    <x v="0"/>
  </r>
  <r>
    <x v="1"/>
    <x v="1"/>
    <x v="3"/>
    <x v="0"/>
    <d v="2024-02-06T00:00:00"/>
    <x v="110"/>
    <n v="10000"/>
    <n v="437250"/>
    <n v="43.725000000000001"/>
    <n v="10000"/>
    <n v="457851.38"/>
    <n v="45.785138000000003"/>
    <n v="20601.380000000005"/>
    <n v="4.7115791881074912E-2"/>
    <n v="402764.17256349674"/>
    <x v="2"/>
    <x v="6"/>
    <x v="0"/>
  </r>
  <r>
    <x v="1"/>
    <x v="1"/>
    <x v="3"/>
    <x v="0"/>
    <d v="2024-02-07T00:00:00"/>
    <x v="182"/>
    <n v="4500"/>
    <n v="177193.2"/>
    <n v="39.376266666666666"/>
    <n v="4500"/>
    <n v="168032.82"/>
    <n v="37.340626666666665"/>
    <n v="-9207.4700000000048"/>
    <n v="-5.196288570893242E-2"/>
    <n v="393556.70256349671"/>
    <x v="2"/>
    <x v="6"/>
    <x v="0"/>
  </r>
  <r>
    <x v="1"/>
    <x v="1"/>
    <x v="3"/>
    <x v="0"/>
    <d v="2024-02-08T00:00:00"/>
    <x v="119"/>
    <n v="1000"/>
    <n v="50862"/>
    <n v="50.862000000000002"/>
    <n v="1000"/>
    <n v="45035"/>
    <n v="45.034999999999997"/>
    <n v="-5874.09"/>
    <n v="-0.11549073964846054"/>
    <n v="387682.61256349669"/>
    <x v="2"/>
    <x v="6"/>
    <x v="0"/>
  </r>
  <r>
    <x v="1"/>
    <x v="1"/>
    <x v="3"/>
    <x v="0"/>
    <d v="2024-02-09T00:00:00"/>
    <x v="135"/>
    <n v="12000"/>
    <n v="384159.63"/>
    <n v="32.013302500000002"/>
    <n v="12000"/>
    <n v="437647.33999999997"/>
    <n v="36.470611666666663"/>
    <n v="53487.709999999963"/>
    <n v="0.13923303185188918"/>
    <n v="441170.32256349665"/>
    <x v="2"/>
    <x v="6"/>
    <x v="0"/>
  </r>
  <r>
    <x v="1"/>
    <x v="1"/>
    <x v="3"/>
    <x v="1"/>
    <d v="2024-02-12T00:00:00"/>
    <x v="89"/>
    <n v="200"/>
    <n v="141889.93"/>
    <n v="709.44965000000002"/>
    <n v="200"/>
    <n v="156783.74"/>
    <n v="783.91869999999994"/>
    <n v="-14893.809999999998"/>
    <n v="-0.10496735039618385"/>
    <n v="426276.51256349665"/>
    <x v="2"/>
    <x v="6"/>
    <x v="0"/>
  </r>
  <r>
    <x v="0"/>
    <x v="0"/>
    <x v="2"/>
    <x v="0"/>
    <d v="2024-02-12T00:00:00"/>
    <x v="103"/>
    <n v="40"/>
    <n v="10055.879999999999"/>
    <n v="2.51397"/>
    <n v="40"/>
    <n v="0"/>
    <m/>
    <n v="-10055.879999999999"/>
    <n v="-1"/>
    <n v="416220.63256349665"/>
    <x v="2"/>
    <x v="6"/>
    <x v="0"/>
  </r>
  <r>
    <x v="1"/>
    <x v="1"/>
    <x v="3"/>
    <x v="0"/>
    <d v="2024-02-13T00:00:00"/>
    <x v="170"/>
    <n v="5350"/>
    <n v="919469.25"/>
    <n v="171.86341121495326"/>
    <n v="5350"/>
    <n v="890261.85000000009"/>
    <n v="166.40408411214955"/>
    <n v="-29207.399999999907"/>
    <n v="-3.1765499498759647E-2"/>
    <n v="387013.23256349674"/>
    <x v="2"/>
    <x v="6"/>
    <x v="0"/>
  </r>
  <r>
    <x v="1"/>
    <x v="1"/>
    <x v="3"/>
    <x v="0"/>
    <d v="2024-02-13T00:00:00"/>
    <x v="151"/>
    <n v="7500"/>
    <n v="182887.5"/>
    <n v="24.385000000000002"/>
    <n v="7500"/>
    <n v="174997.19"/>
    <n v="23.332958666666666"/>
    <n v="-7890.3099999999977"/>
    <n v="-4.3142970405303793E-2"/>
    <n v="379122.92256349674"/>
    <x v="2"/>
    <x v="6"/>
    <x v="0"/>
  </r>
  <r>
    <x v="1"/>
    <x v="1"/>
    <x v="3"/>
    <x v="0"/>
    <d v="2024-02-13T00:00:00"/>
    <x v="18"/>
    <n v="1250"/>
    <n v="707866.5"/>
    <n v="566.29319999999996"/>
    <n v="1250"/>
    <n v="690823.5"/>
    <n v="552.65880000000004"/>
    <n v="-17043"/>
    <n v="-2.4076573760730306E-2"/>
    <n v="362079.92256349674"/>
    <x v="2"/>
    <x v="6"/>
    <x v="0"/>
  </r>
  <r>
    <x v="1"/>
    <x v="3"/>
    <x v="6"/>
    <x v="0"/>
    <d v="2024-02-13T00:00:00"/>
    <x v="184"/>
    <n v="250000"/>
    <n v="103525847.09999999"/>
    <n v="414.10338839999997"/>
    <n v="250000"/>
    <n v="102020459.37"/>
    <n v="413"/>
    <n v="-4185"/>
    <n v="-0.01"/>
    <n v="357894.92256349674"/>
    <x v="2"/>
    <x v="6"/>
    <x v="0"/>
  </r>
  <r>
    <x v="1"/>
    <x v="1"/>
    <x v="3"/>
    <x v="0"/>
    <d v="2024-02-15T00:00:00"/>
    <x v="18"/>
    <n v="1000"/>
    <n v="569167"/>
    <n v="569.16700000000003"/>
    <n v="1000"/>
    <n v="583154.04"/>
    <n v="583.15404000000001"/>
    <n v="13987.040000000037"/>
    <n v="2.4574580044169878E-2"/>
    <n v="371881.96256349678"/>
    <x v="2"/>
    <x v="6"/>
    <x v="0"/>
  </r>
  <r>
    <x v="1"/>
    <x v="1"/>
    <x v="3"/>
    <x v="0"/>
    <d v="2024-02-16T00:00:00"/>
    <x v="170"/>
    <n v="2000"/>
    <n v="354270"/>
    <n v="177.13499999999999"/>
    <n v="2000"/>
    <n v="347660.31"/>
    <n v="173.83015499999999"/>
    <n v="-6609.6900000000023"/>
    <n v="-1.8657210602083165E-2"/>
    <n v="365272.27256349678"/>
    <x v="2"/>
    <x v="6"/>
    <x v="0"/>
  </r>
  <r>
    <x v="1"/>
    <x v="1"/>
    <x v="3"/>
    <x v="0"/>
    <d v="2024-02-16T00:00:00"/>
    <x v="151"/>
    <n v="10000"/>
    <n v="245955"/>
    <n v="24.595500000000001"/>
    <n v="10000"/>
    <n v="243950.99"/>
    <n v="24.395098999999998"/>
    <n v="-2004.0100000000093"/>
    <n v="-8.1478725783172105E-3"/>
    <n v="363268.26256349677"/>
    <x v="2"/>
    <x v="6"/>
    <x v="0"/>
  </r>
  <r>
    <x v="1"/>
    <x v="1"/>
    <x v="3"/>
    <x v="0"/>
    <d v="2024-02-16T00:00:00"/>
    <x v="168"/>
    <n v="7500"/>
    <n v="527580"/>
    <n v="70.343999999999994"/>
    <n v="7500"/>
    <n v="527237.04"/>
    <n v="70.298272000000011"/>
    <n v="-342.95999999996275"/>
    <n v="-6.5006254975541672E-4"/>
    <n v="362925.30256349681"/>
    <x v="2"/>
    <x v="6"/>
    <x v="0"/>
  </r>
  <r>
    <x v="0"/>
    <x v="3"/>
    <x v="5"/>
    <x v="0"/>
    <d v="2024-02-16T00:00:00"/>
    <x v="185"/>
    <n v="19"/>
    <n v="9988.2999999999993"/>
    <n v="5.2569999999999997"/>
    <n v="19"/>
    <n v="20904.84"/>
    <n v="11.002547368421054"/>
    <n v="10916.54"/>
    <n v="1.0929327312956161"/>
    <n v="373841.84256349679"/>
    <x v="2"/>
    <x v="6"/>
    <x v="0"/>
  </r>
  <r>
    <x v="0"/>
    <x v="1"/>
    <x v="5"/>
    <x v="0"/>
    <d v="2024-02-19T00:00:00"/>
    <x v="170"/>
    <n v="33"/>
    <n v="13123"/>
    <n v="3.976666666666667"/>
    <n v="33"/>
    <n v="22428.58"/>
    <n v="6.796539393939395"/>
    <n v="9305.5800000000017"/>
    <n v="0.70910462546673791"/>
    <n v="383147.4225634968"/>
    <x v="2"/>
    <x v="6"/>
    <x v="0"/>
  </r>
  <r>
    <x v="1"/>
    <x v="1"/>
    <x v="3"/>
    <x v="0"/>
    <d v="2024-02-20T00:00:00"/>
    <x v="186"/>
    <n v="1500"/>
    <n v="194167.5"/>
    <n v="129.44499999999999"/>
    <n v="1500"/>
    <n v="179094.32"/>
    <n v="119.39621333333334"/>
    <n v="-15073.179999999993"/>
    <n v="-7.7629778412968142E-2"/>
    <n v="368074.24256349681"/>
    <x v="2"/>
    <x v="6"/>
    <x v="0"/>
  </r>
  <r>
    <x v="1"/>
    <x v="1"/>
    <x v="3"/>
    <x v="0"/>
    <d v="2024-02-20T00:00:00"/>
    <x v="187"/>
    <n v="10000"/>
    <n v="177021.54"/>
    <n v="17.702154"/>
    <n v="10000"/>
    <n v="163383.54"/>
    <n v="16.338354000000002"/>
    <n v="-13638"/>
    <n v="-7.7041471902232914E-2"/>
    <n v="354436.24256349681"/>
    <x v="2"/>
    <x v="6"/>
    <x v="0"/>
  </r>
  <r>
    <x v="1"/>
    <x v="1"/>
    <x v="3"/>
    <x v="0"/>
    <d v="2024-02-20T00:00:00"/>
    <x v="188"/>
    <n v="3100"/>
    <n v="582677"/>
    <n v="187.96032258064517"/>
    <n v="3100"/>
    <n v="571082"/>
    <n v="184.22"/>
    <n v="-11595"/>
    <n v="-1.9899532674191703E-2"/>
    <n v="342841.24256349681"/>
    <x v="2"/>
    <x v="6"/>
    <x v="0"/>
  </r>
  <r>
    <x v="1"/>
    <x v="5"/>
    <x v="7"/>
    <x v="0"/>
    <d v="2023-10-04T00:00:00"/>
    <x v="129"/>
    <n v="8300"/>
    <n v="128650"/>
    <n v="15.5"/>
    <n v="8300"/>
    <n v="188877.48"/>
    <n v="0.22756322891566266"/>
    <n v="60227.48000000001"/>
    <n v="0.46814986397201719"/>
    <n v="403068.72256349679"/>
    <x v="1"/>
    <x v="3"/>
    <x v="0"/>
  </r>
  <r>
    <x v="1"/>
    <x v="3"/>
    <x v="4"/>
    <x v="0"/>
    <d v="2024-02-23T00:00:00"/>
    <x v="104"/>
    <n v="33"/>
    <n v="142021.41"/>
    <n v="43036.790909090909"/>
    <n v="33"/>
    <n v="169936.49"/>
    <n v="51495.906060606059"/>
    <n v="27915.079999999987"/>
    <n v="0.19655543484605587"/>
    <n v="430983.80256349675"/>
    <x v="2"/>
    <x v="6"/>
    <x v="0"/>
  </r>
  <r>
    <x v="1"/>
    <x v="1"/>
    <x v="3"/>
    <x v="0"/>
    <d v="2024-02-26T00:00:00"/>
    <x v="113"/>
    <n v="6000"/>
    <n v="91230"/>
    <n v="15.205"/>
    <n v="6000"/>
    <n v="88678.29"/>
    <n v="14.779714999999999"/>
    <n v="-2551.7100000000064"/>
    <n v="-2.7970075633015526E-2"/>
    <n v="428432.09256349673"/>
    <x v="2"/>
    <x v="6"/>
    <x v="0"/>
  </r>
  <r>
    <x v="1"/>
    <x v="1"/>
    <x v="3"/>
    <x v="0"/>
    <d v="2024-02-27T00:00:00"/>
    <x v="189"/>
    <n v="5000"/>
    <n v="119775"/>
    <n v="23.954999999999998"/>
    <n v="5000"/>
    <n v="121923.19"/>
    <n v="24.384637999999999"/>
    <n v="2148.1900000000023"/>
    <n v="1.7935211855562534E-2"/>
    <n v="430580.28256349673"/>
    <x v="2"/>
    <x v="6"/>
    <x v="0"/>
  </r>
  <r>
    <x v="1"/>
    <x v="1"/>
    <x v="3"/>
    <x v="0"/>
    <d v="2024-02-27T00:00:00"/>
    <x v="187"/>
    <n v="2400"/>
    <n v="49521.51"/>
    <n v="20.633962499999999"/>
    <n v="2400"/>
    <n v="52863"/>
    <n v="22.026250000000001"/>
    <n v="3341.489999999998"/>
    <n v="6.7475527301166655E-2"/>
    <n v="433921.77256349672"/>
    <x v="2"/>
    <x v="6"/>
    <x v="1"/>
  </r>
  <r>
    <x v="1"/>
    <x v="1"/>
    <x v="3"/>
    <x v="0"/>
    <d v="2024-02-27T00:00:00"/>
    <x v="190"/>
    <n v="3200"/>
    <n v="49814.5"/>
    <n v="15.567031249999999"/>
    <n v="3200"/>
    <n v="51167.06"/>
    <n v="15.989706249999999"/>
    <n v="1352.5599999999977"/>
    <n v="2.7151933673930234E-2"/>
    <n v="435274.33256349672"/>
    <x v="2"/>
    <x v="6"/>
    <x v="1"/>
  </r>
  <r>
    <x v="1"/>
    <x v="1"/>
    <x v="3"/>
    <x v="0"/>
    <d v="2024-02-27T00:00:00"/>
    <x v="187"/>
    <n v="3600"/>
    <n v="73331.44"/>
    <n v="20.369844444444446"/>
    <n v="3600"/>
    <n v="75276"/>
    <n v="20.91"/>
    <n v="1944.5599999999977"/>
    <n v="2.6517411904089128E-2"/>
    <n v="437218.89256349672"/>
    <x v="2"/>
    <x v="6"/>
    <x v="0"/>
  </r>
  <r>
    <x v="1"/>
    <x v="1"/>
    <x v="3"/>
    <x v="0"/>
    <d v="2024-02-27T00:00:00"/>
    <x v="164"/>
    <n v="257"/>
    <n v="49635.31"/>
    <n v="193.1335019455253"/>
    <n v="257"/>
    <n v="52641.31"/>
    <n v="204.82999999999998"/>
    <n v="3006"/>
    <n v="6.056172511061178E-2"/>
    <n v="440224.89256349672"/>
    <x v="2"/>
    <x v="6"/>
    <x v="1"/>
  </r>
  <r>
    <x v="1"/>
    <x v="0"/>
    <x v="4"/>
    <x v="1"/>
    <d v="2024-02-27T00:00:00"/>
    <x v="5"/>
    <n v="2"/>
    <n v="502295.5"/>
    <n v="5022.9549999999999"/>
    <n v="2"/>
    <n v="508504.5"/>
    <n v="5085.0450000000001"/>
    <n v="-6209"/>
    <n v="-1.2361249503529298E-2"/>
    <n v="434015.89256349672"/>
    <x v="2"/>
    <x v="6"/>
    <x v="0"/>
  </r>
  <r>
    <x v="1"/>
    <x v="1"/>
    <x v="3"/>
    <x v="0"/>
    <d v="2024-02-28T00:00:00"/>
    <x v="191"/>
    <n v="2300"/>
    <n v="47602.75"/>
    <n v="20.696847826086955"/>
    <n v="2300"/>
    <n v="36248"/>
    <n v="15.76"/>
    <n v="-11354.75"/>
    <n v="-0.23853138736732646"/>
    <n v="422661.14256349672"/>
    <x v="2"/>
    <x v="6"/>
    <x v="1"/>
  </r>
  <r>
    <x v="1"/>
    <x v="3"/>
    <x v="4"/>
    <x v="0"/>
    <d v="2024-02-28T00:00:00"/>
    <x v="100"/>
    <n v="172"/>
    <n v="720442.04"/>
    <n v="12.54261"/>
    <n v="172"/>
    <n v="739987.96"/>
    <n v="4.3022555813953485"/>
    <n v="19545.919999999925"/>
    <n v="2.7130454519283639E-2"/>
    <n v="442207.06256349664"/>
    <x v="2"/>
    <x v="6"/>
    <x v="0"/>
  </r>
  <r>
    <x v="1"/>
    <x v="1"/>
    <x v="3"/>
    <x v="0"/>
    <d v="2024-02-28T00:00:00"/>
    <x v="110"/>
    <n v="860"/>
    <n v="66900.800000000003"/>
    <n v="77.791627906976743"/>
    <n v="860"/>
    <n v="64830.35"/>
    <n v="75.384127906976744"/>
    <n v="-2070.4500000000044"/>
    <n v="-3.0948060411833705E-2"/>
    <n v="440136.61256349663"/>
    <x v="2"/>
    <x v="6"/>
    <x v="0"/>
  </r>
  <r>
    <x v="1"/>
    <x v="3"/>
    <x v="3"/>
    <x v="0"/>
    <d v="2024-02-29T00:00:00"/>
    <x v="192"/>
    <n v="8000"/>
    <n v="133600"/>
    <n v="16.7"/>
    <n v="8000"/>
    <n v="123681.91"/>
    <n v="15.46023875"/>
    <n v="-9918.0899999999965"/>
    <n v="-7.4237200598802372E-2"/>
    <n v="430218.5225634966"/>
    <x v="2"/>
    <x v="6"/>
    <x v="0"/>
  </r>
  <r>
    <x v="0"/>
    <x v="1"/>
    <x v="5"/>
    <x v="0"/>
    <d v="2024-02-29T00:00:00"/>
    <x v="1"/>
    <n v="5"/>
    <n v="2073.59"/>
    <n v="4.1471800000000005"/>
    <n v="5"/>
    <n v="1463.59"/>
    <n v="2.9271799999999994"/>
    <n v="-610.00000000000023"/>
    <n v="-0.29417580138793131"/>
    <n v="429608.5225634966"/>
    <x v="2"/>
    <x v="6"/>
    <x v="0"/>
  </r>
  <r>
    <x v="1"/>
    <x v="1"/>
    <x v="3"/>
    <x v="0"/>
    <d v="2024-02-29T00:00:00"/>
    <x v="96"/>
    <n v="3200"/>
    <n v="420129.54"/>
    <n v="131.29048125"/>
    <n v="3200"/>
    <n v="454132.02"/>
    <n v="141.91625625"/>
    <n v="34002.48000000004"/>
    <n v="8.0933323564917725E-2"/>
    <n v="463611.00256349664"/>
    <x v="2"/>
    <x v="6"/>
    <x v="2"/>
  </r>
  <r>
    <x v="1"/>
    <x v="4"/>
    <x v="6"/>
    <x v="1"/>
    <d v="2024-02-29T00:00:00"/>
    <x v="193"/>
    <n v="1500000"/>
    <n v="1666633.87"/>
    <n v="1.1110892466666666"/>
    <n v="1500000"/>
    <n v="1674672.57"/>
    <m/>
    <n v="-9055"/>
    <n v="0"/>
    <n v="454556.00256349664"/>
    <x v="2"/>
    <x v="6"/>
    <x v="0"/>
  </r>
  <r>
    <x v="0"/>
    <x v="0"/>
    <x v="2"/>
    <x v="0"/>
    <d v="2024-03-01T00:00:00"/>
    <x v="7"/>
    <n v="90"/>
    <n v="10411.82"/>
    <n v="1.1568688888888889"/>
    <n v="90"/>
    <n v="4437"/>
    <n v="0.49299999999999999"/>
    <n v="-5974.82"/>
    <n v="-0.57384972079809293"/>
    <n v="448581.18256349664"/>
    <x v="2"/>
    <x v="0"/>
    <x v="0"/>
  </r>
  <r>
    <x v="1"/>
    <x v="1"/>
    <x v="3"/>
    <x v="0"/>
    <d v="2024-03-01T00:00:00"/>
    <x v="194"/>
    <n v="2600"/>
    <n v="49744.34"/>
    <n v="19.13243846153846"/>
    <n v="2600"/>
    <n v="49750.89"/>
    <n v="19.134957692307694"/>
    <n v="-7"/>
    <n v="-1.4071952708589561E-4"/>
    <n v="448574.18256349664"/>
    <x v="2"/>
    <x v="0"/>
    <x v="1"/>
  </r>
  <r>
    <x v="1"/>
    <x v="1"/>
    <x v="3"/>
    <x v="0"/>
    <d v="2024-03-04T00:00:00"/>
    <x v="139"/>
    <n v="1750"/>
    <n v="110871.25"/>
    <n v="63.354999999999997"/>
    <n v="1750"/>
    <n v="114247.55"/>
    <n v="65.284314285714288"/>
    <n v="3376.3000000000029"/>
    <n v="3.0452439203129782E-2"/>
    <n v="451950.48256349663"/>
    <x v="2"/>
    <x v="0"/>
    <x v="0"/>
  </r>
  <r>
    <x v="1"/>
    <x v="1"/>
    <x v="3"/>
    <x v="0"/>
    <d v="2024-03-04T00:00:00"/>
    <x v="187"/>
    <n v="1800"/>
    <n v="31742.5"/>
    <n v="17.634722222222223"/>
    <n v="1800"/>
    <n v="29242.309999999998"/>
    <n v="16.245727777777777"/>
    <n v="-2500.1900000000023"/>
    <n v="-7.8764747578168148E-2"/>
    <n v="449450.29256349662"/>
    <x v="2"/>
    <x v="0"/>
    <x v="0"/>
  </r>
  <r>
    <x v="1"/>
    <x v="1"/>
    <x v="3"/>
    <x v="0"/>
    <d v="2024-03-05T00:00:00"/>
    <x v="195"/>
    <n v="3000"/>
    <n v="156756"/>
    <n v="52.252000000000002"/>
    <n v="3000"/>
    <n v="146568.43"/>
    <n v="48.856143333333328"/>
    <n v="-10187.570000000007"/>
    <n v="-6.4989984434407663E-2"/>
    <n v="439262.72256349662"/>
    <x v="2"/>
    <x v="0"/>
    <x v="0"/>
  </r>
  <r>
    <x v="1"/>
    <x v="1"/>
    <x v="3"/>
    <x v="0"/>
    <d v="2024-03-05T00:00:00"/>
    <x v="144"/>
    <n v="3225"/>
    <n v="101856.38"/>
    <n v="31.583373643410855"/>
    <n v="3225"/>
    <n v="92301.5"/>
    <n v="28.620620155038761"/>
    <n v="-9554.8800000000047"/>
    <n v="-9.3807378585416101E-2"/>
    <n v="429707.84256349661"/>
    <x v="2"/>
    <x v="0"/>
    <x v="0"/>
  </r>
  <r>
    <x v="1"/>
    <x v="1"/>
    <x v="3"/>
    <x v="0"/>
    <d v="2024-03-05T00:00:00"/>
    <x v="196"/>
    <n v="850"/>
    <n v="48840.63"/>
    <n v="57.45956470588235"/>
    <n v="850"/>
    <n v="50638.2"/>
    <n v="59.574352941176464"/>
    <n v="1797.5699999999997"/>
    <n v="3.6804807800390776E-2"/>
    <n v="431505.41256349662"/>
    <x v="2"/>
    <x v="0"/>
    <x v="1"/>
  </r>
  <r>
    <x v="1"/>
    <x v="1"/>
    <x v="3"/>
    <x v="0"/>
    <d v="2024-03-06T00:00:00"/>
    <x v="137"/>
    <n v="800"/>
    <n v="267648"/>
    <n v="334.56"/>
    <n v="800"/>
    <n v="262595.27"/>
    <n v="328.24408750000003"/>
    <n v="-5063"/>
    <n v="-1.8916636776661885E-2"/>
    <n v="426442.41256349662"/>
    <x v="2"/>
    <x v="0"/>
    <x v="0"/>
  </r>
  <r>
    <x v="1"/>
    <x v="1"/>
    <x v="3"/>
    <x v="0"/>
    <d v="2024-03-06T00:00:00"/>
    <x v="197"/>
    <n v="1150"/>
    <n v="106547"/>
    <n v="92.649565217391299"/>
    <n v="1150"/>
    <n v="105719.5"/>
    <n v="91.93"/>
    <n v="-5063"/>
    <n v="-4.7518935305545906E-2"/>
    <n v="421379.41256349662"/>
    <x v="2"/>
    <x v="0"/>
    <x v="0"/>
  </r>
  <r>
    <x v="1"/>
    <x v="1"/>
    <x v="6"/>
    <x v="1"/>
    <d v="2024-03-06T00:00:00"/>
    <x v="81"/>
    <n v="585000"/>
    <n v="88145475.900000006"/>
    <n v="150.67602717948719"/>
    <n v="585000"/>
    <n v="86983252.290000007"/>
    <m/>
    <n v="-7713.3943053565108"/>
    <n v="0"/>
    <n v="413666.01825814013"/>
    <x v="2"/>
    <x v="0"/>
    <x v="0"/>
  </r>
  <r>
    <x v="1"/>
    <x v="1"/>
    <x v="3"/>
    <x v="1"/>
    <d v="2024-03-07T00:00:00"/>
    <x v="198"/>
    <n v="4800"/>
    <n v="282415.69"/>
    <n v="58.836602083333332"/>
    <n v="4800"/>
    <n v="293209.86"/>
    <n v="61.085387499999996"/>
    <n v="-10794.169999999984"/>
    <n v="-3.8220858055018063E-2"/>
    <n v="402871.84825814015"/>
    <x v="2"/>
    <x v="0"/>
    <x v="0"/>
  </r>
  <r>
    <x v="1"/>
    <x v="1"/>
    <x v="3"/>
    <x v="0"/>
    <d v="2024-03-07T00:00:00"/>
    <x v="199"/>
    <n v="10000"/>
    <n v="189537.69"/>
    <n v="18.953769000000001"/>
    <n v="10000"/>
    <n v="179992"/>
    <n v="17.999199999999998"/>
    <n v="-9545.6900000000023"/>
    <n v="-5.0363017508549365E-2"/>
    <n v="393326.15825814015"/>
    <x v="2"/>
    <x v="0"/>
    <x v="0"/>
  </r>
  <r>
    <x v="1"/>
    <x v="0"/>
    <x v="4"/>
    <x v="1"/>
    <d v="2024-03-07T00:00:00"/>
    <x v="5"/>
    <n v="3"/>
    <n v="767829.75"/>
    <n v="5118.8649999999998"/>
    <n v="3"/>
    <n v="773931.75"/>
    <n v="5159.5450000000001"/>
    <n v="-6102"/>
    <n v="-7.9470742049262879E-3"/>
    <n v="387224.15825814015"/>
    <x v="2"/>
    <x v="0"/>
    <x v="0"/>
  </r>
  <r>
    <x v="1"/>
    <x v="1"/>
    <x v="3"/>
    <x v="0"/>
    <d v="2024-03-08T00:00:00"/>
    <x v="200"/>
    <n v="1000"/>
    <n v="53351.519999999997"/>
    <n v="53.351519999999994"/>
    <n v="1000"/>
    <n v="55620.04"/>
    <n v="55.620040000000003"/>
    <n v="2268.5200000000041"/>
    <n v="4.2520250594547337E-2"/>
    <n v="389492.67825814016"/>
    <x v="2"/>
    <x v="0"/>
    <x v="0"/>
  </r>
  <r>
    <x v="1"/>
    <x v="1"/>
    <x v="3"/>
    <x v="0"/>
    <d v="2024-03-08T00:00:00"/>
    <x v="162"/>
    <n v="4000"/>
    <n v="100963.9292"/>
    <n v="25.240982299999999"/>
    <n v="4000"/>
    <n v="111374.33"/>
    <n v="27.8435825"/>
    <n v="-10410.400800000003"/>
    <n v="-0.10311009964140741"/>
    <n v="379082.27745814016"/>
    <x v="2"/>
    <x v="0"/>
    <x v="0"/>
  </r>
  <r>
    <x v="1"/>
    <x v="1"/>
    <x v="3"/>
    <x v="0"/>
    <d v="2024-03-08T00:00:00"/>
    <x v="110"/>
    <n v="3000"/>
    <n v="240579"/>
    <n v="80.192999999999998"/>
    <n v="3000"/>
    <n v="259212.43"/>
    <n v="86.404143333333337"/>
    <n v="18633.429999999993"/>
    <n v="7.7452437660809934E-2"/>
    <n v="397715.70745814015"/>
    <x v="2"/>
    <x v="0"/>
    <x v="0"/>
  </r>
  <r>
    <x v="1"/>
    <x v="1"/>
    <x v="3"/>
    <x v="0"/>
    <d v="2024-03-08T00:00:00"/>
    <x v="201"/>
    <n v="12500"/>
    <n v="144241.82"/>
    <n v="11.539345600000001"/>
    <n v="4000"/>
    <n v="142802.82"/>
    <n v="35.700704999999999"/>
    <n v="-1439"/>
    <n v="-9.9763022956865077E-3"/>
    <n v="396276.70745814015"/>
    <x v="2"/>
    <x v="0"/>
    <x v="0"/>
  </r>
  <r>
    <x v="1"/>
    <x v="1"/>
    <x v="3"/>
    <x v="0"/>
    <d v="2024-03-08T00:00:00"/>
    <x v="187"/>
    <n v="2250"/>
    <n v="37890"/>
    <n v="16.84"/>
    <n v="2250"/>
    <n v="43005"/>
    <n v="19.113333333333333"/>
    <n v="5115"/>
    <n v="0.13499604117181313"/>
    <n v="401391.70745814015"/>
    <x v="2"/>
    <x v="0"/>
    <x v="0"/>
  </r>
  <r>
    <x v="1"/>
    <x v="1"/>
    <x v="3"/>
    <x v="0"/>
    <d v="2024-03-08T00:00:00"/>
    <x v="130"/>
    <n v="2500"/>
    <n v="199750"/>
    <n v="79.900000000000006"/>
    <n v="2500"/>
    <n v="197650"/>
    <n v="79.06"/>
    <n v="-2127"/>
    <n v="-1.0648310387984982E-2"/>
    <n v="399264.70745814015"/>
    <x v="2"/>
    <x v="0"/>
    <x v="0"/>
  </r>
  <r>
    <x v="1"/>
    <x v="3"/>
    <x v="3"/>
    <x v="0"/>
    <d v="2024-03-08T00:00:00"/>
    <x v="202"/>
    <n v="1100"/>
    <n v="112703.85"/>
    <n v="102.45804545454546"/>
    <n v="1100"/>
    <n v="107895"/>
    <n v="98.086363636363643"/>
    <n v="-4808.8500000000058"/>
    <n v="-4.2668018883117172E-2"/>
    <n v="394455.85745814012"/>
    <x v="2"/>
    <x v="0"/>
    <x v="0"/>
  </r>
  <r>
    <x v="1"/>
    <x v="1"/>
    <x v="4"/>
    <x v="0"/>
    <d v="2024-03-08T00:00:00"/>
    <x v="11"/>
    <n v="10"/>
    <n v="1032977"/>
    <n v="2059.0439999999999"/>
    <n v="10"/>
    <n v="1038023"/>
    <n v="2076.0459999999998"/>
    <n v="5046"/>
    <n v="4.8849103126207072E-3"/>
    <n v="399501.85745814012"/>
    <x v="2"/>
    <x v="0"/>
    <x v="0"/>
  </r>
  <r>
    <x v="1"/>
    <x v="1"/>
    <x v="4"/>
    <x v="0"/>
    <d v="2024-03-08T00:00:00"/>
    <x v="50"/>
    <n v="2"/>
    <n v="396856.04"/>
    <n v="39685.603999999999"/>
    <n v="2"/>
    <n v="388493"/>
    <n v="38849.300000000003"/>
    <n v="-8363.039999999979"/>
    <n v="-2.107323350804987E-2"/>
    <n v="391138.81745814014"/>
    <x v="2"/>
    <x v="0"/>
    <x v="0"/>
  </r>
  <r>
    <x v="1"/>
    <x v="1"/>
    <x v="3"/>
    <x v="1"/>
    <d v="2024-03-12T00:00:00"/>
    <x v="203"/>
    <n v="685"/>
    <n v="40274.32"/>
    <n v="58.794627737226278"/>
    <n v="685"/>
    <n v="39589.58"/>
    <n v="57.795007299270075"/>
    <n v="684.73999999999796"/>
    <n v="1.7001900963194361E-2"/>
    <n v="391823.55745814013"/>
    <x v="2"/>
    <x v="0"/>
    <x v="0"/>
  </r>
  <r>
    <x v="1"/>
    <x v="1"/>
    <x v="3"/>
    <x v="0"/>
    <d v="2024-03-13T00:00:00"/>
    <x v="204"/>
    <n v="1150"/>
    <n v="50067.6"/>
    <n v="43.53704347826087"/>
    <n v="1150"/>
    <n v="49883.26"/>
    <n v="43.376747826086955"/>
    <n v="-184.33999999999651"/>
    <n v="-3.6818221764174141E-3"/>
    <n v="391639.21745814011"/>
    <x v="2"/>
    <x v="0"/>
    <x v="1"/>
  </r>
  <r>
    <x v="1"/>
    <x v="1"/>
    <x v="3"/>
    <x v="0"/>
    <d v="2024-03-13T00:00:00"/>
    <x v="205"/>
    <n v="440"/>
    <n v="49469.84"/>
    <n v="112.43145454545454"/>
    <n v="440"/>
    <n v="47874.34"/>
    <n v="108.80531818181818"/>
    <n v="-1595.5"/>
    <n v="-3.2251974132117674E-2"/>
    <n v="390043.71745814011"/>
    <x v="2"/>
    <x v="0"/>
    <x v="1"/>
  </r>
  <r>
    <x v="1"/>
    <x v="1"/>
    <x v="3"/>
    <x v="0"/>
    <d v="2024-03-13T00:00:00"/>
    <x v="206"/>
    <n v="1400"/>
    <n v="49444.94"/>
    <n v="35.317814285714284"/>
    <n v="1400"/>
    <n v="47802.39"/>
    <n v="34.144564285714289"/>
    <n v="-1642.5500000000029"/>
    <n v="-3.3219779415244573E-2"/>
    <n v="388401.16745814012"/>
    <x v="2"/>
    <x v="0"/>
    <x v="1"/>
  </r>
  <r>
    <x v="1"/>
    <x v="3"/>
    <x v="4"/>
    <x v="1"/>
    <d v="2024-03-14T00:00:00"/>
    <x v="14"/>
    <n v="6"/>
    <n v="485760"/>
    <n v="80.959999999999994"/>
    <n v="6"/>
    <n v="483180"/>
    <n v="1610.6000000000001"/>
    <n v="2580"/>
    <n v="5.311264822134387E-3"/>
    <n v="390981.16745814012"/>
    <x v="2"/>
    <x v="0"/>
    <x v="0"/>
  </r>
  <r>
    <x v="1"/>
    <x v="1"/>
    <x v="3"/>
    <x v="0"/>
    <d v="2024-03-14T00:00:00"/>
    <x v="170"/>
    <n v="1200"/>
    <n v="234997.8"/>
    <n v="195.83149999999998"/>
    <n v="1200"/>
    <n v="227983"/>
    <n v="189.98583333333335"/>
    <n v="-7014.7999999999884"/>
    <n v="-2.9850492217373903E-2"/>
    <n v="383966.36745814013"/>
    <x v="2"/>
    <x v="0"/>
    <x v="0"/>
  </r>
  <r>
    <x v="1"/>
    <x v="1"/>
    <x v="3"/>
    <x v="0"/>
    <d v="2024-03-14T00:00:00"/>
    <x v="207"/>
    <n v="11000"/>
    <n v="82165"/>
    <n v="7.4695454545454547"/>
    <n v="11000"/>
    <n v="73365"/>
    <n v="6.6695454545454549"/>
    <n v="-8800"/>
    <n v="-0.10710156392624597"/>
    <n v="375166.36745814013"/>
    <x v="2"/>
    <x v="0"/>
    <x v="0"/>
  </r>
  <r>
    <x v="0"/>
    <x v="0"/>
    <x v="2"/>
    <x v="0"/>
    <d v="2024-03-15T00:00:00"/>
    <x v="208"/>
    <n v="50"/>
    <n v="10272.34"/>
    <n v="2.054468"/>
    <n v="50"/>
    <n v="8352.4500000000007"/>
    <n v="1.67049"/>
    <n v="-1919.8899999999994"/>
    <n v="-0.18689899282928715"/>
    <n v="373246.47745814011"/>
    <x v="2"/>
    <x v="0"/>
    <x v="0"/>
  </r>
  <r>
    <x v="1"/>
    <x v="4"/>
    <x v="3"/>
    <x v="0"/>
    <d v="2024-03-15T00:00:00"/>
    <x v="209"/>
    <n v="4100"/>
    <n v="201658.5"/>
    <n v="49.185000000000002"/>
    <n v="4100"/>
    <n v="198548.1"/>
    <n v="48.426365853658538"/>
    <n v="-3110.3999999999942"/>
    <n v="-1.5424095686519508E-2"/>
    <n v="370136.07745814009"/>
    <x v="2"/>
    <x v="0"/>
    <x v="0"/>
  </r>
  <r>
    <x v="1"/>
    <x v="3"/>
    <x v="3"/>
    <x v="0"/>
    <d v="2024-03-15T00:00:00"/>
    <x v="210"/>
    <n v="2650"/>
    <n v="114631.31"/>
    <n v="43.257098113207547"/>
    <n v="2650"/>
    <n v="111845.88"/>
    <n v="42.205992452830188"/>
    <n v="-2785.429999999993"/>
    <n v="-2.4299033135013401E-2"/>
    <n v="367350.6474581401"/>
    <x v="2"/>
    <x v="0"/>
    <x v="0"/>
  </r>
  <r>
    <x v="1"/>
    <x v="4"/>
    <x v="3"/>
    <x v="0"/>
    <d v="2024-03-15T00:00:00"/>
    <x v="38"/>
    <n v="550"/>
    <n v="227109.88"/>
    <n v="412.92705454545455"/>
    <n v="550"/>
    <n v="229378.53"/>
    <n v="417.05187272727272"/>
    <n v="2268.6499999999942"/>
    <n v="9.9892175540755614E-3"/>
    <n v="369619.29745814006"/>
    <x v="2"/>
    <x v="0"/>
    <x v="0"/>
  </r>
  <r>
    <x v="1"/>
    <x v="4"/>
    <x v="3"/>
    <x v="0"/>
    <d v="2024-03-15T00:00:00"/>
    <x v="211"/>
    <n v="3300"/>
    <n v="192737.7"/>
    <n v="58.405363636363639"/>
    <n v="3300"/>
    <n v="188158.85"/>
    <n v="57.017833333333336"/>
    <n v="-4578.8500000000058"/>
    <n v="-2.3756898624399926E-2"/>
    <n v="365040.44745814009"/>
    <x v="2"/>
    <x v="0"/>
    <x v="0"/>
  </r>
  <r>
    <x v="0"/>
    <x v="4"/>
    <x v="2"/>
    <x v="0"/>
    <d v="2024-03-15T00:00:00"/>
    <x v="103"/>
    <n v="15"/>
    <n v="12310.3"/>
    <n v="8.2068666666666665"/>
    <n v="0"/>
    <n v="0"/>
    <m/>
    <n v="-12310.3"/>
    <n v="-1"/>
    <n v="352730.1474581401"/>
    <x v="2"/>
    <x v="0"/>
    <x v="0"/>
  </r>
  <r>
    <x v="0"/>
    <x v="3"/>
    <x v="5"/>
    <x v="0"/>
    <d v="2024-03-15T00:00:00"/>
    <x v="212"/>
    <n v="10"/>
    <n v="7706.87"/>
    <n v="7.7068700000000003"/>
    <n v="10"/>
    <n v="0"/>
    <n v="0"/>
    <n v="-7706.87"/>
    <n v="-1"/>
    <n v="345023.2774581401"/>
    <x v="2"/>
    <x v="0"/>
    <x v="0"/>
  </r>
  <r>
    <x v="0"/>
    <x v="4"/>
    <x v="2"/>
    <x v="0"/>
    <d v="2024-03-15T00:00:00"/>
    <x v="60"/>
    <n v="50"/>
    <n v="6482.34"/>
    <n v="1.2964680000000002"/>
    <n v="50"/>
    <n v="0"/>
    <n v="0"/>
    <n v="-6482.34"/>
    <n v="-1"/>
    <n v="338540.93745814008"/>
    <x v="2"/>
    <x v="0"/>
    <x v="0"/>
  </r>
  <r>
    <x v="0"/>
    <x v="0"/>
    <x v="2"/>
    <x v="0"/>
    <d v="2024-03-15T00:00:00"/>
    <x v="208"/>
    <n v="50"/>
    <n v="10272.34"/>
    <n v="2.054468"/>
    <n v="50"/>
    <n v="8352.4500000000007"/>
    <n v="1.67049"/>
    <n v="-1919.8899999999994"/>
    <n v="-0.18689899282928715"/>
    <n v="336621.04745814006"/>
    <x v="2"/>
    <x v="0"/>
    <x v="0"/>
  </r>
  <r>
    <x v="1"/>
    <x v="1"/>
    <x v="7"/>
    <x v="0"/>
    <d v="2024-03-18T00:00:00"/>
    <x v="213"/>
    <n v="12000"/>
    <n v="91524.3"/>
    <n v="7.6270250000000006"/>
    <n v="12000"/>
    <n v="92757.27"/>
    <n v="7.7297725000000002"/>
    <n v="1232.9700000000012"/>
    <n v="1.3471504289024895E-2"/>
    <n v="337854.01745814004"/>
    <x v="2"/>
    <x v="0"/>
    <x v="0"/>
  </r>
  <r>
    <x v="1"/>
    <x v="3"/>
    <x v="3"/>
    <x v="0"/>
    <d v="2024-03-19T00:00:00"/>
    <x v="214"/>
    <n v="300"/>
    <n v="49200"/>
    <n v="164"/>
    <n v="300"/>
    <n v="43996.1"/>
    <n v="146.65366666666665"/>
    <n v="-5203.9000000000015"/>
    <n v="-0.10577032520325207"/>
    <n v="332650.11745814001"/>
    <x v="2"/>
    <x v="0"/>
    <x v="0"/>
  </r>
  <r>
    <x v="1"/>
    <x v="1"/>
    <x v="3"/>
    <x v="0"/>
    <d v="2024-03-19T00:00:00"/>
    <x v="151"/>
    <n v="4400"/>
    <n v="108680"/>
    <n v="24.7"/>
    <n v="4400"/>
    <n v="101220.46"/>
    <n v="23.004650000000002"/>
    <n v="-7459.5399999999936"/>
    <n v="-6.8637651821862294E-2"/>
    <n v="325190.57745814003"/>
    <x v="2"/>
    <x v="0"/>
    <x v="0"/>
  </r>
  <r>
    <x v="1"/>
    <x v="1"/>
    <x v="3"/>
    <x v="0"/>
    <d v="2024-03-19T00:00:00"/>
    <x v="187"/>
    <n v="4500"/>
    <n v="79681"/>
    <n v="17.706888888888887"/>
    <n v="4500"/>
    <n v="71778.11"/>
    <n v="15.95069111111111"/>
    <n v="-7902.8899999999994"/>
    <n v="-9.9181611676560283E-2"/>
    <n v="317287.68745814002"/>
    <x v="2"/>
    <x v="0"/>
    <x v="0"/>
  </r>
  <r>
    <x v="1"/>
    <x v="1"/>
    <x v="3"/>
    <x v="0"/>
    <d v="2024-03-19T00:00:00"/>
    <x v="110"/>
    <n v="1500"/>
    <n v="122752"/>
    <n v="81.834666666666664"/>
    <n v="1500"/>
    <n v="117060.94"/>
    <n v="78.040626666666668"/>
    <n v="-5691.0599999999977"/>
    <n v="-4.6362258863399355E-2"/>
    <n v="311596.62745814002"/>
    <x v="2"/>
    <x v="0"/>
    <x v="0"/>
  </r>
  <r>
    <x v="1"/>
    <x v="1"/>
    <x v="3"/>
    <x v="0"/>
    <d v="2024-03-19T00:00:00"/>
    <x v="139"/>
    <n v="2000"/>
    <n v="129910"/>
    <n v="64.954999999999998"/>
    <n v="2000"/>
    <n v="123590.43"/>
    <n v="61.795214999999999"/>
    <n v="-6319.570000000007"/>
    <n v="-4.864575475329079E-2"/>
    <n v="305277.05745814001"/>
    <x v="2"/>
    <x v="0"/>
    <x v="0"/>
  </r>
  <r>
    <x v="1"/>
    <x v="1"/>
    <x v="3"/>
    <x v="0"/>
    <d v="2024-03-19T00:00:00"/>
    <x v="135"/>
    <n v="3600"/>
    <n v="159602.29999999999"/>
    <n v="44.333972222222222"/>
    <n v="3600"/>
    <n v="141892.141"/>
    <n v="39.414483611111109"/>
    <n v="-17710.158999999985"/>
    <n v="-0.11096430941158107"/>
    <n v="287566.89845814003"/>
    <x v="2"/>
    <x v="0"/>
    <x v="0"/>
  </r>
  <r>
    <x v="1"/>
    <x v="1"/>
    <x v="3"/>
    <x v="0"/>
    <d v="2024-03-20T00:00:00"/>
    <x v="215"/>
    <n v="11400"/>
    <n v="99047.46"/>
    <n v="8.6883736842105268"/>
    <n v="11400"/>
    <n v="85705"/>
    <n v="7.5179824561403512"/>
    <n v="-13342.460000000006"/>
    <n v="-0.13470774515570622"/>
    <n v="274224.43845814001"/>
    <x v="2"/>
    <x v="0"/>
    <x v="0"/>
  </r>
  <r>
    <x v="0"/>
    <x v="0"/>
    <x v="5"/>
    <x v="0"/>
    <d v="2024-03-21T00:00:00"/>
    <x v="216"/>
    <n v="10"/>
    <n v="7850"/>
    <n v="7.85"/>
    <n v="5"/>
    <n v="6295"/>
    <n v="12.59"/>
    <n v="-1555"/>
    <n v="0.6038216560509555"/>
    <n v="272669.43845814001"/>
    <x v="2"/>
    <x v="0"/>
    <x v="0"/>
  </r>
  <r>
    <x v="0"/>
    <x v="1"/>
    <x v="5"/>
    <x v="0"/>
    <d v="2024-03-22T00:00:00"/>
    <x v="135"/>
    <n v="20"/>
    <n v="4948.9399999999996"/>
    <n v="2.4744699999999997"/>
    <n v="20"/>
    <n v="3562.98"/>
    <n v="1.78149"/>
    <n v="-1385.9599999999996"/>
    <n v="-0.28005188989965518"/>
    <n v="271283.47845813999"/>
    <x v="2"/>
    <x v="0"/>
    <x v="0"/>
  </r>
  <r>
    <x v="0"/>
    <x v="1"/>
    <x v="5"/>
    <x v="0"/>
    <d v="2024-03-22T00:00:00"/>
    <x v="135"/>
    <n v="18"/>
    <n v="2978.04"/>
    <n v="1.6544666666666665"/>
    <n v="18"/>
    <n v="11537.32"/>
    <n v="6.4096222222222217"/>
    <n v="8559.2799999999988"/>
    <n v="2.8741319794227076"/>
    <n v="279842.75845813996"/>
    <x v="2"/>
    <x v="0"/>
    <x v="0"/>
  </r>
  <r>
    <x v="1"/>
    <x v="4"/>
    <x v="7"/>
    <x v="0"/>
    <d v="2024-03-24T00:00:00"/>
    <x v="25"/>
    <n v="10000"/>
    <n v="73446.490000000005"/>
    <n v="7.3446490000000004"/>
    <n v="10000"/>
    <n v="62825.04"/>
    <n v="6.2825040000000003"/>
    <n v="-10621.450000000004"/>
    <n v="-0.14461480732435278"/>
    <n v="269221.30845813995"/>
    <x v="2"/>
    <x v="0"/>
    <x v="0"/>
  </r>
  <r>
    <x v="1"/>
    <x v="0"/>
    <x v="3"/>
    <x v="0"/>
    <d v="2024-03-25T00:00:00"/>
    <x v="112"/>
    <n v="1000"/>
    <n v="114025"/>
    <n v="114.02500000000001"/>
    <n v="1000"/>
    <n v="113040.49"/>
    <n v="113.04049000000001"/>
    <n v="-984.50999999999476"/>
    <n v="-8.6341591756193357E-3"/>
    <n v="268236.79845813994"/>
    <x v="2"/>
    <x v="0"/>
    <x v="0"/>
  </r>
  <r>
    <x v="1"/>
    <x v="1"/>
    <x v="3"/>
    <x v="0"/>
    <d v="2024-03-26T00:00:00"/>
    <x v="16"/>
    <n v="230"/>
    <n v="205463.6"/>
    <n v="893.32"/>
    <n v="230"/>
    <n v="208303.55"/>
    <n v="905.66760869565212"/>
    <n v="2839.9499999999825"/>
    <n v="1.3822156333287173E-2"/>
    <n v="271076.74845813995"/>
    <x v="2"/>
    <x v="0"/>
    <x v="0"/>
  </r>
  <r>
    <x v="1"/>
    <x v="1"/>
    <x v="3"/>
    <x v="0"/>
    <d v="2024-03-27T00:00:00"/>
    <x v="135"/>
    <n v="3300"/>
    <n v="155139.6"/>
    <n v="47.012"/>
    <n v="3300"/>
    <n v="146539.98000000001"/>
    <n v="44.406054545454552"/>
    <n v="-8599.6199999999953"/>
    <n v="-5.5431495246861501E-2"/>
    <n v="262477.12845813995"/>
    <x v="2"/>
    <x v="0"/>
    <x v="0"/>
  </r>
  <r>
    <x v="1"/>
    <x v="4"/>
    <x v="3"/>
    <x v="0"/>
    <d v="2024-03-28T00:00:00"/>
    <x v="114"/>
    <n v="2500"/>
    <n v="161975"/>
    <n v="64.790000000000006"/>
    <n v="2500"/>
    <n v="177295.45"/>
    <n v="70.918180000000007"/>
    <n v="15320.450000000012"/>
    <n v="9.4585275505479308E-2"/>
    <n v="277797.57845813996"/>
    <x v="2"/>
    <x v="0"/>
    <x v="0"/>
  </r>
  <r>
    <x v="1"/>
    <x v="1"/>
    <x v="3"/>
    <x v="0"/>
    <d v="2024-03-28T00:00:00"/>
    <x v="170"/>
    <n v="900"/>
    <n v="160677.56"/>
    <n v="178.53062222222221"/>
    <n v="900"/>
    <n v="162144"/>
    <n v="180.16"/>
    <n v="1466.4400000000023"/>
    <n v="9.1266011258821847E-3"/>
    <n v="279264.01845813997"/>
    <x v="2"/>
    <x v="0"/>
    <x v="0"/>
  </r>
  <r>
    <x v="1"/>
    <x v="1"/>
    <x v="3"/>
    <x v="0"/>
    <d v="2024-03-28T00:00:00"/>
    <x v="139"/>
    <n v="1400"/>
    <n v="90129.5"/>
    <n v="64.378214285714279"/>
    <n v="1400"/>
    <n v="86282.62"/>
    <n v="61.630442857142853"/>
    <n v="-3846.8800000000047"/>
    <n v="-4.2681696891694779E-2"/>
    <n v="275417.13845813996"/>
    <x v="2"/>
    <x v="0"/>
    <x v="0"/>
  </r>
  <r>
    <x v="1"/>
    <x v="3"/>
    <x v="3"/>
    <x v="0"/>
    <d v="2024-04-04T00:00:00"/>
    <x v="112"/>
    <n v="3100"/>
    <n v="356050.5"/>
    <n v="114.855"/>
    <n v="3100"/>
    <n v="398756.8"/>
    <n v="128.6312258064516"/>
    <n v="42706.299999999988"/>
    <n v="0.11994450225459588"/>
    <n v="318123.43845813995"/>
    <x v="2"/>
    <x v="1"/>
    <x v="0"/>
  </r>
  <r>
    <x v="1"/>
    <x v="0"/>
    <x v="3"/>
    <x v="0"/>
    <d v="2024-04-02T00:00:00"/>
    <x v="160"/>
    <n v="3000"/>
    <n v="110298"/>
    <n v="36.765999999999998"/>
    <n v="3000"/>
    <n v="104306.42"/>
    <n v="34.768806666666663"/>
    <n v="-5991.5800000000017"/>
    <n v="-5.4321746541188431E-2"/>
    <n v="312131.85845813993"/>
    <x v="2"/>
    <x v="1"/>
    <x v="0"/>
  </r>
  <r>
    <x v="1"/>
    <x v="0"/>
    <x v="3"/>
    <x v="0"/>
    <d v="2024-04-02T00:00:00"/>
    <x v="217"/>
    <n v="1000"/>
    <n v="150505"/>
    <n v="150.505"/>
    <n v="1000"/>
    <n v="146229.01999999999"/>
    <n v="146.22901999999999"/>
    <n v="-4275.9800000000105"/>
    <n v="-2.8410883359356903E-2"/>
    <n v="307855.87845813995"/>
    <x v="2"/>
    <x v="1"/>
    <x v="0"/>
  </r>
  <r>
    <x v="1"/>
    <x v="1"/>
    <x v="3"/>
    <x v="0"/>
    <d v="2024-04-11T00:00:00"/>
    <x v="218"/>
    <n v="4200"/>
    <n v="48720"/>
    <n v="11.6"/>
    <n v="4200"/>
    <n v="49427.39"/>
    <n v="11.768426190476191"/>
    <n v="707.38999999999942"/>
    <n v="1.4519499178981926E-2"/>
    <n v="308563.26845813997"/>
    <x v="2"/>
    <x v="1"/>
    <x v="1"/>
  </r>
  <r>
    <x v="1"/>
    <x v="1"/>
    <x v="3"/>
    <x v="0"/>
    <d v="2024-04-11T00:00:00"/>
    <x v="219"/>
    <n v="965"/>
    <n v="49802.95"/>
    <n v="51.609274611398959"/>
    <n v="965"/>
    <n v="51554.55"/>
    <n v="53.424404145077723"/>
    <n v="1751.6000000000058"/>
    <n v="3.5170607363620147E-2"/>
    <n v="310314.86845813994"/>
    <x v="2"/>
    <x v="1"/>
    <x v="1"/>
  </r>
  <r>
    <x v="1"/>
    <x v="3"/>
    <x v="3"/>
    <x v="0"/>
    <d v="2024-04-02T00:00:00"/>
    <x v="220"/>
    <n v="380"/>
    <n v="121628.5"/>
    <n v="320.07499999999999"/>
    <n v="380"/>
    <n v="117219.5"/>
    <n v="308.47236842105264"/>
    <n v="-4409"/>
    <n v="-3.6249727654291554E-2"/>
    <n v="305905.86845813994"/>
    <x v="2"/>
    <x v="1"/>
    <x v="0"/>
  </r>
  <r>
    <x v="1"/>
    <x v="1"/>
    <x v="3"/>
    <x v="0"/>
    <d v="2024-04-09T00:00:00"/>
    <x v="221"/>
    <n v="1800"/>
    <n v="218187"/>
    <n v="121.215"/>
    <n v="1800"/>
    <n v="225029.4"/>
    <n v="125.01633333333334"/>
    <n v="6842.3999999999942"/>
    <n v="3.1360255193939118E-2"/>
    <n v="312748.26845813997"/>
    <x v="2"/>
    <x v="1"/>
    <x v="0"/>
  </r>
  <r>
    <x v="1"/>
    <x v="1"/>
    <x v="3"/>
    <x v="0"/>
    <d v="2024-04-04T00:00:00"/>
    <x v="180"/>
    <n v="10000"/>
    <n v="226978.44"/>
    <n v="22.697844"/>
    <n v="10000"/>
    <n v="231025.12"/>
    <n v="23.102512000000001"/>
    <n v="-4046.679999999993"/>
    <n v="-1.7828477453629487E-2"/>
    <n v="308701.58845813997"/>
    <x v="2"/>
    <x v="1"/>
    <x v="0"/>
  </r>
  <r>
    <x v="1"/>
    <x v="3"/>
    <x v="3"/>
    <x v="0"/>
    <d v="2024-04-01T00:00:00"/>
    <x v="216"/>
    <n v="500"/>
    <n v="386250"/>
    <n v="772.5"/>
    <n v="500"/>
    <n v="378425"/>
    <n v="756.85"/>
    <n v="-7825"/>
    <n v="-2.0258899676375404E-2"/>
    <n v="300876.58845813997"/>
    <x v="2"/>
    <x v="1"/>
    <x v="0"/>
  </r>
  <r>
    <x v="1"/>
    <x v="0"/>
    <x v="3"/>
    <x v="0"/>
    <d v="2024-04-02T00:00:00"/>
    <x v="222"/>
    <n v="700"/>
    <n v="133636.15"/>
    <n v="190.9087857142857"/>
    <n v="700"/>
    <n v="129639.15"/>
    <n v="185.19878571428572"/>
    <n v="-3997"/>
    <n v="-2.9909571624145113E-2"/>
    <n v="296879.58845813997"/>
    <x v="2"/>
    <x v="1"/>
    <x v="0"/>
  </r>
  <r>
    <x v="1"/>
    <x v="3"/>
    <x v="3"/>
    <x v="0"/>
    <d v="2024-04-04T00:00:00"/>
    <x v="223"/>
    <n v="13000"/>
    <n v="198935.57"/>
    <n v="15.302736153846155"/>
    <n v="13000"/>
    <n v="189197.68"/>
    <n v="14.553667692307691"/>
    <n v="-9737.890000000014"/>
    <n v="-4.8949969077928167E-2"/>
    <n v="287141.69845813996"/>
    <x v="2"/>
    <x v="1"/>
    <x v="0"/>
  </r>
  <r>
    <x v="1"/>
    <x v="3"/>
    <x v="3"/>
    <x v="0"/>
    <d v="2024-04-10T00:00:00"/>
    <x v="89"/>
    <n v="170"/>
    <n v="152256.9"/>
    <n v="895.62882352941176"/>
    <n v="170"/>
    <n v="147114.12"/>
    <n v="865.37717647058821"/>
    <n v="-5142.7799999999988"/>
    <n v="-3.3776991387582431E-2"/>
    <n v="281998.91845813999"/>
    <x v="2"/>
    <x v="1"/>
    <x v="0"/>
  </r>
  <r>
    <x v="1"/>
    <x v="1"/>
    <x v="3"/>
    <x v="0"/>
    <d v="2024-04-12T00:00:00"/>
    <x v="135"/>
    <n v="2500"/>
    <n v="113015"/>
    <n v="45.206000000000003"/>
    <n v="2500"/>
    <n v="104216.9"/>
    <n v="41.68676"/>
    <n v="-8798.1000000000058"/>
    <n v="-7.7848958102906748E-2"/>
    <n v="273200.81845814001"/>
    <x v="2"/>
    <x v="1"/>
    <x v="0"/>
  </r>
  <r>
    <x v="1"/>
    <x v="1"/>
    <x v="3"/>
    <x v="0"/>
    <d v="2024-04-11T00:00:00"/>
    <x v="187"/>
    <n v="4800"/>
    <n v="80250"/>
    <n v="16.71875"/>
    <n v="4800"/>
    <n v="73894.61"/>
    <n v="15.394710416666667"/>
    <n v="-6355.3899999999994"/>
    <n v="-7.9194890965732082E-2"/>
    <n v="266845.42845814"/>
    <x v="2"/>
    <x v="1"/>
    <x v="0"/>
  </r>
  <r>
    <x v="1"/>
    <x v="1"/>
    <x v="3"/>
    <x v="0"/>
    <d v="2024-04-15T00:00:00"/>
    <x v="38"/>
    <n v="2000"/>
    <n v="852967.5"/>
    <n v="426.48374999999999"/>
    <n v="2000"/>
    <n v="827943.04"/>
    <n v="413.97152"/>
    <n v="-25024.459999999963"/>
    <n v="-2.9338116633986597E-2"/>
    <n v="241820.96845814004"/>
    <x v="2"/>
    <x v="1"/>
    <x v="0"/>
  </r>
  <r>
    <x v="1"/>
    <x v="3"/>
    <x v="3"/>
    <x v="0"/>
    <d v="2024-04-15T00:00:00"/>
    <x v="224"/>
    <n v="10000"/>
    <n v="248500"/>
    <n v="24.85"/>
    <n v="10000"/>
    <n v="245143.64"/>
    <n v="24.514364"/>
    <n v="-3356.359999999986"/>
    <n v="-1.3506478873239381E-2"/>
    <n v="238464.60845814005"/>
    <x v="2"/>
    <x v="1"/>
    <x v="0"/>
  </r>
  <r>
    <x v="1"/>
    <x v="3"/>
    <x v="3"/>
    <x v="0"/>
    <d v="2024-04-15T00:00:00"/>
    <x v="225"/>
    <n v="700"/>
    <n v="54180"/>
    <n v="77.400000000000006"/>
    <n v="700"/>
    <n v="50203"/>
    <n v="71.718571428571423"/>
    <n v="-3977"/>
    <n v="-7.3403469915097816E-2"/>
    <n v="234487.60845814005"/>
    <x v="2"/>
    <x v="1"/>
    <x v="0"/>
  </r>
  <r>
    <x v="1"/>
    <x v="3"/>
    <x v="3"/>
    <x v="0"/>
    <d v="2024-04-15T00:00:00"/>
    <x v="226"/>
    <n v="2500"/>
    <n v="41650"/>
    <n v="16.66"/>
    <n v="2500"/>
    <n v="36927.269999999997"/>
    <n v="14.770907999999999"/>
    <n v="-4722.7300000000032"/>
    <n v="-0.11339087635054029"/>
    <n v="229764.87845814004"/>
    <x v="2"/>
    <x v="1"/>
    <x v="0"/>
  </r>
  <r>
    <x v="1"/>
    <x v="1"/>
    <x v="3"/>
    <x v="0"/>
    <d v="2024-04-16T00:00:00"/>
    <x v="227"/>
    <n v="15000"/>
    <n v="165968.85999999999"/>
    <n v="11.064590666666666"/>
    <n v="15000"/>
    <n v="171273.94"/>
    <n v="11.418262666666667"/>
    <n v="5305.0800000000163"/>
    <n v="3.1964309449375124E-2"/>
    <n v="235069.95845814006"/>
    <x v="2"/>
    <x v="1"/>
    <x v="0"/>
  </r>
  <r>
    <x v="1"/>
    <x v="1"/>
    <x v="3"/>
    <x v="0"/>
    <d v="2024-04-18T00:00:00"/>
    <x v="16"/>
    <n v="150"/>
    <n v="128626.5"/>
    <n v="857.51"/>
    <n v="150"/>
    <n v="122797.47"/>
    <n v="818.64980000000003"/>
    <n v="-5829.0299999999988"/>
    <n v="-4.5317489008874522E-2"/>
    <n v="229240.92845814006"/>
    <x v="2"/>
    <x v="1"/>
    <x v="0"/>
  </r>
  <r>
    <x v="1"/>
    <x v="1"/>
    <x v="3"/>
    <x v="0"/>
    <d v="2024-04-25T00:00:00"/>
    <x v="228"/>
    <n v="5000"/>
    <n v="64872.5"/>
    <n v="12.974500000000001"/>
    <n v="5000"/>
    <n v="61623.68"/>
    <n v="12.324736"/>
    <n v="-3248.8199999999997"/>
    <n v="-5.0080080157231491E-2"/>
    <n v="225992.10845814005"/>
    <x v="2"/>
    <x v="1"/>
    <x v="0"/>
  </r>
  <r>
    <x v="1"/>
    <x v="1"/>
    <x v="3"/>
    <x v="0"/>
    <d v="2024-04-26T00:00:00"/>
    <x v="225"/>
    <n v="1400"/>
    <n v="115675"/>
    <n v="82.625"/>
    <n v="1400"/>
    <n v="111118.24"/>
    <n v="79.370171428571439"/>
    <n v="-4726"/>
    <n v="-4.0855846120596499E-2"/>
    <n v="221266.10845814005"/>
    <x v="2"/>
    <x v="1"/>
    <x v="0"/>
  </r>
  <r>
    <x v="1"/>
    <x v="1"/>
    <x v="3"/>
    <x v="0"/>
    <d v="2024-04-26T00:00:00"/>
    <x v="221"/>
    <n v="1000"/>
    <n v="110109.87"/>
    <n v="110.10987"/>
    <n v="1000"/>
    <n v="109954.87"/>
    <n v="109.95487"/>
    <n v="-155"/>
    <n v="-4.2920766321856527E-2"/>
    <n v="221111.10845814005"/>
    <x v="2"/>
    <x v="1"/>
    <x v="0"/>
  </r>
  <r>
    <x v="1"/>
    <x v="1"/>
    <x v="3"/>
    <x v="0"/>
    <d v="2024-05-01T00:00:00"/>
    <x v="145"/>
    <n v="2300"/>
    <n v="171361.5"/>
    <n v="74.504999999999995"/>
    <n v="2300"/>
    <n v="171206.5"/>
    <n v="74.437608695652173"/>
    <n v="-5306.1000000000058"/>
    <n v="-2.7579123665467449E-2"/>
    <n v="215805.00845814004"/>
    <x v="2"/>
    <x v="2"/>
    <x v="0"/>
  </r>
  <r>
    <x v="0"/>
    <x v="0"/>
    <x v="5"/>
    <x v="0"/>
    <d v="2024-03-21T00:00:00"/>
    <x v="229"/>
    <n v="100"/>
    <n v="9981.49"/>
    <n v="0.99814899999999995"/>
    <n v="100"/>
    <n v="5954.99"/>
    <n v="0.595499"/>
    <n v="-4026.5"/>
    <n v="-0.40339668726813327"/>
    <n v="211778.50845814004"/>
    <x v="2"/>
    <x v="0"/>
    <x v="0"/>
  </r>
  <r>
    <x v="0"/>
    <x v="0"/>
    <x v="5"/>
    <x v="0"/>
    <d v="2024-03-21T00:00:00"/>
    <x v="216"/>
    <n v="10"/>
    <n v="7850"/>
    <n v="7.85"/>
    <n v="5"/>
    <n v="6295"/>
    <n v="12.59"/>
    <n v="-1555"/>
    <n v="0.6038216560509555"/>
    <n v="210223.50845814004"/>
    <x v="2"/>
    <x v="0"/>
    <x v="0"/>
  </r>
  <r>
    <x v="0"/>
    <x v="0"/>
    <x v="2"/>
    <x v="0"/>
    <d v="2024-03-20T00:00:00"/>
    <x v="0"/>
    <n v="60"/>
    <n v="8460"/>
    <n v="1.41"/>
    <n v="60"/>
    <n v="7140"/>
    <n v="1.19"/>
    <n v="-1320"/>
    <n v="-0.15602836879432624"/>
    <n v="208903.50845814004"/>
    <x v="2"/>
    <x v="0"/>
    <x v="0"/>
  </r>
  <r>
    <x v="0"/>
    <x v="1"/>
    <x v="5"/>
    <x v="0"/>
    <d v="2024-03-25T00:00:00"/>
    <x v="186"/>
    <n v="5"/>
    <n v="4928.43"/>
    <n v="9.8568600000000011"/>
    <n v="5"/>
    <n v="0"/>
    <n v="0"/>
    <n v="-4928.43"/>
    <n v="-1"/>
    <n v="203975.07845814005"/>
    <x v="2"/>
    <x v="0"/>
    <x v="0"/>
  </r>
  <r>
    <x v="0"/>
    <x v="0"/>
    <x v="2"/>
    <x v="0"/>
    <d v="2024-04-04T00:00:00"/>
    <x v="230"/>
    <n v="200"/>
    <n v="9020"/>
    <n v="0.45100000000000001"/>
    <n v="200"/>
    <n v="3600"/>
    <n v="0.18"/>
    <n v="-5420"/>
    <n v="-0.60088691796008875"/>
    <n v="198555.07845814005"/>
    <x v="2"/>
    <x v="1"/>
    <x v="0"/>
  </r>
  <r>
    <x v="0"/>
    <x v="0"/>
    <x v="5"/>
    <x v="0"/>
    <d v="2024-04-08T00:00:00"/>
    <x v="0"/>
    <n v="15"/>
    <n v="4680"/>
    <n v="3.12"/>
    <n v="15"/>
    <n v="0"/>
    <n v="0"/>
    <n v="-4680"/>
    <n v="-1"/>
    <n v="193875.07845814005"/>
    <x v="2"/>
    <x v="1"/>
    <x v="0"/>
  </r>
  <r>
    <x v="0"/>
    <x v="0"/>
    <x v="5"/>
    <x v="0"/>
    <d v="2024-04-22T00:00:00"/>
    <x v="19"/>
    <n v="30"/>
    <n v="6410.98"/>
    <n v="2.1369933333333333"/>
    <n v="30"/>
    <n v="15997.11"/>
    <n v="5.3323700000000001"/>
    <n v="9586.130000000001"/>
    <n v="1.4952674942052542"/>
    <n v="203461.2084581400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A202C-AF52-466D-8A43-EF440A6DFE99}" name="Total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8">
    <pivotField axis="axisRow" showAll="0">
      <items count="3">
        <item x="1"/>
        <item x="0"/>
        <item t="default"/>
      </items>
    </pivotField>
    <pivotField axis="axisCol" showAll="0">
      <items count="7">
        <item x="2"/>
        <item x="0"/>
        <item x="4"/>
        <item x="5"/>
        <item x="1"/>
        <item x="3"/>
        <item t="default"/>
      </items>
    </pivotField>
    <pivotField showAll="0">
      <items count="10">
        <item x="8"/>
        <item x="1"/>
        <item x="5"/>
        <item x="3"/>
        <item x="7"/>
        <item x="6"/>
        <item x="4"/>
        <item x="0"/>
        <item x="2"/>
        <item t="default"/>
      </items>
    </pivotField>
    <pivotField axis="axisRow" showAll="0">
      <items count="3">
        <item x="0"/>
        <item x="1"/>
        <item t="default"/>
      </items>
    </pivotField>
    <pivotField numFmtId="14" showAll="0"/>
    <pivotField showAll="0">
      <items count="232">
        <item x="100"/>
        <item x="105"/>
        <item x="13"/>
        <item x="144"/>
        <item x="116"/>
        <item x="119"/>
        <item x="60"/>
        <item x="123"/>
        <item x="225"/>
        <item x="170"/>
        <item x="2"/>
        <item x="114"/>
        <item x="186"/>
        <item x="37"/>
        <item x="177"/>
        <item x="121"/>
        <item x="217"/>
        <item x="220"/>
        <item x="66"/>
        <item x="98"/>
        <item x="42"/>
        <item x="4"/>
        <item x="213"/>
        <item x="17"/>
        <item x="150"/>
        <item x="24"/>
        <item x="65"/>
        <item x="67"/>
        <item x="68"/>
        <item x="108"/>
        <item x="211"/>
        <item x="99"/>
        <item x="153"/>
        <item x="113"/>
        <item x="145"/>
        <item x="40"/>
        <item x="184"/>
        <item x="69"/>
        <item x="149"/>
        <item x="14"/>
        <item x="187"/>
        <item x="204"/>
        <item x="76"/>
        <item x="201"/>
        <item x="181"/>
        <item x="140"/>
        <item x="164"/>
        <item x="77"/>
        <item x="166"/>
        <item x="137"/>
        <item x="85"/>
        <item x="8"/>
        <item x="110"/>
        <item x="32"/>
        <item x="158"/>
        <item x="71"/>
        <item x="154"/>
        <item x="112"/>
        <item x="58"/>
        <item x="62"/>
        <item x="163"/>
        <item x="30"/>
        <item x="132"/>
        <item x="106"/>
        <item x="56"/>
        <item x="47"/>
        <item x="222"/>
        <item x="224"/>
        <item x="5"/>
        <item x="101"/>
        <item x="125"/>
        <item x="118"/>
        <item x="127"/>
        <item x="53"/>
        <item x="80"/>
        <item x="46"/>
        <item x="45"/>
        <item x="78"/>
        <item x="168"/>
        <item x="90"/>
        <item x="91"/>
        <item x="210"/>
        <item x="117"/>
        <item x="193"/>
        <item x="23"/>
        <item x="138"/>
        <item x="83"/>
        <item x="7"/>
        <item x="61"/>
        <item x="12"/>
        <item x="169"/>
        <item x="212"/>
        <item x="203"/>
        <item x="74"/>
        <item x="29"/>
        <item x="39"/>
        <item x="41"/>
        <item x="223"/>
        <item x="190"/>
        <item x="95"/>
        <item x="188"/>
        <item x="93"/>
        <item x="173"/>
        <item x="175"/>
        <item x="109"/>
        <item x="160"/>
        <item x="19"/>
        <item x="92"/>
        <item x="152"/>
        <item x="207"/>
        <item x="21"/>
        <item x="28"/>
        <item x="27"/>
        <item x="82"/>
        <item x="174"/>
        <item x="216"/>
        <item x="191"/>
        <item x="31"/>
        <item x="192"/>
        <item x="228"/>
        <item x="73"/>
        <item x="51"/>
        <item x="104"/>
        <item x="64"/>
        <item x="55"/>
        <item x="6"/>
        <item x="155"/>
        <item x="35"/>
        <item x="178"/>
        <item x="185"/>
        <item x="43"/>
        <item x="205"/>
        <item x="189"/>
        <item x="38"/>
        <item x="221"/>
        <item x="134"/>
        <item x="194"/>
        <item x="206"/>
        <item x="202"/>
        <item x="18"/>
        <item x="49"/>
        <item x="50"/>
        <item x="229"/>
        <item x="34"/>
        <item x="15"/>
        <item x="72"/>
        <item x="139"/>
        <item x="218"/>
        <item x="16"/>
        <item x="70"/>
        <item x="128"/>
        <item x="87"/>
        <item x="209"/>
        <item x="208"/>
        <item x="22"/>
        <item x="57"/>
        <item x="148"/>
        <item x="159"/>
        <item x="165"/>
        <item x="131"/>
        <item x="226"/>
        <item x="151"/>
        <item x="167"/>
        <item x="214"/>
        <item x="200"/>
        <item x="102"/>
        <item x="103"/>
        <item x="126"/>
        <item x="11"/>
        <item x="44"/>
        <item x="180"/>
        <item x="33"/>
        <item x="124"/>
        <item x="52"/>
        <item x="63"/>
        <item x="219"/>
        <item x="59"/>
        <item x="89"/>
        <item x="3"/>
        <item x="156"/>
        <item x="84"/>
        <item x="215"/>
        <item x="135"/>
        <item x="111"/>
        <item x="0"/>
        <item x="115"/>
        <item x="227"/>
        <item x="129"/>
        <item x="171"/>
        <item x="182"/>
        <item x="183"/>
        <item x="26"/>
        <item x="161"/>
        <item x="9"/>
        <item x="1"/>
        <item x="96"/>
        <item x="198"/>
        <item x="199"/>
        <item x="157"/>
        <item x="130"/>
        <item x="141"/>
        <item x="75"/>
        <item x="179"/>
        <item x="162"/>
        <item x="120"/>
        <item x="146"/>
        <item x="94"/>
        <item x="79"/>
        <item x="143"/>
        <item x="81"/>
        <item x="147"/>
        <item x="54"/>
        <item x="133"/>
        <item x="86"/>
        <item x="88"/>
        <item x="97"/>
        <item x="20"/>
        <item x="25"/>
        <item x="197"/>
        <item x="195"/>
        <item x="136"/>
        <item x="196"/>
        <item x="10"/>
        <item x="36"/>
        <item x="122"/>
        <item x="176"/>
        <item x="230"/>
        <item x="172"/>
        <item x="142"/>
        <item x="48"/>
        <item x="107"/>
        <item t="default"/>
      </items>
    </pivotField>
    <pivotField showAll="0"/>
    <pivotField numFmtId="44" showAll="0"/>
    <pivotField numFmtId="44" showAll="0"/>
    <pivotField showAll="0"/>
    <pivotField numFmtId="44" showAll="0"/>
    <pivotField showAll="0"/>
    <pivotField dataField="1" numFmtId="44" showAll="0"/>
    <pivotField showAll="0"/>
    <pivotField numFmtId="44" showAll="0"/>
    <pivotField showAll="0">
      <items count="4">
        <item h="1" x="0"/>
        <item h="1" x="1"/>
        <item x="2"/>
        <item t="default"/>
      </items>
    </pivotField>
    <pivotField showAll="0">
      <items count="13">
        <item x="5"/>
        <item x="6"/>
        <item x="0"/>
        <item x="1"/>
        <item x="2"/>
        <item x="7"/>
        <item x="8"/>
        <item x="9"/>
        <item x="10"/>
        <item x="3"/>
        <item x="11"/>
        <item x="4"/>
        <item t="default"/>
      </items>
    </pivotField>
    <pivotField showAll="0">
      <items count="4">
        <item x="0"/>
        <item x="1"/>
        <item x="2"/>
        <item t="default"/>
      </items>
    </pivotField>
  </pivotFields>
  <rowFields count="2">
    <field x="0"/>
    <field x="3"/>
  </rowFields>
  <rowItems count="6">
    <i>
      <x/>
    </i>
    <i r="1">
      <x/>
    </i>
    <i r="1">
      <x v="1"/>
    </i>
    <i>
      <x v="1"/>
    </i>
    <i r="1">
      <x/>
    </i>
    <i t="grand">
      <x/>
    </i>
  </rowItems>
  <colFields count="1">
    <field x="1"/>
  </colFields>
  <colItems count="6">
    <i>
      <x v="1"/>
    </i>
    <i>
      <x v="2"/>
    </i>
    <i>
      <x v="3"/>
    </i>
    <i>
      <x v="4"/>
    </i>
    <i>
      <x v="5"/>
    </i>
    <i t="grand">
      <x/>
    </i>
  </colItems>
  <dataFields count="1">
    <dataField name="Sum of PnL" fld="12" baseField="0" baseItem="0" numFmtId="44"/>
  </dataFields>
  <formats count="9">
    <format dxfId="23">
      <pivotArea outline="0" collapsedLevelsAreSubtotals="1"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3" count="0"/>
        </references>
      </pivotArea>
    </format>
    <format dxfId="19">
      <pivotArea dataOnly="0" labelOnly="1" fieldPosition="0">
        <references count="2">
          <reference field="0" count="1" selected="0">
            <x v="1"/>
          </reference>
          <reference field="3" count="0"/>
        </references>
      </pivotArea>
    </format>
    <format dxfId="18">
      <pivotArea dataOnly="0" labelOnly="1" fieldPosition="0">
        <references count="3">
          <reference field="0" count="1" selected="0">
            <x v="0"/>
          </reference>
          <reference field="1" count="0"/>
          <reference field="3" count="1" selected="0">
            <x v="0"/>
          </reference>
        </references>
      </pivotArea>
    </format>
    <format dxfId="17">
      <pivotArea dataOnly="0" labelOnly="1" fieldPosition="0">
        <references count="3">
          <reference field="0" count="1" selected="0">
            <x v="0"/>
          </reference>
          <reference field="1" count="0"/>
          <reference field="3" count="1" selected="0">
            <x v="1"/>
          </reference>
        </references>
      </pivotArea>
    </format>
    <format dxfId="16">
      <pivotArea dataOnly="0" labelOnly="1" fieldPosition="0">
        <references count="3">
          <reference field="0" count="1" selected="0">
            <x v="1"/>
          </reference>
          <reference field="1" count="5">
            <x v="1"/>
            <x v="2"/>
            <x v="3"/>
            <x v="4"/>
            <x v="5"/>
          </reference>
          <reference field="3" count="1" selected="0">
            <x v="0"/>
          </reference>
        </references>
      </pivotArea>
    </format>
    <format dxfId="15">
      <pivotArea dataOnly="0" labelOnly="1" fieldPosition="0">
        <references count="3">
          <reference field="0" count="1" selected="0">
            <x v="1"/>
          </reference>
          <reference field="1" count="1">
            <x v="1"/>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D1E409-9C9B-4582-9A5A-C4DBE8B92F1D}" sourceName="Year">
  <pivotTables>
    <pivotTable tabId="20" name="Total Pivot"/>
  </pivotTables>
  <data>
    <tabular pivotCacheId="49668199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33A2A0-3BB7-4320-A014-10977182E11E}" sourceName="Month">
  <pivotTables>
    <pivotTable tabId="20" name="Total Pivot"/>
  </pivotTables>
  <data>
    <tabular pivotCacheId="496681992">
      <items count="12">
        <i x="5" s="1"/>
        <i x="6" s="1"/>
        <i x="0" s="1"/>
        <i x="1" s="1"/>
        <i x="2" s="1"/>
        <i x="7" s="1" nd="1"/>
        <i x="8" s="1" nd="1"/>
        <i x="9" s="1" nd="1"/>
        <i x="10" s="1" nd="1"/>
        <i x="3" s="1" nd="1"/>
        <i x="1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ment" xr10:uid="{BFB9F13E-B994-416C-A9A5-FB3725B72AA3}" sourceName="Instrument">
  <pivotTables>
    <pivotTable tabId="20" name="Total Pivot"/>
  </pivotTables>
  <data>
    <tabular pivotCacheId="496681992">
      <items count="9">
        <i x="5" s="1"/>
        <i x="3" s="1"/>
        <i x="7" s="1"/>
        <i x="6" s="1"/>
        <i x="4" s="1"/>
        <i x="2" s="1"/>
        <i x="8"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67E208C6-B115-42F6-93FC-4E1FE7CFA9FF}" sourceName="Ticker">
  <pivotTables>
    <pivotTable tabId="20" name="Total Pivot"/>
  </pivotTables>
  <data>
    <tabular pivotCacheId="496681992">
      <items count="231">
        <i x="100" s="1"/>
        <i x="144" s="1"/>
        <i x="119" s="1"/>
        <i x="60" s="1"/>
        <i x="225" s="1"/>
        <i x="170" s="1"/>
        <i x="114" s="1"/>
        <i x="186" s="1"/>
        <i x="177" s="1"/>
        <i x="217" s="1"/>
        <i x="220" s="1"/>
        <i x="213" s="1"/>
        <i x="211" s="1"/>
        <i x="113" s="1"/>
        <i x="145" s="1"/>
        <i x="184" s="1"/>
        <i x="14" s="1"/>
        <i x="187" s="1"/>
        <i x="204" s="1"/>
        <i x="201" s="1"/>
        <i x="181" s="1"/>
        <i x="164" s="1"/>
        <i x="137" s="1"/>
        <i x="110" s="1"/>
        <i x="112" s="1"/>
        <i x="132" s="1"/>
        <i x="222" s="1"/>
        <i x="224" s="1"/>
        <i x="5" s="1"/>
        <i x="118" s="1"/>
        <i x="168" s="1"/>
        <i x="210" s="1"/>
        <i x="193" s="1"/>
        <i x="138" s="1"/>
        <i x="7" s="1"/>
        <i x="169" s="1"/>
        <i x="212" s="1"/>
        <i x="203" s="1"/>
        <i x="223" s="1"/>
        <i x="190" s="1"/>
        <i x="188" s="1"/>
        <i x="175" s="1"/>
        <i x="160" s="1"/>
        <i x="19" s="1"/>
        <i x="207" s="1"/>
        <i x="27" s="1"/>
        <i x="174" s="1"/>
        <i x="216" s="1"/>
        <i x="191" s="1"/>
        <i x="192" s="1"/>
        <i x="228" s="1"/>
        <i x="104" s="1"/>
        <i x="178" s="1"/>
        <i x="185" s="1"/>
        <i x="205" s="1"/>
        <i x="189" s="1"/>
        <i x="38" s="1"/>
        <i x="221" s="1"/>
        <i x="194" s="1"/>
        <i x="206" s="1"/>
        <i x="202" s="1"/>
        <i x="18" s="1"/>
        <i x="50" s="1"/>
        <i x="229" s="1"/>
        <i x="139" s="1"/>
        <i x="218" s="1"/>
        <i x="16" s="1"/>
        <i x="209" s="1"/>
        <i x="208" s="1"/>
        <i x="165" s="1"/>
        <i x="131" s="1"/>
        <i x="226" s="1"/>
        <i x="151" s="1"/>
        <i x="214" s="1"/>
        <i x="200" s="1"/>
        <i x="103" s="1"/>
        <i x="11" s="1"/>
        <i x="180" s="1"/>
        <i x="219" s="1"/>
        <i x="89" s="1"/>
        <i x="156" s="1"/>
        <i x="215" s="1"/>
        <i x="135" s="1"/>
        <i x="0" s="1"/>
        <i x="227" s="1"/>
        <i x="171" s="1"/>
        <i x="182" s="1"/>
        <i x="183" s="1"/>
        <i x="1" s="1"/>
        <i x="96" s="1"/>
        <i x="198" s="1"/>
        <i x="199" s="1"/>
        <i x="157" s="1"/>
        <i x="130" s="1"/>
        <i x="179" s="1"/>
        <i x="162" s="1"/>
        <i x="81" s="1"/>
        <i x="25" s="1"/>
        <i x="197" s="1"/>
        <i x="195" s="1"/>
        <i x="196" s="1"/>
        <i x="176" s="1"/>
        <i x="230" s="1"/>
        <i x="172" s="1"/>
        <i x="105" s="1" nd="1"/>
        <i x="13" s="1" nd="1"/>
        <i x="116" s="1" nd="1"/>
        <i x="123" s="1" nd="1"/>
        <i x="2" s="1" nd="1"/>
        <i x="37" s="1" nd="1"/>
        <i x="121" s="1" nd="1"/>
        <i x="66" s="1" nd="1"/>
        <i x="98" s="1" nd="1"/>
        <i x="42" s="1" nd="1"/>
        <i x="4" s="1" nd="1"/>
        <i x="17" s="1" nd="1"/>
        <i x="150" s="1" nd="1"/>
        <i x="24" s="1" nd="1"/>
        <i x="65" s="1" nd="1"/>
        <i x="67" s="1" nd="1"/>
        <i x="68" s="1" nd="1"/>
        <i x="108" s="1" nd="1"/>
        <i x="99" s="1" nd="1"/>
        <i x="153" s="1" nd="1"/>
        <i x="40" s="1" nd="1"/>
        <i x="69" s="1" nd="1"/>
        <i x="149" s="1" nd="1"/>
        <i x="76" s="1" nd="1"/>
        <i x="140" s="1" nd="1"/>
        <i x="77" s="1" nd="1"/>
        <i x="166" s="1" nd="1"/>
        <i x="85" s="1" nd="1"/>
        <i x="8" s="1" nd="1"/>
        <i x="32" s="1" nd="1"/>
        <i x="158" s="1" nd="1"/>
        <i x="71" s="1" nd="1"/>
        <i x="154" s="1" nd="1"/>
        <i x="58" s="1" nd="1"/>
        <i x="62" s="1" nd="1"/>
        <i x="163" s="1" nd="1"/>
        <i x="30" s="1" nd="1"/>
        <i x="106" s="1" nd="1"/>
        <i x="56" s="1" nd="1"/>
        <i x="47" s="1" nd="1"/>
        <i x="101" s="1" nd="1"/>
        <i x="125" s="1" nd="1"/>
        <i x="127" s="1" nd="1"/>
        <i x="53" s="1" nd="1"/>
        <i x="80" s="1" nd="1"/>
        <i x="46" s="1" nd="1"/>
        <i x="45" s="1" nd="1"/>
        <i x="78" s="1" nd="1"/>
        <i x="90" s="1" nd="1"/>
        <i x="91" s="1" nd="1"/>
        <i x="117" s="1" nd="1"/>
        <i x="23" s="1" nd="1"/>
        <i x="83" s="1" nd="1"/>
        <i x="61" s="1" nd="1"/>
        <i x="12" s="1" nd="1"/>
        <i x="74" s="1" nd="1"/>
        <i x="29" s="1" nd="1"/>
        <i x="39" s="1" nd="1"/>
        <i x="41" s="1" nd="1"/>
        <i x="95" s="1" nd="1"/>
        <i x="93" s="1" nd="1"/>
        <i x="173" s="1" nd="1"/>
        <i x="109" s="1" nd="1"/>
        <i x="92" s="1" nd="1"/>
        <i x="152" s="1" nd="1"/>
        <i x="21" s="1" nd="1"/>
        <i x="28" s="1" nd="1"/>
        <i x="82" s="1" nd="1"/>
        <i x="31" s="1" nd="1"/>
        <i x="73" s="1" nd="1"/>
        <i x="51" s="1" nd="1"/>
        <i x="64" s="1" nd="1"/>
        <i x="55" s="1" nd="1"/>
        <i x="6" s="1" nd="1"/>
        <i x="155" s="1" nd="1"/>
        <i x="35" s="1" nd="1"/>
        <i x="43" s="1" nd="1"/>
        <i x="134" s="1" nd="1"/>
        <i x="49" s="1" nd="1"/>
        <i x="34" s="1" nd="1"/>
        <i x="15" s="1" nd="1"/>
        <i x="72" s="1" nd="1"/>
        <i x="70" s="1" nd="1"/>
        <i x="128" s="1" nd="1"/>
        <i x="87" s="1" nd="1"/>
        <i x="22" s="1" nd="1"/>
        <i x="57" s="1" nd="1"/>
        <i x="148" s="1" nd="1"/>
        <i x="159" s="1" nd="1"/>
        <i x="167" s="1" nd="1"/>
        <i x="102" s="1" nd="1"/>
        <i x="126" s="1" nd="1"/>
        <i x="44" s="1" nd="1"/>
        <i x="33" s="1" nd="1"/>
        <i x="124" s="1" nd="1"/>
        <i x="52" s="1" nd="1"/>
        <i x="63" s="1" nd="1"/>
        <i x="59" s="1" nd="1"/>
        <i x="3" s="1" nd="1"/>
        <i x="84" s="1" nd="1"/>
        <i x="111" s="1" nd="1"/>
        <i x="115" s="1" nd="1"/>
        <i x="129" s="1" nd="1"/>
        <i x="26" s="1" nd="1"/>
        <i x="161" s="1" nd="1"/>
        <i x="9" s="1" nd="1"/>
        <i x="141" s="1" nd="1"/>
        <i x="75" s="1" nd="1"/>
        <i x="120" s="1" nd="1"/>
        <i x="146" s="1" nd="1"/>
        <i x="94" s="1" nd="1"/>
        <i x="79" s="1" nd="1"/>
        <i x="143" s="1" nd="1"/>
        <i x="147" s="1" nd="1"/>
        <i x="54" s="1" nd="1"/>
        <i x="133" s="1" nd="1"/>
        <i x="86" s="1" nd="1"/>
        <i x="88" s="1" nd="1"/>
        <i x="97" s="1" nd="1"/>
        <i x="20" s="1" nd="1"/>
        <i x="136" s="1" nd="1"/>
        <i x="10" s="1" nd="1"/>
        <i x="36" s="1" nd="1"/>
        <i x="122" s="1" nd="1"/>
        <i x="142" s="1" nd="1"/>
        <i x="48" s="1" nd="1"/>
        <i x="10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H" xr10:uid="{9A90065E-1E76-46C7-8C31-D9E8E5F0EE04}" sourceName="ONH">
  <pivotTables>
    <pivotTable tabId="20" name="Total Pivot"/>
  </pivotTables>
  <data>
    <tabular pivotCacheId="4966819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0084CE-1702-4960-AEB7-E43F2A27C79F}" cache="Slicer_Year" caption="Year" rowHeight="257175"/>
  <slicer name="Month" xr10:uid="{3EEA6860-11EA-4278-9D78-F1F7ADA0A71E}" cache="Slicer_Month" caption="Month" rowHeight="257175"/>
  <slicer name="Instrument" xr10:uid="{D5E2D322-7D66-4F44-ABA0-EFCDBD5EE268}" cache="Slicer_Instrument" caption="Instrument" rowHeight="257175"/>
  <slicer name="Ticker" xr10:uid="{DEDBF76A-50B3-4B20-9554-3609E6918963}" cache="Slicer_Ticker" caption="Ticker" startItem="49" rowHeight="257175"/>
  <slicer name="ONH" xr10:uid="{F1FE26B1-F518-42DA-8C45-C8FB9181CB8E}" cache="Slicer_ONH" caption="ONH"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1047A-259E-4994-BC3F-CB9C1AF5C84F}" name="Table1" displayName="Table1" ref="A1:T674" totalsRowShown="0" dataDxfId="14" dataCellStyle="Currency">
  <autoFilter ref="A1:T674" xr:uid="{0321047A-259E-4994-BC3F-CB9C1AF5C84F}"/>
  <sortState xmlns:xlrd2="http://schemas.microsoft.com/office/spreadsheetml/2017/richdata2" ref="A2:T670">
    <sortCondition ref="F1:F670"/>
  </sortState>
  <tableColumns count="20">
    <tableColumn id="1" xr3:uid="{62F77266-DE4E-40FB-B2BA-8B3693DEDF69}" name="Type"/>
    <tableColumn id="2" xr3:uid="{960A786F-3972-447B-AC21-7DE62930B535}" name="Kind"/>
    <tableColumn id="3" xr3:uid="{1FD2AD63-DD2A-4F50-B302-B17A2A8974A0}" name="Instrument"/>
    <tableColumn id="4" xr3:uid="{84136E0C-34D9-4E43-B120-F48AB35A33D9}" name="Direction"/>
    <tableColumn id="17" xr3:uid="{6F6909C1-B0FD-4416-80CC-72056391224B}" name="Entry Date" dataDxfId="13" dataCellStyle="Currency"/>
    <tableColumn id="5" xr3:uid="{59CB2B49-D9AD-4172-BAE6-E0A2644B4F93}" name="Closing Date" dataDxfId="12"/>
    <tableColumn id="6" xr3:uid="{1658CD1A-38E1-4CDA-B4FE-2071B3B0E6E0}" name="Ticker"/>
    <tableColumn id="7" xr3:uid="{0426EE88-46CC-4B68-A1DD-4170243C8117}" name="Shares"/>
    <tableColumn id="8" xr3:uid="{C4DBF90E-4E10-4F66-B36F-5AC9D7E04CE6}" name="Open Value" dataDxfId="11" dataCellStyle="Currency"/>
    <tableColumn id="20" xr3:uid="{52228CF8-C92E-4177-970C-3AA0CF8370AC}" name="Multiplier" dataDxfId="10" dataCellStyle="Currency"/>
    <tableColumn id="11" xr3:uid="{5011ECDA-3B09-4088-8968-B5868A11A7A8}" name="Close Value" dataDxfId="0" dataCellStyle="Currency"/>
    <tableColumn id="9" xr3:uid="{E6076FC7-23E1-4B1E-A462-3959C3E1ACD5}" name="Price" dataDxfId="1" dataCellStyle="Currency"/>
    <tableColumn id="12" xr3:uid="{4DF03376-5DC8-4023-A9CA-7A5B870DC3C1}" name="Close Price" dataDxfId="9" dataCellStyle="Currency"/>
    <tableColumn id="13" xr3:uid="{9DAB774C-EA79-4F9F-BFDF-D150D5D567B4}" name="PnL" dataDxfId="8" dataCellStyle="Currency"/>
    <tableColumn id="14" xr3:uid="{1DD246CF-E95F-47D3-9C5E-2BD1A53CDBE2}" name="PnL %" dataDxfId="7" dataCellStyle="Percent"/>
    <tableColumn id="15" xr3:uid="{7EE8F9A3-1681-4DBC-B6E2-018EDEFBAFBA}" name="Rolling PnL" dataDxfId="6">
      <calculatedColumnFormula>N2+P1</calculatedColumnFormula>
    </tableColumn>
    <tableColumn id="18" xr3:uid="{2A2A4645-9CA6-4F56-92D4-F4E60B2D28F9}" name="Year" dataDxfId="5" dataCellStyle="Currency">
      <calculatedColumnFormula>TEXT(Table1[[#This Row],[Closing Date]],"yyyy")</calculatedColumnFormula>
    </tableColumn>
    <tableColumn id="19" xr3:uid="{57C91844-55C6-4FDE-86B2-D3BEB61A54BE}" name="Month" dataDxfId="4" dataCellStyle="Currency">
      <calculatedColumnFormula>TEXT(Table1[[#This Row],[Closing Date]],"mmmm")</calculatedColumnFormula>
    </tableColumn>
    <tableColumn id="16" xr3:uid="{D48C620A-A514-4FE5-8A5C-971B574A96B4}" name="ONH" dataDxfId="3" dataCellStyle="Currency"/>
    <tableColumn id="10" xr3:uid="{E7BCFBBC-C95D-444A-BD1E-CCA8A1CC739D}" name="Account" dataDxfId="2"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6B91-5679-497D-93DD-C64BBD8E2B91}">
  <dimension ref="A1:AF25"/>
  <sheetViews>
    <sheetView zoomScaleNormal="100" workbookViewId="0">
      <selection activeCell="J29" sqref="J29"/>
    </sheetView>
  </sheetViews>
  <sheetFormatPr defaultRowHeight="12.75" x14ac:dyDescent="0.2"/>
  <cols>
    <col min="1" max="1" width="13.28515625" style="96" customWidth="1"/>
    <col min="2" max="9" width="12.7109375" style="96" customWidth="1"/>
    <col min="10" max="10" width="12.7109375" style="100" customWidth="1"/>
    <col min="11" max="11" width="9.140625" style="96"/>
    <col min="12" max="12" width="13.28515625" style="96" customWidth="1"/>
    <col min="13" max="20" width="12.7109375" style="96" customWidth="1"/>
    <col min="21" max="21" width="12.7109375" style="100" customWidth="1"/>
    <col min="22" max="31" width="9.140625" style="96"/>
    <col min="32" max="32" width="10.28515625" style="96" bestFit="1" customWidth="1"/>
    <col min="33" max="16384" width="9.140625" style="96"/>
  </cols>
  <sheetData>
    <row r="1" spans="1:32" x14ac:dyDescent="0.2">
      <c r="A1" s="108" t="s">
        <v>280</v>
      </c>
      <c r="B1" s="108"/>
      <c r="C1" s="108"/>
      <c r="D1" s="108"/>
      <c r="E1" s="108"/>
      <c r="F1" s="108"/>
      <c r="G1" s="108"/>
      <c r="H1" s="108"/>
      <c r="I1" s="108"/>
      <c r="J1" s="108"/>
      <c r="L1" s="108" t="s">
        <v>281</v>
      </c>
      <c r="M1" s="108"/>
      <c r="N1" s="108"/>
      <c r="O1" s="108"/>
      <c r="P1" s="108"/>
      <c r="Q1" s="108"/>
      <c r="R1" s="108"/>
      <c r="S1" s="108"/>
      <c r="T1" s="108"/>
      <c r="U1" s="108"/>
    </row>
    <row r="3" spans="1:32" x14ac:dyDescent="0.2">
      <c r="A3" s="109" t="s">
        <v>245</v>
      </c>
      <c r="B3" s="109"/>
      <c r="C3" s="109"/>
      <c r="D3" s="109"/>
      <c r="E3" s="109"/>
      <c r="F3" s="109"/>
      <c r="G3" s="109"/>
      <c r="H3" s="109"/>
      <c r="I3" s="109"/>
      <c r="J3" s="109"/>
      <c r="L3" s="109" t="s">
        <v>245</v>
      </c>
      <c r="M3" s="109"/>
      <c r="N3" s="109"/>
      <c r="O3" s="109"/>
      <c r="P3" s="109"/>
      <c r="Q3" s="109"/>
      <c r="R3" s="109"/>
      <c r="S3" s="109"/>
      <c r="T3" s="109"/>
      <c r="U3" s="109"/>
      <c r="W3" s="109" t="s">
        <v>331</v>
      </c>
      <c r="X3" s="109"/>
      <c r="Y3" s="109"/>
      <c r="Z3" s="109"/>
      <c r="AA3" s="109"/>
      <c r="AB3" s="109"/>
      <c r="AC3" s="109"/>
      <c r="AD3" s="109"/>
      <c r="AE3" s="109"/>
      <c r="AF3" s="109"/>
    </row>
    <row r="4" spans="1:32" ht="26.25" customHeight="1" x14ac:dyDescent="0.2">
      <c r="A4" s="101" t="s">
        <v>248</v>
      </c>
      <c r="B4" s="101" t="s">
        <v>250</v>
      </c>
      <c r="C4" s="101" t="s">
        <v>249</v>
      </c>
      <c r="D4" s="101" t="s">
        <v>251</v>
      </c>
      <c r="E4" s="101" t="s">
        <v>252</v>
      </c>
      <c r="F4" s="101" t="s">
        <v>253</v>
      </c>
      <c r="G4" s="101" t="s">
        <v>255</v>
      </c>
      <c r="H4" s="101" t="s">
        <v>256</v>
      </c>
      <c r="I4" s="101" t="s">
        <v>257</v>
      </c>
      <c r="J4" s="102" t="s">
        <v>254</v>
      </c>
      <c r="L4" s="101" t="s">
        <v>248</v>
      </c>
      <c r="M4" s="101" t="s">
        <v>250</v>
      </c>
      <c r="N4" s="101" t="s">
        <v>249</v>
      </c>
      <c r="O4" s="101" t="s">
        <v>251</v>
      </c>
      <c r="P4" s="101" t="s">
        <v>252</v>
      </c>
      <c r="Q4" s="101" t="s">
        <v>253</v>
      </c>
      <c r="R4" s="101" t="s">
        <v>255</v>
      </c>
      <c r="S4" s="101" t="s">
        <v>256</v>
      </c>
      <c r="T4" s="101" t="s">
        <v>257</v>
      </c>
      <c r="U4" s="102" t="s">
        <v>254</v>
      </c>
      <c r="W4" s="97" t="s">
        <v>248</v>
      </c>
      <c r="X4" s="97" t="s">
        <v>250</v>
      </c>
      <c r="Y4" s="97" t="s">
        <v>249</v>
      </c>
      <c r="Z4" s="97" t="s">
        <v>251</v>
      </c>
      <c r="AA4" s="97" t="s">
        <v>252</v>
      </c>
      <c r="AB4" s="97" t="s">
        <v>253</v>
      </c>
      <c r="AC4" s="97" t="s">
        <v>255</v>
      </c>
      <c r="AD4" s="97" t="s">
        <v>256</v>
      </c>
      <c r="AE4" s="97" t="s">
        <v>257</v>
      </c>
      <c r="AF4" s="98" t="s">
        <v>254</v>
      </c>
    </row>
    <row r="5" spans="1:32" ht="19.5" customHeight="1" x14ac:dyDescent="0.2">
      <c r="A5" s="91">
        <f>'MS Options'!Q2</f>
        <v>37</v>
      </c>
      <c r="B5" s="92">
        <f>'MS Options'!R2</f>
        <v>0.45945945945945948</v>
      </c>
      <c r="C5" s="92">
        <f>'MS Options'!S2</f>
        <v>0.54054054054054057</v>
      </c>
      <c r="D5" s="92">
        <f>'MS Options'!T2</f>
        <v>1.454673251578245</v>
      </c>
      <c r="E5" s="92">
        <f>'MS Options'!U2</f>
        <v>-0.68534608995103674</v>
      </c>
      <c r="F5" s="93">
        <f>'MS Options'!V2</f>
        <v>2.1225381933413692</v>
      </c>
      <c r="G5" s="94">
        <f>'MS Options'!W2</f>
        <v>6322.4129411764716</v>
      </c>
      <c r="H5" s="94">
        <f>'MS Options'!X2</f>
        <v>-3985.1165000000001</v>
      </c>
      <c r="I5" s="93">
        <f>'MS Options'!Y2</f>
        <v>1.5865064273971592</v>
      </c>
      <c r="J5" s="95">
        <f>'MS Options'!Z2</f>
        <v>27778.690000000021</v>
      </c>
      <c r="L5" s="91">
        <f>'MC Options'!Q2</f>
        <v>18</v>
      </c>
      <c r="M5" s="92">
        <f>'MC Options'!R2</f>
        <v>0.3888888888888889</v>
      </c>
      <c r="N5" s="92">
        <f>'MC Options'!S2</f>
        <v>0.61111111111111116</v>
      </c>
      <c r="O5" s="92">
        <f>'MC Options'!T2</f>
        <v>1.6055763418171178</v>
      </c>
      <c r="P5" s="92">
        <f>'MC Options'!U2</f>
        <v>-0.89358216005751345</v>
      </c>
      <c r="Q5" s="93">
        <f>'MC Options'!V2</f>
        <v>1.7967864776013192</v>
      </c>
      <c r="R5" s="94">
        <f>'MC Options'!W2</f>
        <v>10348.725714285714</v>
      </c>
      <c r="S5" s="94">
        <f>'MC Options'!X2</f>
        <v>-7317.1663636363637</v>
      </c>
      <c r="T5" s="93">
        <f>'MC Options'!Y2</f>
        <v>1.4143078344801738</v>
      </c>
      <c r="U5" s="95">
        <f>'MC Options'!Z2</f>
        <v>1410</v>
      </c>
      <c r="W5" s="91">
        <f>'GB Options'!N2</f>
        <v>17</v>
      </c>
      <c r="X5" s="92">
        <f>'GB Options'!O2</f>
        <v>0.11764705882352941</v>
      </c>
      <c r="Y5" s="92">
        <f>'GB Options'!P2</f>
        <v>0.88235294117647056</v>
      </c>
      <c r="Z5" s="92">
        <f>'GB Options'!Q2</f>
        <v>0.45626690964195021</v>
      </c>
      <c r="AA5" s="92">
        <f>'GB Options'!R2</f>
        <v>-0.43977137026258178</v>
      </c>
      <c r="AB5" s="93">
        <f>'GB Options'!S2</f>
        <v>1.0375093525745416</v>
      </c>
      <c r="AC5" s="94">
        <f>'GB Options'!T2</f>
        <v>1818.0600000000002</v>
      </c>
      <c r="AD5" s="94">
        <f>'GB Options'!U2</f>
        <v>-5497.1453333333329</v>
      </c>
      <c r="AE5" s="93">
        <f>'GB Options'!V2</f>
        <v>0.33072802150158426</v>
      </c>
      <c r="AF5" s="95">
        <f>'GB Options'!W2</f>
        <v>-78821.06</v>
      </c>
    </row>
    <row r="6" spans="1:32" x14ac:dyDescent="0.2">
      <c r="J6" s="99"/>
      <c r="U6" s="99"/>
      <c r="AF6" s="99"/>
    </row>
    <row r="7" spans="1:32" x14ac:dyDescent="0.2">
      <c r="A7" s="109" t="s">
        <v>246</v>
      </c>
      <c r="B7" s="109"/>
      <c r="C7" s="109"/>
      <c r="D7" s="109"/>
      <c r="E7" s="109"/>
      <c r="F7" s="109"/>
      <c r="G7" s="109"/>
      <c r="H7" s="109"/>
      <c r="I7" s="109"/>
      <c r="J7" s="109"/>
      <c r="L7" s="109" t="s">
        <v>246</v>
      </c>
      <c r="M7" s="109"/>
      <c r="N7" s="109"/>
      <c r="O7" s="109"/>
      <c r="P7" s="109"/>
      <c r="Q7" s="109"/>
      <c r="R7" s="109"/>
      <c r="S7" s="109"/>
      <c r="T7" s="109"/>
      <c r="U7" s="109"/>
      <c r="W7" s="109" t="s">
        <v>332</v>
      </c>
      <c r="X7" s="109"/>
      <c r="Y7" s="109"/>
      <c r="Z7" s="109"/>
      <c r="AA7" s="109"/>
      <c r="AB7" s="109"/>
      <c r="AC7" s="109"/>
      <c r="AD7" s="109"/>
      <c r="AE7" s="109"/>
      <c r="AF7" s="109"/>
    </row>
    <row r="8" spans="1:32" ht="26.25" customHeight="1" x14ac:dyDescent="0.2">
      <c r="A8" s="101" t="s">
        <v>248</v>
      </c>
      <c r="B8" s="101" t="s">
        <v>250</v>
      </c>
      <c r="C8" s="101" t="s">
        <v>249</v>
      </c>
      <c r="D8" s="101" t="s">
        <v>251</v>
      </c>
      <c r="E8" s="101" t="s">
        <v>252</v>
      </c>
      <c r="F8" s="101" t="s">
        <v>253</v>
      </c>
      <c r="G8" s="101" t="s">
        <v>255</v>
      </c>
      <c r="H8" s="101" t="s">
        <v>256</v>
      </c>
      <c r="I8" s="101" t="s">
        <v>257</v>
      </c>
      <c r="J8" s="102" t="s">
        <v>254</v>
      </c>
      <c r="L8" s="101" t="s">
        <v>248</v>
      </c>
      <c r="M8" s="101" t="s">
        <v>250</v>
      </c>
      <c r="N8" s="101" t="s">
        <v>249</v>
      </c>
      <c r="O8" s="101" t="s">
        <v>251</v>
      </c>
      <c r="P8" s="101" t="s">
        <v>252</v>
      </c>
      <c r="Q8" s="101" t="s">
        <v>253</v>
      </c>
      <c r="R8" s="101" t="s">
        <v>255</v>
      </c>
      <c r="S8" s="101" t="s">
        <v>256</v>
      </c>
      <c r="T8" s="101" t="s">
        <v>257</v>
      </c>
      <c r="U8" s="102" t="s">
        <v>254</v>
      </c>
      <c r="W8" s="97" t="s">
        <v>248</v>
      </c>
      <c r="X8" s="97" t="s">
        <v>250</v>
      </c>
      <c r="Y8" s="97" t="s">
        <v>249</v>
      </c>
      <c r="Z8" s="97" t="s">
        <v>251</v>
      </c>
      <c r="AA8" s="97" t="s">
        <v>252</v>
      </c>
      <c r="AB8" s="97" t="s">
        <v>253</v>
      </c>
      <c r="AC8" s="97" t="s">
        <v>255</v>
      </c>
      <c r="AD8" s="97" t="s">
        <v>256</v>
      </c>
      <c r="AE8" s="97" t="s">
        <v>257</v>
      </c>
      <c r="AF8" s="98" t="s">
        <v>254</v>
      </c>
    </row>
    <row r="9" spans="1:32" ht="20.25" customHeight="1" x14ac:dyDescent="0.2">
      <c r="A9" s="91">
        <f>'MS (D1)'!Q2</f>
        <v>23</v>
      </c>
      <c r="B9" s="92">
        <f>'MS (D1)'!R2</f>
        <v>0.21739130434782608</v>
      </c>
      <c r="C9" s="92">
        <f>'MS (D1)'!S2</f>
        <v>0.78260869565217395</v>
      </c>
      <c r="D9" s="92">
        <f>'MS (D1)'!T2</f>
        <v>4.1371765909599256</v>
      </c>
      <c r="E9" s="92">
        <f>'MS (D1)'!U2</f>
        <v>-1.5163342999397136E-2</v>
      </c>
      <c r="F9" s="93">
        <f>'MS (D1)'!V2</f>
        <v>272.84066522299281</v>
      </c>
      <c r="G9" s="94">
        <f>'MS (D1)'!W2</f>
        <v>10950.323999999999</v>
      </c>
      <c r="H9" s="94">
        <f>'MS (D1)'!X2</f>
        <v>-4275.840555555561</v>
      </c>
      <c r="I9" s="93">
        <f>'MS (D1)'!Y2</f>
        <v>2.5609757561638591</v>
      </c>
      <c r="J9" s="95">
        <f>'MS (D1)'!Z2</f>
        <v>-22213.510000000097</v>
      </c>
      <c r="L9" s="91">
        <f>'MC D1'!Q2</f>
        <v>47</v>
      </c>
      <c r="M9" s="92">
        <f>'MC D1'!R2</f>
        <v>0.44680851063829785</v>
      </c>
      <c r="N9" s="92">
        <f>'MC D1'!S2</f>
        <v>0.55319148936170215</v>
      </c>
      <c r="O9" s="92">
        <f>'MC D1'!T2</f>
        <v>0.10812634224625044</v>
      </c>
      <c r="P9" s="92">
        <f>'MC D1'!U2</f>
        <v>-3.4003839024893859E-2</v>
      </c>
      <c r="Q9" s="93">
        <f>'MC D1'!V2</f>
        <v>3.179827494392391</v>
      </c>
      <c r="R9" s="94">
        <f>'MC D1'!W2</f>
        <v>20024.205903714894</v>
      </c>
      <c r="S9" s="94">
        <f>'MC D1'!X2</f>
        <v>-8799.3630769230786</v>
      </c>
      <c r="T9" s="93">
        <f>'MC D1'!Y2</f>
        <v>2.2756426492082955</v>
      </c>
      <c r="U9" s="95">
        <f>'MC D1'!Z2</f>
        <v>191724.8839780128</v>
      </c>
      <c r="W9" s="91">
        <f>'GB D1'!O2</f>
        <v>39</v>
      </c>
      <c r="X9" s="92">
        <f>'GB D1'!P2</f>
        <v>0.28205128205128205</v>
      </c>
      <c r="Y9" s="92">
        <f>'GB D1'!Q2</f>
        <v>0.71794871794871795</v>
      </c>
      <c r="Z9" s="92">
        <f>'GB D1'!R2</f>
        <v>4.4120777958874029E-2</v>
      </c>
      <c r="AA9" s="92">
        <f>'GB D1'!S2</f>
        <v>-9.6416655756374675E-2</v>
      </c>
      <c r="AB9" s="93">
        <f>'GB D1'!T2</f>
        <v>0.45760535472582953</v>
      </c>
      <c r="AC9" s="94">
        <f>'GB D1'!U2</f>
        <v>3766.4218181818183</v>
      </c>
      <c r="AD9" s="94">
        <f>'GB D1'!V2</f>
        <v>-5968.5582142857147</v>
      </c>
      <c r="AE9" s="93">
        <f>'GB D1'!W2</f>
        <v>0.63104382716196117</v>
      </c>
      <c r="AF9" s="95">
        <f>'GB D1'!X2</f>
        <v>-125688.99000000003</v>
      </c>
    </row>
    <row r="10" spans="1:32" x14ac:dyDescent="0.2">
      <c r="J10" s="99"/>
      <c r="U10" s="99"/>
    </row>
    <row r="11" spans="1:32" x14ac:dyDescent="0.2">
      <c r="A11" s="109" t="s">
        <v>247</v>
      </c>
      <c r="B11" s="109"/>
      <c r="C11" s="109"/>
      <c r="D11" s="109"/>
      <c r="E11" s="109"/>
      <c r="F11" s="109"/>
      <c r="G11" s="109"/>
      <c r="H11" s="109"/>
      <c r="I11" s="109"/>
      <c r="J11" s="109"/>
      <c r="L11" s="109" t="s">
        <v>247</v>
      </c>
      <c r="M11" s="109"/>
      <c r="N11" s="109"/>
      <c r="O11" s="109"/>
      <c r="P11" s="109"/>
      <c r="Q11" s="109"/>
      <c r="R11" s="109"/>
      <c r="S11" s="109"/>
      <c r="T11" s="109"/>
      <c r="U11" s="109"/>
    </row>
    <row r="12" spans="1:32" ht="26.25" customHeight="1" x14ac:dyDescent="0.2">
      <c r="A12" s="101" t="s">
        <v>248</v>
      </c>
      <c r="B12" s="101" t="s">
        <v>250</v>
      </c>
      <c r="C12" s="101" t="s">
        <v>249</v>
      </c>
      <c r="D12" s="101" t="s">
        <v>251</v>
      </c>
      <c r="E12" s="101" t="s">
        <v>252</v>
      </c>
      <c r="F12" s="101" t="s">
        <v>253</v>
      </c>
      <c r="G12" s="101" t="s">
        <v>255</v>
      </c>
      <c r="H12" s="101" t="s">
        <v>256</v>
      </c>
      <c r="I12" s="101" t="s">
        <v>257</v>
      </c>
      <c r="J12" s="102" t="s">
        <v>254</v>
      </c>
      <c r="L12" s="101" t="s">
        <v>248</v>
      </c>
      <c r="M12" s="101" t="s">
        <v>250</v>
      </c>
      <c r="N12" s="101" t="s">
        <v>249</v>
      </c>
      <c r="O12" s="101" t="s">
        <v>251</v>
      </c>
      <c r="P12" s="101" t="s">
        <v>252</v>
      </c>
      <c r="Q12" s="101" t="s">
        <v>253</v>
      </c>
      <c r="R12" s="101" t="s">
        <v>255</v>
      </c>
      <c r="S12" s="101" t="s">
        <v>256</v>
      </c>
      <c r="T12" s="101" t="s">
        <v>257</v>
      </c>
      <c r="U12" s="102" t="s">
        <v>254</v>
      </c>
    </row>
    <row r="13" spans="1:32" ht="22.5" customHeight="1" x14ac:dyDescent="0.2">
      <c r="A13" s="91">
        <f>'PJ Options'!Q2</f>
        <v>10</v>
      </c>
      <c r="B13" s="92">
        <f>'PJ Options'!R2</f>
        <v>0.5</v>
      </c>
      <c r="C13" s="92">
        <f>'PJ Options'!S2</f>
        <v>0.5</v>
      </c>
      <c r="D13" s="92">
        <f>'PJ Options'!T2</f>
        <v>0.68394382855704972</v>
      </c>
      <c r="E13" s="92">
        <f>'PJ Options'!U2</f>
        <v>-0.85581372633896957</v>
      </c>
      <c r="F13" s="93">
        <f>'PJ Options'!V2</f>
        <v>0.79917370744081073</v>
      </c>
      <c r="G13" s="94">
        <f>'PJ Options'!W2</f>
        <v>6368.3380000000006</v>
      </c>
      <c r="H13" s="94">
        <f>'PJ Options'!X2</f>
        <v>-5288.3860000000004</v>
      </c>
      <c r="I13" s="93">
        <f>'PJ Options'!Y2</f>
        <v>1.2042120223448138</v>
      </c>
      <c r="J13" s="95">
        <f>'PJ Options'!Z2</f>
        <v>922</v>
      </c>
      <c r="L13" s="91">
        <f>'PC Options'!Q2</f>
        <v>5</v>
      </c>
      <c r="M13" s="92">
        <f>'PC Options'!R2</f>
        <v>0.2</v>
      </c>
      <c r="N13" s="92">
        <f>'PC Options'!S2</f>
        <v>0.8</v>
      </c>
      <c r="O13" s="92">
        <f>'PC Options'!T2</f>
        <v>1.0929327312956161</v>
      </c>
      <c r="P13" s="92">
        <f>'PC Options'!U2</f>
        <v>-0.83996384550738845</v>
      </c>
      <c r="Q13" s="93">
        <f>'PC Options'!V2</f>
        <v>1.3011663979839743</v>
      </c>
      <c r="R13" s="94">
        <f>'PC Options'!W2</f>
        <v>10916.54</v>
      </c>
      <c r="S13" s="94">
        <f>'PC Options'!X2</f>
        <v>-3938.1499999999996</v>
      </c>
      <c r="T13" s="93">
        <f>'PC Options'!Y2</f>
        <v>2.7719970036692358</v>
      </c>
      <c r="U13" s="95">
        <f>'PC Options'!Z2</f>
        <v>79</v>
      </c>
    </row>
    <row r="14" spans="1:32" x14ac:dyDescent="0.2">
      <c r="J14" s="99"/>
      <c r="U14" s="99"/>
    </row>
    <row r="15" spans="1:32" x14ac:dyDescent="0.2">
      <c r="A15" s="109" t="s">
        <v>261</v>
      </c>
      <c r="B15" s="109"/>
      <c r="C15" s="109"/>
      <c r="D15" s="109"/>
      <c r="E15" s="109"/>
      <c r="F15" s="109"/>
      <c r="G15" s="109"/>
      <c r="H15" s="109"/>
      <c r="I15" s="109"/>
      <c r="J15" s="109"/>
      <c r="L15" s="109" t="s">
        <v>261</v>
      </c>
      <c r="M15" s="109"/>
      <c r="N15" s="109"/>
      <c r="O15" s="109"/>
      <c r="P15" s="109"/>
      <c r="Q15" s="109"/>
      <c r="R15" s="109"/>
      <c r="S15" s="109"/>
      <c r="T15" s="109"/>
      <c r="U15" s="109"/>
    </row>
    <row r="16" spans="1:32" ht="26.25" customHeight="1" x14ac:dyDescent="0.2">
      <c r="A16" s="101" t="s">
        <v>248</v>
      </c>
      <c r="B16" s="101" t="s">
        <v>250</v>
      </c>
      <c r="C16" s="101" t="s">
        <v>249</v>
      </c>
      <c r="D16" s="101" t="s">
        <v>251</v>
      </c>
      <c r="E16" s="101" t="s">
        <v>252</v>
      </c>
      <c r="F16" s="101" t="s">
        <v>253</v>
      </c>
      <c r="G16" s="101" t="s">
        <v>255</v>
      </c>
      <c r="H16" s="101" t="s">
        <v>256</v>
      </c>
      <c r="I16" s="101" t="s">
        <v>257</v>
      </c>
      <c r="J16" s="102" t="s">
        <v>254</v>
      </c>
      <c r="L16" s="101" t="s">
        <v>248</v>
      </c>
      <c r="M16" s="101" t="s">
        <v>250</v>
      </c>
      <c r="N16" s="101" t="s">
        <v>249</v>
      </c>
      <c r="O16" s="101" t="s">
        <v>251</v>
      </c>
      <c r="P16" s="101" t="s">
        <v>252</v>
      </c>
      <c r="Q16" s="101" t="s">
        <v>253</v>
      </c>
      <c r="R16" s="101" t="s">
        <v>255</v>
      </c>
      <c r="S16" s="101" t="s">
        <v>256</v>
      </c>
      <c r="T16" s="101" t="s">
        <v>257</v>
      </c>
      <c r="U16" s="102" t="s">
        <v>254</v>
      </c>
    </row>
    <row r="17" spans="1:21" ht="24" customHeight="1" x14ac:dyDescent="0.2">
      <c r="A17" s="91">
        <f>'PJ (D1)'!W2</f>
        <v>247</v>
      </c>
      <c r="B17" s="92">
        <f>'PJ (D1)'!X2</f>
        <v>0.40485829959514169</v>
      </c>
      <c r="C17" s="92">
        <f>'PJ (D1)'!Y2</f>
        <v>0.59514170040485825</v>
      </c>
      <c r="D17" s="92">
        <f>'PJ (D1)'!Z2</f>
        <v>4.3262315647333807E-2</v>
      </c>
      <c r="E17" s="92">
        <f>'PJ (D1)'!AA2</f>
        <v>-4.0531310210884748E-2</v>
      </c>
      <c r="F17" s="93">
        <f>'PJ (D1)'!AB2</f>
        <v>1.0673801419751696</v>
      </c>
      <c r="G17" s="94">
        <f>'PJ (D1)'!AC2</f>
        <v>9877.7018212368439</v>
      </c>
      <c r="H17" s="94">
        <f>'PJ (D1)'!AD2</f>
        <v>-7359.7090738643055</v>
      </c>
      <c r="I17" s="93">
        <f>'PJ (D1)'!AE2</f>
        <v>1.3421321036064318</v>
      </c>
      <c r="J17" s="95">
        <f>'PJ (D1)'!AF2</f>
        <v>-94107.051734368724</v>
      </c>
      <c r="L17" s="91">
        <f>'PC D1'!Q2</f>
        <v>55</v>
      </c>
      <c r="M17" s="92">
        <f>'PC D1'!R2</f>
        <v>0.21818181818181817</v>
      </c>
      <c r="N17" s="92">
        <f>'PC D1'!S2</f>
        <v>0.78181818181818186</v>
      </c>
      <c r="O17" s="92">
        <f>'PC D1'!T2</f>
        <v>7.7820472063690763E-2</v>
      </c>
      <c r="P17" s="92">
        <f>'PC D1'!U2</f>
        <v>-3.0868635721965791E-2</v>
      </c>
      <c r="Q17" s="93">
        <f>'PC D1'!V2</f>
        <v>2.5210207786512102</v>
      </c>
      <c r="R17" s="94">
        <f>'PC D1'!W2</f>
        <v>34809.513333333329</v>
      </c>
      <c r="S17" s="94">
        <f>'PC D1'!X2</f>
        <v>-8899.3475298953981</v>
      </c>
      <c r="T17" s="93">
        <f>'PC D1'!Y2</f>
        <v>3.9114680280097427</v>
      </c>
      <c r="U17" s="95">
        <f>'PC D1'!Z2</f>
        <v>35042.216214497756</v>
      </c>
    </row>
    <row r="19" spans="1:21" x14ac:dyDescent="0.2">
      <c r="L19" s="108" t="s">
        <v>279</v>
      </c>
      <c r="M19" s="108"/>
      <c r="N19" s="108"/>
      <c r="O19" s="108"/>
      <c r="P19" s="108"/>
      <c r="Q19" s="108"/>
      <c r="R19" s="108"/>
      <c r="U19" s="96"/>
    </row>
    <row r="20" spans="1:21" ht="25.5" x14ac:dyDescent="0.2">
      <c r="L20" s="101" t="s">
        <v>248</v>
      </c>
      <c r="M20" s="101" t="s">
        <v>250</v>
      </c>
      <c r="N20" s="101" t="s">
        <v>249</v>
      </c>
      <c r="O20" s="101" t="s">
        <v>255</v>
      </c>
      <c r="P20" s="101" t="s">
        <v>256</v>
      </c>
      <c r="Q20" s="101" t="s">
        <v>257</v>
      </c>
      <c r="R20" s="101" t="s">
        <v>254</v>
      </c>
      <c r="U20" s="96"/>
    </row>
    <row r="21" spans="1:21" ht="24" customHeight="1" x14ac:dyDescent="0.2">
      <c r="L21" s="91">
        <f>ML!Q2</f>
        <v>26</v>
      </c>
      <c r="M21" s="92">
        <f>ML!R2</f>
        <v>0.46153846153846156</v>
      </c>
      <c r="N21" s="92">
        <f>ML!S2</f>
        <v>0.53846153846153844</v>
      </c>
      <c r="O21" s="94">
        <f>ML!W2</f>
        <v>18482.7225</v>
      </c>
      <c r="P21" s="94">
        <f>ML!X2</f>
        <v>-7306.299285714289</v>
      </c>
      <c r="Q21" s="93">
        <f>ML!V2</f>
        <v>2.9321749328578774</v>
      </c>
      <c r="R21" s="95">
        <f>ML!W2</f>
        <v>18482.7225</v>
      </c>
      <c r="U21" s="96"/>
    </row>
    <row r="22" spans="1:21" ht="24" customHeight="1" x14ac:dyDescent="0.2">
      <c r="U22" s="96"/>
    </row>
    <row r="23" spans="1:21" x14ac:dyDescent="0.2">
      <c r="L23" s="109" t="s">
        <v>292</v>
      </c>
      <c r="M23" s="109"/>
      <c r="N23" s="109"/>
      <c r="O23" s="109"/>
      <c r="P23" s="109"/>
      <c r="Q23" s="109"/>
      <c r="R23" s="109"/>
      <c r="S23" s="109"/>
      <c r="T23" s="109"/>
      <c r="U23" s="109"/>
    </row>
    <row r="24" spans="1:21" ht="25.5" x14ac:dyDescent="0.2">
      <c r="L24" s="101" t="s">
        <v>248</v>
      </c>
      <c r="M24" s="101" t="s">
        <v>250</v>
      </c>
      <c r="N24" s="101" t="s">
        <v>249</v>
      </c>
      <c r="O24" s="101" t="s">
        <v>251</v>
      </c>
      <c r="P24" s="101" t="s">
        <v>252</v>
      </c>
      <c r="Q24" s="101" t="s">
        <v>253</v>
      </c>
      <c r="R24" s="101" t="s">
        <v>255</v>
      </c>
      <c r="S24" s="101" t="s">
        <v>256</v>
      </c>
      <c r="T24" s="101" t="s">
        <v>257</v>
      </c>
      <c r="U24" s="102" t="s">
        <v>254</v>
      </c>
    </row>
    <row r="25" spans="1:21" ht="24" customHeight="1" x14ac:dyDescent="0.2">
      <c r="L25" s="91">
        <f>'Day Trades'!O2</f>
        <v>79</v>
      </c>
      <c r="M25" s="92">
        <f>'Day Trades'!P2</f>
        <v>0.29113924050632911</v>
      </c>
      <c r="N25" s="92">
        <f>'Day Trades'!Q2</f>
        <v>0.70886075949367089</v>
      </c>
      <c r="O25" s="92">
        <f>'Day Trades'!R2</f>
        <v>3.478783516748879E-3</v>
      </c>
      <c r="P25" s="92">
        <f>'Day Trades'!S2</f>
        <v>-1.8599625028110013E-3</v>
      </c>
      <c r="Q25" s="93">
        <f>'Day Trades'!T2</f>
        <v>1.8703514245536232</v>
      </c>
      <c r="R25" s="94">
        <f>'Day Trades'!U2</f>
        <v>6415.1621739130278</v>
      </c>
      <c r="S25" s="94">
        <f>'Day Trades'!V2</f>
        <v>-3910.1553571428731</v>
      </c>
      <c r="T25" s="93">
        <f>'Day Trades'!W2</f>
        <v>1.6406412502751677</v>
      </c>
      <c r="U25" s="95">
        <f>'Day Trades'!X2</f>
        <v>-71419.970000001253</v>
      </c>
    </row>
  </sheetData>
  <mergeCells count="14">
    <mergeCell ref="A1:J1"/>
    <mergeCell ref="L23:U23"/>
    <mergeCell ref="W3:AF3"/>
    <mergeCell ref="W7:AF7"/>
    <mergeCell ref="L19:R19"/>
    <mergeCell ref="A15:J15"/>
    <mergeCell ref="A3:J3"/>
    <mergeCell ref="A7:J7"/>
    <mergeCell ref="A11:J11"/>
    <mergeCell ref="L11:U11"/>
    <mergeCell ref="L15:U15"/>
    <mergeCell ref="L1:U1"/>
    <mergeCell ref="L3:U3"/>
    <mergeCell ref="L7:U7"/>
  </mergeCells>
  <conditionalFormatting sqref="B5 B9 B13 B17 M17 M13 M9 M5">
    <cfRule type="colorScale" priority="11">
      <colorScale>
        <cfvo type="min"/>
        <cfvo type="percentile" val="50"/>
        <cfvo type="max"/>
        <color rgb="FFF8696B"/>
        <color rgb="FFFFEB84"/>
        <color rgb="FF63BE7B"/>
      </colorScale>
    </cfRule>
  </conditionalFormatting>
  <conditionalFormatting sqref="C5 C9 C13 C17 N17 N13 N9 N5">
    <cfRule type="colorScale" priority="7">
      <colorScale>
        <cfvo type="min"/>
        <cfvo type="percentile" val="50"/>
        <cfvo type="max"/>
        <color rgb="FF63BE7B"/>
        <color rgb="FFFFEB84"/>
        <color rgb="FFF8696B"/>
      </colorScale>
    </cfRule>
  </conditionalFormatting>
  <conditionalFormatting sqref="I5 I9 I13 I17 T5 T9 T13 T17">
    <cfRule type="colorScale" priority="9">
      <colorScale>
        <cfvo type="min"/>
        <cfvo type="percentile" val="50"/>
        <cfvo type="max"/>
        <color rgb="FFF8696B"/>
        <color rgb="FFFFEB84"/>
        <color rgb="FF63BE7B"/>
      </colorScale>
    </cfRule>
  </conditionalFormatting>
  <conditionalFormatting sqref="M21">
    <cfRule type="colorScale" priority="2">
      <colorScale>
        <cfvo type="min"/>
        <cfvo type="percentile" val="50"/>
        <cfvo type="max"/>
        <color rgb="FFF8696B"/>
        <color rgb="FFFFEB84"/>
        <color rgb="FF63BE7B"/>
      </colorScale>
    </cfRule>
  </conditionalFormatting>
  <conditionalFormatting sqref="N21">
    <cfRule type="colorScale" priority="1">
      <colorScale>
        <cfvo type="min"/>
        <cfvo type="percentile" val="50"/>
        <cfvo type="max"/>
        <color rgb="FF63BE7B"/>
        <color rgb="FFFFEB84"/>
        <color rgb="FFF8696B"/>
      </colorScale>
    </cfRule>
  </conditionalFormatting>
  <conditionalFormatting sqref="Q21">
    <cfRule type="colorScale" priority="5">
      <colorScale>
        <cfvo type="min"/>
        <cfvo type="percentile" val="50"/>
        <cfvo type="max"/>
        <color rgb="FFF8696B"/>
        <color rgb="FFFFEB84"/>
        <color rgb="FF63BE7B"/>
      </colorScale>
    </cfRule>
  </conditionalFormatting>
  <conditionalFormatting sqref="R21">
    <cfRule type="colorScale" priority="6">
      <colorScale>
        <cfvo type="min"/>
        <cfvo type="percentile" val="50"/>
        <cfvo type="max"/>
        <color rgb="FFF8696B"/>
        <color rgb="FFFFEB84"/>
        <color rgb="FF63BE7B"/>
      </colorScale>
    </cfRule>
  </conditionalFormatting>
  <conditionalFormatting sqref="U13 U17 U9 U5 J5 J9 J13 J17">
    <cfRule type="colorScale" priority="8">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1B5A-2232-45E8-8E36-CB26E562515D}">
  <dimension ref="A1:Z24"/>
  <sheetViews>
    <sheetView workbookViewId="0">
      <selection activeCell="P12" sqref="P12"/>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334</v>
      </c>
      <c r="C2" t="s">
        <v>149</v>
      </c>
      <c r="D2" t="s">
        <v>38</v>
      </c>
      <c r="E2" s="90">
        <v>45037</v>
      </c>
      <c r="F2" s="49" t="s">
        <v>53</v>
      </c>
      <c r="G2">
        <v>11</v>
      </c>
      <c r="H2" s="49">
        <v>2016.07</v>
      </c>
      <c r="I2" s="49">
        <v>1.8327909090909091</v>
      </c>
      <c r="J2" s="88">
        <v>11</v>
      </c>
      <c r="K2" s="49">
        <v>0</v>
      </c>
      <c r="L2" s="49">
        <v>0</v>
      </c>
      <c r="M2" s="49">
        <v>-2016.07</v>
      </c>
      <c r="N2" s="45">
        <v>-1</v>
      </c>
      <c r="O2" s="72">
        <f>M2</f>
        <v>-2016.07</v>
      </c>
      <c r="Q2" s="63">
        <f>COUNTA(J$2:J$1048576)</f>
        <v>5</v>
      </c>
      <c r="R2" s="64">
        <f>COUNTIF(M$2:M$1048576,"&gt;0")/Q2</f>
        <v>0.2</v>
      </c>
      <c r="S2" s="64">
        <f>COUNTIF(M$2:M$1048576,"&lt;0")/COUNTA(M$2:M$1048576)</f>
        <v>0.8</v>
      </c>
      <c r="T2" s="64">
        <f>AVERAGEIF(N:N,"&gt;0")</f>
        <v>1.0929327312956161</v>
      </c>
      <c r="U2" s="64">
        <f>AVERAGEIF(N:N,"&lt;0")</f>
        <v>-0.83996384550738845</v>
      </c>
      <c r="V2" s="65">
        <f>T2/ABS(U2)</f>
        <v>1.3011663979839743</v>
      </c>
      <c r="W2" s="66">
        <f>AVERAGEIF(M:M,"&gt;0")</f>
        <v>10916.54</v>
      </c>
      <c r="X2" s="68">
        <f>AVERAGEIF(M:M,"&lt;0")</f>
        <v>-3938.1499999999996</v>
      </c>
      <c r="Y2" s="65">
        <f>W2/ABS(X2)</f>
        <v>2.7719970036692358</v>
      </c>
      <c r="Z2" s="67">
        <f>SUM(J:J)</f>
        <v>79</v>
      </c>
    </row>
    <row r="3" spans="1:26" x14ac:dyDescent="0.25">
      <c r="A3" t="s">
        <v>276</v>
      </c>
      <c r="B3" s="50" t="s">
        <v>334</v>
      </c>
      <c r="C3" t="s">
        <v>149</v>
      </c>
      <c r="D3" t="s">
        <v>38</v>
      </c>
      <c r="E3" s="90">
        <v>45049</v>
      </c>
      <c r="F3" s="49" t="s">
        <v>262</v>
      </c>
      <c r="G3">
        <v>9</v>
      </c>
      <c r="H3" s="49">
        <v>9138.56</v>
      </c>
      <c r="I3" s="49">
        <v>10.153955555555555</v>
      </c>
      <c r="J3" s="88">
        <v>9</v>
      </c>
      <c r="K3" s="49">
        <v>5850</v>
      </c>
      <c r="L3" s="49">
        <v>6.5</v>
      </c>
      <c r="M3" s="49">
        <v>-3288.5599999999995</v>
      </c>
      <c r="N3" s="45">
        <v>-0.35985538202955386</v>
      </c>
      <c r="O3" s="72">
        <f>M3+O2</f>
        <v>-5304.6299999999992</v>
      </c>
    </row>
    <row r="4" spans="1:26" x14ac:dyDescent="0.25">
      <c r="A4" t="s">
        <v>276</v>
      </c>
      <c r="B4" s="50" t="s">
        <v>334</v>
      </c>
      <c r="C4" t="s">
        <v>149</v>
      </c>
      <c r="D4" t="s">
        <v>38</v>
      </c>
      <c r="E4" s="90">
        <v>45065</v>
      </c>
      <c r="F4" s="49" t="s">
        <v>65</v>
      </c>
      <c r="G4">
        <v>25</v>
      </c>
      <c r="H4" s="49">
        <v>6248.73</v>
      </c>
      <c r="I4" s="49">
        <v>2.499492</v>
      </c>
      <c r="J4" s="88">
        <v>25</v>
      </c>
      <c r="K4" s="49">
        <v>0</v>
      </c>
      <c r="L4" s="49">
        <v>0</v>
      </c>
      <c r="M4" s="49">
        <v>-6248.73</v>
      </c>
      <c r="N4" s="45">
        <v>-1</v>
      </c>
      <c r="O4" s="72">
        <f t="shared" ref="O4" si="0">M4+O3</f>
        <v>-11553.359999999999</v>
      </c>
    </row>
    <row r="5" spans="1:26" x14ac:dyDescent="0.25">
      <c r="A5" t="s">
        <v>276</v>
      </c>
      <c r="B5" s="50" t="s">
        <v>334</v>
      </c>
      <c r="C5" t="s">
        <v>149</v>
      </c>
      <c r="D5" t="s">
        <v>38</v>
      </c>
      <c r="E5" s="90">
        <v>45093</v>
      </c>
      <c r="F5" s="49" t="s">
        <v>62</v>
      </c>
      <c r="G5">
        <v>15</v>
      </c>
      <c r="H5" s="49">
        <v>4199.24</v>
      </c>
      <c r="I5" s="49">
        <v>2.7994933333333329</v>
      </c>
      <c r="J5" s="88">
        <v>15</v>
      </c>
      <c r="K5" s="49">
        <v>0</v>
      </c>
      <c r="L5" s="49">
        <v>0</v>
      </c>
      <c r="M5" s="49">
        <v>-4199.24</v>
      </c>
      <c r="N5" s="45">
        <v>-1</v>
      </c>
      <c r="O5" s="72">
        <f>M5+O4</f>
        <v>-15752.599999999999</v>
      </c>
    </row>
    <row r="6" spans="1:26" x14ac:dyDescent="0.25">
      <c r="A6" t="s">
        <v>276</v>
      </c>
      <c r="B6" s="50" t="s">
        <v>334</v>
      </c>
      <c r="C6" t="s">
        <v>276</v>
      </c>
      <c r="D6" t="s">
        <v>38</v>
      </c>
      <c r="E6" s="90">
        <v>45338</v>
      </c>
      <c r="F6" s="49" t="s">
        <v>344</v>
      </c>
      <c r="G6">
        <v>19</v>
      </c>
      <c r="H6" s="49">
        <v>9988.2999999999993</v>
      </c>
      <c r="I6" s="49">
        <v>5.2569999999999997</v>
      </c>
      <c r="J6" s="88">
        <v>19</v>
      </c>
      <c r="K6" s="49">
        <v>20904.84</v>
      </c>
      <c r="L6" s="49">
        <v>11.002547368421054</v>
      </c>
      <c r="M6" s="49">
        <v>10916.54</v>
      </c>
      <c r="N6" s="45">
        <v>1.0929327312956161</v>
      </c>
      <c r="O6" s="72">
        <f t="shared" ref="O6" si="1">M6+O5</f>
        <v>-4836.0599999999977</v>
      </c>
    </row>
    <row r="7" spans="1:26" x14ac:dyDescent="0.25">
      <c r="O7" s="72"/>
    </row>
    <row r="8" spans="1:26" x14ac:dyDescent="0.25">
      <c r="O8" s="72"/>
    </row>
    <row r="9" spans="1:26" x14ac:dyDescent="0.25">
      <c r="O9" s="72"/>
    </row>
    <row r="10" spans="1:26" x14ac:dyDescent="0.25">
      <c r="O10" s="72"/>
    </row>
    <row r="11" spans="1:26" x14ac:dyDescent="0.25">
      <c r="O11" s="72"/>
    </row>
    <row r="12" spans="1:26" x14ac:dyDescent="0.25">
      <c r="O12" s="72"/>
    </row>
    <row r="13" spans="1:26" x14ac:dyDescent="0.25">
      <c r="O13" s="72"/>
    </row>
    <row r="14" spans="1:26" x14ac:dyDescent="0.25">
      <c r="O14" s="72"/>
    </row>
    <row r="15" spans="1:26" x14ac:dyDescent="0.25">
      <c r="O15" s="72"/>
    </row>
    <row r="16" spans="1:26" x14ac:dyDescent="0.25">
      <c r="O16" s="72"/>
    </row>
    <row r="17" spans="15:15" x14ac:dyDescent="0.25">
      <c r="O17" s="72"/>
    </row>
    <row r="18" spans="15:15" x14ac:dyDescent="0.25">
      <c r="O18" s="72"/>
    </row>
    <row r="19" spans="15:15" x14ac:dyDescent="0.25">
      <c r="O19" s="72"/>
    </row>
    <row r="20" spans="15:15" x14ac:dyDescent="0.25">
      <c r="O20" s="72"/>
    </row>
    <row r="21" spans="15:15" x14ac:dyDescent="0.25">
      <c r="O21" s="72"/>
    </row>
    <row r="22" spans="15:15" x14ac:dyDescent="0.25">
      <c r="O22" s="72"/>
    </row>
    <row r="23" spans="15:15" x14ac:dyDescent="0.25">
      <c r="O23" s="72"/>
    </row>
    <row r="24" spans="15:15" x14ac:dyDescent="0.25">
      <c r="O24" s="72"/>
    </row>
  </sheetData>
  <conditionalFormatting sqref="L1:O1">
    <cfRule type="colorScale" priority="6">
      <colorScale>
        <cfvo type="min"/>
        <cfvo type="percentile" val="50"/>
        <cfvo type="max"/>
        <color rgb="FFF8696B"/>
        <color rgb="FFFFEB84"/>
        <color rgb="FF63BE7B"/>
      </colorScale>
    </cfRule>
  </conditionalFormatting>
  <conditionalFormatting sqref="M1:M1048576">
    <cfRule type="colorScale" priority="4">
      <colorScale>
        <cfvo type="min"/>
        <cfvo type="percentile" val="50"/>
        <cfvo type="max"/>
        <color rgb="FFF8696B"/>
        <color rgb="FFFFEB84"/>
        <color rgb="FF63BE7B"/>
      </colorScale>
    </cfRule>
  </conditionalFormatting>
  <conditionalFormatting sqref="N1:N1048576">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2:O7">
    <cfRule type="colorScale" priority="18">
      <colorScale>
        <cfvo type="min"/>
        <cfvo type="percentile" val="50"/>
        <cfvo type="max"/>
        <color rgb="FFF8696B"/>
        <color rgb="FFFFEB84"/>
        <color rgb="FF63BE7B"/>
      </colorScale>
    </cfRule>
  </conditionalFormatting>
  <conditionalFormatting sqref="O8:O1048576 O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B3CA-E92B-459A-BAD9-179513F653D9}">
  <dimension ref="A1:Z48"/>
  <sheetViews>
    <sheetView topLeftCell="D16" workbookViewId="0">
      <selection activeCell="P51" sqref="P51"/>
    </sheetView>
  </sheetViews>
  <sheetFormatPr defaultRowHeight="15" x14ac:dyDescent="0.25"/>
  <cols>
    <col min="3" max="3" width="10.5703125" bestFit="1" customWidth="1"/>
    <col min="5" max="5" width="12.28515625" bestFit="1" customWidth="1"/>
    <col min="6" max="6" width="10.28515625" style="49" bestFit="1" customWidth="1"/>
    <col min="7" max="7" width="8" style="49" bestFit="1" customWidth="1"/>
    <col min="8" max="8" width="15.28515625" bestFit="1" customWidth="1"/>
    <col min="9" max="9" width="10.5703125" style="49" bestFit="1" customWidth="1"/>
    <col min="10" max="10" width="12.140625" style="49" bestFit="1" customWidth="1"/>
    <col min="11" max="11" width="15.28515625" style="49" bestFit="1" customWidth="1"/>
    <col min="12" max="12" width="12.42578125" style="47" bestFit="1" customWidth="1"/>
    <col min="13" max="13" width="12.28515625" bestFit="1" customWidth="1"/>
    <col min="14" max="14" width="6.2851562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333</v>
      </c>
      <c r="C2" t="s">
        <v>51</v>
      </c>
      <c r="D2" t="s">
        <v>38</v>
      </c>
      <c r="E2" s="90">
        <v>45009</v>
      </c>
      <c r="F2" s="49" t="s">
        <v>52</v>
      </c>
      <c r="G2">
        <v>6</v>
      </c>
      <c r="H2" s="49">
        <v>389954.22</v>
      </c>
      <c r="I2" s="49">
        <v>64.992369999999994</v>
      </c>
      <c r="J2" s="88">
        <v>6</v>
      </c>
      <c r="K2" s="49">
        <v>405105.78</v>
      </c>
      <c r="L2" s="49">
        <v>67.517630000000011</v>
      </c>
      <c r="M2" s="49">
        <v>15151.560000000056</v>
      </c>
      <c r="N2" s="45">
        <v>3.885471479190572E-2</v>
      </c>
      <c r="O2" s="72">
        <f>M2</f>
        <v>15151.560000000056</v>
      </c>
      <c r="P2" s="72"/>
      <c r="Q2" s="63">
        <f>COUNTA(J$2:J$1048576)</f>
        <v>47</v>
      </c>
      <c r="R2" s="64">
        <f>COUNTIF(M$2:M$1048576,"&gt;0")/Q2</f>
        <v>0.44680851063829785</v>
      </c>
      <c r="S2" s="64">
        <f>COUNTIF(M$2:M$1048576,"&lt;0")/COUNTA(M$2:M$1048576)</f>
        <v>0.55319148936170215</v>
      </c>
      <c r="T2" s="64">
        <f>AVERAGEIF(N:N,"&gt;0")</f>
        <v>0.10812634224625044</v>
      </c>
      <c r="U2" s="64">
        <f>AVERAGEIF(N:N,"&lt;0")</f>
        <v>-3.4003839024893859E-2</v>
      </c>
      <c r="V2" s="65">
        <f>T2/ABS(U2)</f>
        <v>3.179827494392391</v>
      </c>
      <c r="W2" s="66">
        <f>AVERAGEIF(M:M,"&gt;0")</f>
        <v>20024.205903714894</v>
      </c>
      <c r="X2" s="68">
        <f>AVERAGEIF(M:M,"&lt;0")</f>
        <v>-8799.3630769230786</v>
      </c>
      <c r="Y2" s="65">
        <f>W2/ABS(X2)</f>
        <v>2.2756426492082955</v>
      </c>
      <c r="Z2" s="67">
        <f>SUM(M:M)</f>
        <v>191724.8839780128</v>
      </c>
    </row>
    <row r="3" spans="1:26" x14ac:dyDescent="0.25">
      <c r="A3" t="s">
        <v>283</v>
      </c>
      <c r="B3" s="50" t="s">
        <v>333</v>
      </c>
      <c r="C3" t="s">
        <v>197</v>
      </c>
      <c r="D3" t="s">
        <v>38</v>
      </c>
      <c r="E3" s="90">
        <v>45037</v>
      </c>
      <c r="F3" s="49" t="s">
        <v>59</v>
      </c>
      <c r="G3">
        <v>4000</v>
      </c>
      <c r="H3" s="49">
        <v>132020</v>
      </c>
      <c r="I3" s="49">
        <v>33.005000000000003</v>
      </c>
      <c r="J3" s="88">
        <v>4000</v>
      </c>
      <c r="K3" s="49">
        <v>144446.06</v>
      </c>
      <c r="L3" s="49">
        <v>36.111514999999997</v>
      </c>
      <c r="M3" s="49">
        <v>12426.059999999998</v>
      </c>
      <c r="N3" s="45">
        <v>9.4122557188304631E-2</v>
      </c>
      <c r="O3" s="72">
        <f>M3+O2</f>
        <v>27577.620000000054</v>
      </c>
      <c r="P3" s="72"/>
    </row>
    <row r="4" spans="1:26" x14ac:dyDescent="0.25">
      <c r="A4" t="s">
        <v>283</v>
      </c>
      <c r="B4" s="50" t="s">
        <v>333</v>
      </c>
      <c r="C4" t="s">
        <v>35</v>
      </c>
      <c r="D4" t="s">
        <v>36</v>
      </c>
      <c r="E4" s="90">
        <v>45040</v>
      </c>
      <c r="F4" s="49" t="s">
        <v>61</v>
      </c>
      <c r="G4">
        <v>1000000</v>
      </c>
      <c r="H4" s="49">
        <v>1243848.8799999999</v>
      </c>
      <c r="I4" s="49">
        <v>1.2438488799999998</v>
      </c>
      <c r="J4" s="88">
        <v>1000000</v>
      </c>
      <c r="K4" s="49">
        <v>1243855.1200000001</v>
      </c>
      <c r="L4" s="49">
        <v>1.2438551200000001</v>
      </c>
      <c r="M4" s="49">
        <v>6.2400000002235174</v>
      </c>
      <c r="N4" s="45">
        <v>5.0166614261502715E-6</v>
      </c>
      <c r="O4" s="72">
        <f t="shared" ref="O4:O48" si="0">M4+O3</f>
        <v>27583.860000000277</v>
      </c>
      <c r="P4" s="72"/>
    </row>
    <row r="5" spans="1:26" x14ac:dyDescent="0.25">
      <c r="A5" t="s">
        <v>283</v>
      </c>
      <c r="B5" s="50" t="s">
        <v>333</v>
      </c>
      <c r="C5" t="s">
        <v>197</v>
      </c>
      <c r="D5" t="s">
        <v>38</v>
      </c>
      <c r="E5" s="90">
        <v>45041</v>
      </c>
      <c r="F5" s="49" t="s">
        <v>60</v>
      </c>
      <c r="G5">
        <v>2700</v>
      </c>
      <c r="H5" s="49">
        <v>125883.44</v>
      </c>
      <c r="I5" s="49">
        <v>46.623496296296295</v>
      </c>
      <c r="J5" s="88">
        <v>2700</v>
      </c>
      <c r="K5" s="49">
        <v>130262.86</v>
      </c>
      <c r="L5" s="49">
        <v>48.245503703703704</v>
      </c>
      <c r="M5" s="49">
        <v>4379.4199999999983</v>
      </c>
      <c r="N5" s="45">
        <v>3.4789484621646855E-2</v>
      </c>
      <c r="O5" s="72">
        <f t="shared" si="0"/>
        <v>31963.280000000275</v>
      </c>
    </row>
    <row r="6" spans="1:26" x14ac:dyDescent="0.25">
      <c r="A6" t="s">
        <v>283</v>
      </c>
      <c r="B6" s="50" t="s">
        <v>333</v>
      </c>
      <c r="C6" t="s">
        <v>197</v>
      </c>
      <c r="D6" t="s">
        <v>38</v>
      </c>
      <c r="E6" s="90">
        <v>45048</v>
      </c>
      <c r="F6" s="49" t="s">
        <v>72</v>
      </c>
      <c r="G6">
        <v>16666</v>
      </c>
      <c r="H6" s="49">
        <v>179076.17</v>
      </c>
      <c r="I6" s="49">
        <v>10.745000000000001</v>
      </c>
      <c r="J6" s="88">
        <v>16666</v>
      </c>
      <c r="K6" s="49">
        <v>168908.35</v>
      </c>
      <c r="L6" s="49">
        <v>10.13490639625585</v>
      </c>
      <c r="M6" s="49">
        <v>-10167.820000000007</v>
      </c>
      <c r="N6" s="45">
        <v>-5.6779302349385816E-2</v>
      </c>
      <c r="O6" s="72">
        <f t="shared" si="0"/>
        <v>21795.460000000268</v>
      </c>
    </row>
    <row r="7" spans="1:26" x14ac:dyDescent="0.25">
      <c r="A7" t="s">
        <v>283</v>
      </c>
      <c r="B7" s="50" t="s">
        <v>333</v>
      </c>
      <c r="C7" t="s">
        <v>197</v>
      </c>
      <c r="D7" t="s">
        <v>38</v>
      </c>
      <c r="E7" s="90">
        <v>45055</v>
      </c>
      <c r="F7" s="49" t="s">
        <v>75</v>
      </c>
      <c r="G7">
        <v>3000</v>
      </c>
      <c r="H7" s="49">
        <v>155715</v>
      </c>
      <c r="I7" s="49">
        <v>51.905000000000001</v>
      </c>
      <c r="J7" s="88">
        <v>3000</v>
      </c>
      <c r="K7" s="49">
        <v>158756.79999999999</v>
      </c>
      <c r="L7" s="49">
        <v>52.918933333333328</v>
      </c>
      <c r="M7" s="49">
        <v>3041.7999999999884</v>
      </c>
      <c r="N7" s="45">
        <v>1.9534405805477831E-2</v>
      </c>
      <c r="O7" s="72">
        <f t="shared" si="0"/>
        <v>24837.260000000257</v>
      </c>
    </row>
    <row r="8" spans="1:26" x14ac:dyDescent="0.25">
      <c r="A8" t="s">
        <v>283</v>
      </c>
      <c r="B8" s="50" t="s">
        <v>333</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18008.590000000273</v>
      </c>
    </row>
    <row r="9" spans="1:26" x14ac:dyDescent="0.25">
      <c r="A9" t="s">
        <v>283</v>
      </c>
      <c r="B9" s="50" t="s">
        <v>333</v>
      </c>
      <c r="C9" t="s">
        <v>197</v>
      </c>
      <c r="D9" t="s">
        <v>38</v>
      </c>
      <c r="E9" s="90">
        <v>45063</v>
      </c>
      <c r="F9" s="49" t="s">
        <v>81</v>
      </c>
      <c r="G9">
        <v>21400</v>
      </c>
      <c r="H9" s="49">
        <v>136425</v>
      </c>
      <c r="I9" s="49">
        <v>6.375</v>
      </c>
      <c r="J9" s="88">
        <v>21400</v>
      </c>
      <c r="K9" s="49">
        <v>133510.04999999999</v>
      </c>
      <c r="L9" s="49">
        <v>6.23878738317757</v>
      </c>
      <c r="M9" s="49">
        <v>-2914.9500000000116</v>
      </c>
      <c r="N9" s="45">
        <v>-2.1366684991753728E-2</v>
      </c>
      <c r="O9" s="72">
        <f t="shared" si="0"/>
        <v>15093.640000000261</v>
      </c>
    </row>
    <row r="10" spans="1:26" x14ac:dyDescent="0.25">
      <c r="A10" t="s">
        <v>283</v>
      </c>
      <c r="B10" s="50" t="s">
        <v>333</v>
      </c>
      <c r="C10" t="s">
        <v>197</v>
      </c>
      <c r="D10" t="s">
        <v>38</v>
      </c>
      <c r="E10" s="90">
        <v>45064</v>
      </c>
      <c r="F10" s="49" t="s">
        <v>82</v>
      </c>
      <c r="G10">
        <v>1200</v>
      </c>
      <c r="H10" s="49">
        <v>80734.820000000007</v>
      </c>
      <c r="I10" s="49">
        <v>67.279016666666678</v>
      </c>
      <c r="J10" s="88">
        <v>1200</v>
      </c>
      <c r="K10" s="49">
        <v>76161.59</v>
      </c>
      <c r="L10" s="49">
        <v>63.467991666666663</v>
      </c>
      <c r="M10" s="49">
        <v>-4573.2300000000105</v>
      </c>
      <c r="N10" s="45">
        <v>-5.6645075817348914E-2</v>
      </c>
      <c r="O10" s="72">
        <f t="shared" si="0"/>
        <v>10520.410000000251</v>
      </c>
    </row>
    <row r="11" spans="1:26" x14ac:dyDescent="0.25">
      <c r="A11" t="s">
        <v>283</v>
      </c>
      <c r="B11" s="50" t="s">
        <v>333</v>
      </c>
      <c r="C11" t="s">
        <v>197</v>
      </c>
      <c r="D11" t="s">
        <v>38</v>
      </c>
      <c r="E11" s="90">
        <v>45069</v>
      </c>
      <c r="F11" s="49" t="s">
        <v>78</v>
      </c>
      <c r="G11">
        <v>1800</v>
      </c>
      <c r="H11" s="49">
        <v>209221.07</v>
      </c>
      <c r="I11" s="49">
        <v>116.23392777777778</v>
      </c>
      <c r="J11" s="88">
        <v>1800</v>
      </c>
      <c r="K11" s="49">
        <v>207345.81</v>
      </c>
      <c r="L11" s="49">
        <v>115.19211666666666</v>
      </c>
      <c r="M11" s="49">
        <v>1875.2600000000093</v>
      </c>
      <c r="N11" s="45">
        <v>-8.9630552028053794E-3</v>
      </c>
      <c r="O11" s="72">
        <f t="shared" si="0"/>
        <v>12395.67000000026</v>
      </c>
    </row>
    <row r="12" spans="1:26" x14ac:dyDescent="0.25">
      <c r="A12" t="s">
        <v>283</v>
      </c>
      <c r="B12" s="50" t="s">
        <v>333</v>
      </c>
      <c r="C12" t="s">
        <v>35</v>
      </c>
      <c r="D12" t="s">
        <v>36</v>
      </c>
      <c r="E12" s="90">
        <v>45071</v>
      </c>
      <c r="F12" s="49" t="s">
        <v>39</v>
      </c>
      <c r="G12">
        <v>1500000</v>
      </c>
      <c r="H12" s="49">
        <v>1655321.89</v>
      </c>
      <c r="I12" s="49">
        <v>1.1035479266666666</v>
      </c>
      <c r="J12" s="88">
        <v>1000000</v>
      </c>
      <c r="K12" s="49">
        <v>1619276.91</v>
      </c>
      <c r="L12" s="49">
        <v>1.0795179399999999</v>
      </c>
      <c r="M12" s="49">
        <v>36044.979999999981</v>
      </c>
      <c r="N12" s="45">
        <v>2.1775208929303763E-2</v>
      </c>
      <c r="O12" s="72">
        <f t="shared" si="0"/>
        <v>48440.650000000242</v>
      </c>
    </row>
    <row r="13" spans="1:26" x14ac:dyDescent="0.25">
      <c r="A13" t="s">
        <v>283</v>
      </c>
      <c r="B13" s="50" t="s">
        <v>333</v>
      </c>
      <c r="C13" t="s">
        <v>197</v>
      </c>
      <c r="D13" t="s">
        <v>36</v>
      </c>
      <c r="E13" s="90">
        <v>45071</v>
      </c>
      <c r="F13" s="49" t="s">
        <v>74</v>
      </c>
      <c r="G13">
        <v>5000</v>
      </c>
      <c r="H13" s="49">
        <v>225682.47</v>
      </c>
      <c r="I13" s="49">
        <v>45.136493999999999</v>
      </c>
      <c r="J13" s="88">
        <v>5000</v>
      </c>
      <c r="K13" s="49">
        <v>183884.9</v>
      </c>
      <c r="L13" s="49">
        <v>36.776980000000002</v>
      </c>
      <c r="M13" s="49">
        <v>41797.570000000007</v>
      </c>
      <c r="N13" s="45">
        <v>0.18520521332472117</v>
      </c>
      <c r="O13" s="72">
        <f t="shared" si="0"/>
        <v>90238.220000000249</v>
      </c>
    </row>
    <row r="14" spans="1:26" x14ac:dyDescent="0.25">
      <c r="A14" t="s">
        <v>283</v>
      </c>
      <c r="B14" s="50" t="s">
        <v>333</v>
      </c>
      <c r="C14" t="s">
        <v>51</v>
      </c>
      <c r="D14" t="s">
        <v>38</v>
      </c>
      <c r="E14" s="90">
        <v>45076</v>
      </c>
      <c r="F14" s="49" t="s">
        <v>86</v>
      </c>
      <c r="G14">
        <v>42</v>
      </c>
      <c r="H14" s="49">
        <v>257299</v>
      </c>
      <c r="I14" s="49">
        <v>612.61666666666667</v>
      </c>
      <c r="J14" s="88">
        <v>42</v>
      </c>
      <c r="K14" s="49">
        <v>247302.7</v>
      </c>
      <c r="L14" s="49">
        <v>588.81595238095235</v>
      </c>
      <c r="M14" s="49">
        <v>-9996.2999999999884</v>
      </c>
      <c r="N14" s="45">
        <v>-3.8850908864783727E-2</v>
      </c>
      <c r="O14" s="72">
        <f t="shared" si="0"/>
        <v>80241.92000000026</v>
      </c>
    </row>
    <row r="15" spans="1:26" x14ac:dyDescent="0.25">
      <c r="A15" t="s">
        <v>283</v>
      </c>
      <c r="B15" s="50" t="s">
        <v>333</v>
      </c>
      <c r="C15" t="s">
        <v>35</v>
      </c>
      <c r="D15" t="s">
        <v>38</v>
      </c>
      <c r="E15" s="90">
        <v>45082</v>
      </c>
      <c r="F15" s="49" t="s">
        <v>39</v>
      </c>
      <c r="G15">
        <v>685000</v>
      </c>
      <c r="H15" s="49">
        <v>732807.11</v>
      </c>
      <c r="I15" s="49">
        <v>1.069791401459854</v>
      </c>
      <c r="J15" s="88">
        <v>685000</v>
      </c>
      <c r="K15" s="49">
        <v>733984.35</v>
      </c>
      <c r="L15" s="49">
        <v>1.07151</v>
      </c>
      <c r="M15" s="49">
        <v>1177.2399999999907</v>
      </c>
      <c r="N15" s="45">
        <v>1.603903407477272E-3</v>
      </c>
      <c r="O15" s="72">
        <f t="shared" si="0"/>
        <v>81419.160000000251</v>
      </c>
    </row>
    <row r="16" spans="1:26" x14ac:dyDescent="0.25">
      <c r="A16" t="s">
        <v>283</v>
      </c>
      <c r="B16" s="50" t="s">
        <v>333</v>
      </c>
      <c r="C16" t="s">
        <v>197</v>
      </c>
      <c r="D16" t="s">
        <v>38</v>
      </c>
      <c r="E16" s="90">
        <v>45085</v>
      </c>
      <c r="F16" s="49" t="s">
        <v>90</v>
      </c>
      <c r="G16">
        <v>2500</v>
      </c>
      <c r="H16" s="49">
        <v>243462.5</v>
      </c>
      <c r="I16" s="49">
        <v>97.385000000000005</v>
      </c>
      <c r="J16" s="88">
        <v>2500</v>
      </c>
      <c r="K16" s="49">
        <v>243292.99</v>
      </c>
      <c r="L16" s="49">
        <v>97.317195999999996</v>
      </c>
      <c r="M16" s="49">
        <v>-169.51000000000931</v>
      </c>
      <c r="N16" s="45">
        <v>-6.9624685526528229E-4</v>
      </c>
      <c r="O16" s="72">
        <f t="shared" si="0"/>
        <v>81249.650000000242</v>
      </c>
    </row>
    <row r="17" spans="1:15" x14ac:dyDescent="0.25">
      <c r="A17" t="s">
        <v>283</v>
      </c>
      <c r="B17" s="50" t="s">
        <v>333</v>
      </c>
      <c r="C17" t="s">
        <v>197</v>
      </c>
      <c r="D17" t="s">
        <v>36</v>
      </c>
      <c r="E17" s="90">
        <v>45089</v>
      </c>
      <c r="F17" s="49" t="s">
        <v>94</v>
      </c>
      <c r="G17">
        <v>82</v>
      </c>
      <c r="H17" s="49">
        <v>106393.14</v>
      </c>
      <c r="I17" s="49">
        <v>1297.4773170731708</v>
      </c>
      <c r="J17" s="88">
        <v>82</v>
      </c>
      <c r="K17" s="49">
        <v>101452.58</v>
      </c>
      <c r="L17" s="49">
        <v>1237.2265853658537</v>
      </c>
      <c r="M17" s="49">
        <v>4940.5599999999977</v>
      </c>
      <c r="N17" s="45">
        <v>-4.6436828539885185E-2</v>
      </c>
      <c r="O17" s="72">
        <f t="shared" si="0"/>
        <v>86190.210000000239</v>
      </c>
    </row>
    <row r="18" spans="1:15" x14ac:dyDescent="0.25">
      <c r="A18" t="s">
        <v>283</v>
      </c>
      <c r="B18" s="50" t="s">
        <v>333</v>
      </c>
      <c r="C18" t="s">
        <v>51</v>
      </c>
      <c r="D18" t="s">
        <v>38</v>
      </c>
      <c r="E18" s="90">
        <v>45090</v>
      </c>
      <c r="F18" s="49" t="s">
        <v>95</v>
      </c>
      <c r="G18">
        <v>9</v>
      </c>
      <c r="H18" s="49">
        <v>913429.98</v>
      </c>
      <c r="I18" s="49">
        <v>101.49222</v>
      </c>
      <c r="J18" s="88">
        <v>9</v>
      </c>
      <c r="K18" s="49">
        <v>930310.02</v>
      </c>
      <c r="L18" s="49">
        <v>103.36778</v>
      </c>
      <c r="M18" s="49">
        <v>16880.040000000037</v>
      </c>
      <c r="N18" s="45">
        <v>1.8479840129617859E-2</v>
      </c>
      <c r="O18" s="72">
        <f t="shared" si="0"/>
        <v>103070.25000000028</v>
      </c>
    </row>
    <row r="19" spans="1:15" x14ac:dyDescent="0.25">
      <c r="A19" t="s">
        <v>283</v>
      </c>
      <c r="B19" s="50" t="s">
        <v>333</v>
      </c>
      <c r="C19" t="s">
        <v>51</v>
      </c>
      <c r="D19" t="s">
        <v>38</v>
      </c>
      <c r="E19" s="90">
        <v>45092</v>
      </c>
      <c r="F19" s="49" t="s">
        <v>95</v>
      </c>
      <c r="G19">
        <v>9</v>
      </c>
      <c r="H19" s="49">
        <v>928999.98</v>
      </c>
      <c r="I19" s="49">
        <v>103.22221999999999</v>
      </c>
      <c r="J19" s="88">
        <v>9</v>
      </c>
      <c r="K19" s="49">
        <v>915510.02</v>
      </c>
      <c r="L19" s="49">
        <v>101.72333555555556</v>
      </c>
      <c r="M19" s="49">
        <v>-13489.959999999963</v>
      </c>
      <c r="N19" s="45">
        <v>-1.4520947567727573E-2</v>
      </c>
      <c r="O19" s="72">
        <f t="shared" si="0"/>
        <v>89580.290000000314</v>
      </c>
    </row>
    <row r="20" spans="1:15" x14ac:dyDescent="0.25">
      <c r="A20" t="s">
        <v>283</v>
      </c>
      <c r="B20" s="50" t="s">
        <v>333</v>
      </c>
      <c r="C20" t="s">
        <v>197</v>
      </c>
      <c r="D20" t="s">
        <v>38</v>
      </c>
      <c r="E20" s="90">
        <v>45093</v>
      </c>
      <c r="F20" s="49" t="s">
        <v>98</v>
      </c>
      <c r="G20">
        <v>9000</v>
      </c>
      <c r="H20" s="49">
        <v>512049.6</v>
      </c>
      <c r="I20" s="49">
        <v>56.894399999999997</v>
      </c>
      <c r="J20" s="88">
        <v>9000</v>
      </c>
      <c r="K20" s="49">
        <v>517625</v>
      </c>
      <c r="L20" s="49">
        <v>57.513888888888886</v>
      </c>
      <c r="M20" s="49">
        <v>-5575.4000000000233</v>
      </c>
      <c r="N20" s="45">
        <v>-1.0888398311413573E-2</v>
      </c>
      <c r="O20" s="72">
        <f t="shared" si="0"/>
        <v>84004.89000000029</v>
      </c>
    </row>
    <row r="21" spans="1:15" x14ac:dyDescent="0.25">
      <c r="A21" t="s">
        <v>283</v>
      </c>
      <c r="B21" s="50" t="s">
        <v>333</v>
      </c>
      <c r="C21" t="s">
        <v>197</v>
      </c>
      <c r="D21" t="s">
        <v>38</v>
      </c>
      <c r="E21" s="90">
        <v>45097</v>
      </c>
      <c r="F21" s="49" t="s">
        <v>101</v>
      </c>
      <c r="G21">
        <v>13333</v>
      </c>
      <c r="H21" s="49">
        <v>226767.67</v>
      </c>
      <c r="I21" s="49">
        <v>17.008000450011252</v>
      </c>
      <c r="J21" s="88">
        <v>13333</v>
      </c>
      <c r="K21" s="49">
        <v>216628.76</v>
      </c>
      <c r="L21" s="49">
        <v>16.247563189079727</v>
      </c>
      <c r="M21" s="49">
        <v>-10138.910000000003</v>
      </c>
      <c r="N21" s="45">
        <v>-4.4710562136128222E-2</v>
      </c>
      <c r="O21" s="72">
        <f t="shared" si="0"/>
        <v>73865.980000000287</v>
      </c>
    </row>
    <row r="22" spans="1:15" x14ac:dyDescent="0.25">
      <c r="A22" t="s">
        <v>283</v>
      </c>
      <c r="B22" s="50" t="s">
        <v>333</v>
      </c>
      <c r="C22" t="s">
        <v>197</v>
      </c>
      <c r="D22" t="s">
        <v>38</v>
      </c>
      <c r="E22" s="90">
        <v>45097</v>
      </c>
      <c r="F22" s="49" t="s">
        <v>100</v>
      </c>
      <c r="G22">
        <v>1300</v>
      </c>
      <c r="H22" s="49">
        <v>295157.91000000003</v>
      </c>
      <c r="I22" s="49">
        <v>227.04454615384617</v>
      </c>
      <c r="J22" s="88">
        <v>600</v>
      </c>
      <c r="K22" s="49">
        <v>306390.78999999998</v>
      </c>
      <c r="L22" s="49">
        <v>510.65131666666662</v>
      </c>
      <c r="M22" s="49">
        <v>11232.879999999946</v>
      </c>
      <c r="N22" s="45">
        <v>1.2491239068153943</v>
      </c>
      <c r="O22" s="72">
        <f t="shared" si="0"/>
        <v>85098.860000000233</v>
      </c>
    </row>
    <row r="23" spans="1:15" x14ac:dyDescent="0.25">
      <c r="A23" t="s">
        <v>283</v>
      </c>
      <c r="B23" s="50" t="s">
        <v>333</v>
      </c>
      <c r="C23" t="s">
        <v>197</v>
      </c>
      <c r="D23" t="s">
        <v>38</v>
      </c>
      <c r="E23" s="90">
        <v>45103</v>
      </c>
      <c r="F23" s="49" t="s">
        <v>103</v>
      </c>
      <c r="G23">
        <v>4500</v>
      </c>
      <c r="H23" s="49">
        <v>170975.48</v>
      </c>
      <c r="I23" s="49">
        <v>37.994551111111114</v>
      </c>
      <c r="J23" s="88">
        <v>4500</v>
      </c>
      <c r="K23" s="49">
        <v>181325.5</v>
      </c>
      <c r="L23" s="49">
        <v>40.294555555555554</v>
      </c>
      <c r="M23" s="49">
        <v>-10350.01999999999</v>
      </c>
      <c r="N23" s="45">
        <v>-6.0535112988131273E-2</v>
      </c>
      <c r="O23" s="72">
        <f t="shared" si="0"/>
        <v>74748.840000000244</v>
      </c>
    </row>
    <row r="24" spans="1:15" x14ac:dyDescent="0.25">
      <c r="A24" t="s">
        <v>283</v>
      </c>
      <c r="B24" s="50" t="s">
        <v>333</v>
      </c>
      <c r="C24" t="s">
        <v>197</v>
      </c>
      <c r="D24" t="s">
        <v>36</v>
      </c>
      <c r="E24" s="90">
        <v>45105</v>
      </c>
      <c r="F24" s="49" t="s">
        <v>104</v>
      </c>
      <c r="G24">
        <v>384</v>
      </c>
      <c r="H24" s="49">
        <v>145532.85999999999</v>
      </c>
      <c r="I24" s="49">
        <v>378.99182291666665</v>
      </c>
      <c r="J24" s="88">
        <v>384</v>
      </c>
      <c r="K24" s="49">
        <v>150287.51</v>
      </c>
      <c r="L24" s="49">
        <v>391.37372395833336</v>
      </c>
      <c r="M24" s="49">
        <v>-4754.6500000000233</v>
      </c>
      <c r="N24" s="45">
        <v>-3.2670628475246183E-2</v>
      </c>
      <c r="O24" s="72">
        <f t="shared" si="0"/>
        <v>69994.190000000221</v>
      </c>
    </row>
    <row r="25" spans="1:15" x14ac:dyDescent="0.25">
      <c r="A25" t="s">
        <v>283</v>
      </c>
      <c r="B25" s="50" t="s">
        <v>333</v>
      </c>
      <c r="C25" t="s">
        <v>197</v>
      </c>
      <c r="D25" t="s">
        <v>36</v>
      </c>
      <c r="E25" s="90">
        <v>45106</v>
      </c>
      <c r="F25" s="49" t="s">
        <v>105</v>
      </c>
      <c r="G25">
        <v>11350</v>
      </c>
      <c r="H25" s="49">
        <v>365862.68</v>
      </c>
      <c r="I25" s="49">
        <v>32.234597356828196</v>
      </c>
      <c r="J25" s="88">
        <v>11350</v>
      </c>
      <c r="K25" s="49">
        <v>373666.99</v>
      </c>
      <c r="L25" s="49">
        <v>32.92220176211454</v>
      </c>
      <c r="M25" s="49">
        <v>-7804.3099999999977</v>
      </c>
      <c r="N25" s="45">
        <v>-2.133125466636826E-2</v>
      </c>
      <c r="O25" s="72">
        <f t="shared" si="0"/>
        <v>62189.880000000223</v>
      </c>
    </row>
    <row r="26" spans="1:15" x14ac:dyDescent="0.25">
      <c r="A26" t="s">
        <v>283</v>
      </c>
      <c r="B26" s="50" t="s">
        <v>333</v>
      </c>
      <c r="C26" t="s">
        <v>197</v>
      </c>
      <c r="D26" t="s">
        <v>38</v>
      </c>
      <c r="E26" s="90">
        <v>45107</v>
      </c>
      <c r="F26" s="49" t="s">
        <v>107</v>
      </c>
      <c r="G26">
        <v>17440</v>
      </c>
      <c r="H26" s="49">
        <v>201358.3</v>
      </c>
      <c r="I26" s="49">
        <v>11.545774082568807</v>
      </c>
      <c r="J26" s="88">
        <v>17440</v>
      </c>
      <c r="K26" s="49">
        <v>213235.27</v>
      </c>
      <c r="L26" s="49">
        <v>12.226793004587156</v>
      </c>
      <c r="M26" s="49">
        <v>-11876.970000000001</v>
      </c>
      <c r="N26" s="45">
        <v>-5.8984258409015257E-2</v>
      </c>
      <c r="O26" s="72">
        <f t="shared" si="0"/>
        <v>50312.910000000222</v>
      </c>
    </row>
    <row r="27" spans="1:15" x14ac:dyDescent="0.25">
      <c r="A27" t="s">
        <v>283</v>
      </c>
      <c r="B27" s="50" t="s">
        <v>333</v>
      </c>
      <c r="C27" t="s">
        <v>197</v>
      </c>
      <c r="D27" t="s">
        <v>36</v>
      </c>
      <c r="E27" s="90">
        <v>45107</v>
      </c>
      <c r="F27" s="49" t="s">
        <v>108</v>
      </c>
      <c r="G27">
        <v>11500</v>
      </c>
      <c r="H27" s="49">
        <v>163584.51999999999</v>
      </c>
      <c r="I27" s="49">
        <v>14.224740869565217</v>
      </c>
      <c r="J27" s="88">
        <v>11500</v>
      </c>
      <c r="K27" s="49">
        <v>158627.04999999999</v>
      </c>
      <c r="L27" s="49">
        <v>13.793656521739129</v>
      </c>
      <c r="M27" s="49">
        <v>4957.4700000000012</v>
      </c>
      <c r="N27" s="45">
        <v>3.0305251377086378E-2</v>
      </c>
      <c r="O27" s="72">
        <f t="shared" si="0"/>
        <v>55270.380000000223</v>
      </c>
    </row>
    <row r="28" spans="1:15" x14ac:dyDescent="0.25">
      <c r="A28" t="s">
        <v>283</v>
      </c>
      <c r="B28" s="50" t="s">
        <v>333</v>
      </c>
      <c r="C28" t="s">
        <v>197</v>
      </c>
      <c r="D28" t="s">
        <v>36</v>
      </c>
      <c r="E28" s="90">
        <v>45112</v>
      </c>
      <c r="F28" s="49" t="s">
        <v>109</v>
      </c>
      <c r="G28">
        <v>7000</v>
      </c>
      <c r="H28" s="49">
        <v>252731.96</v>
      </c>
      <c r="I28" s="49">
        <v>36.104565714285712</v>
      </c>
      <c r="J28" s="88">
        <v>7000</v>
      </c>
      <c r="K28" s="49">
        <v>267771.21000000002</v>
      </c>
      <c r="L28" s="49">
        <v>38.253030000000003</v>
      </c>
      <c r="M28" s="49">
        <v>-15039.250000000029</v>
      </c>
      <c r="N28" s="45">
        <v>-5.9506720083997419E-2</v>
      </c>
      <c r="O28" s="72">
        <f t="shared" si="0"/>
        <v>40231.130000000194</v>
      </c>
    </row>
    <row r="29" spans="1:15" x14ac:dyDescent="0.25">
      <c r="A29" t="s">
        <v>283</v>
      </c>
      <c r="B29" s="50" t="s">
        <v>333</v>
      </c>
      <c r="C29" t="s">
        <v>197</v>
      </c>
      <c r="D29" t="s">
        <v>38</v>
      </c>
      <c r="E29" s="90">
        <v>45114</v>
      </c>
      <c r="F29" s="49" t="s">
        <v>110</v>
      </c>
      <c r="G29">
        <v>3000</v>
      </c>
      <c r="H29" s="49">
        <v>484982.5</v>
      </c>
      <c r="I29" s="49">
        <v>161.66083333333333</v>
      </c>
      <c r="J29" s="88">
        <v>3000</v>
      </c>
      <c r="K29" s="49">
        <v>467099.66</v>
      </c>
      <c r="L29" s="49">
        <v>155.69988666666666</v>
      </c>
      <c r="M29" s="49">
        <v>-17882.840000000026</v>
      </c>
      <c r="N29" s="45">
        <v>-3.6873165526591201E-2</v>
      </c>
      <c r="O29" s="72">
        <f t="shared" si="0"/>
        <v>22348.290000000168</v>
      </c>
    </row>
    <row r="30" spans="1:15" x14ac:dyDescent="0.25">
      <c r="A30" t="s">
        <v>283</v>
      </c>
      <c r="B30" s="50" t="s">
        <v>333</v>
      </c>
      <c r="C30" t="s">
        <v>197</v>
      </c>
      <c r="D30" t="s">
        <v>36</v>
      </c>
      <c r="E30" s="90">
        <v>45114</v>
      </c>
      <c r="F30" s="49" t="s">
        <v>113</v>
      </c>
      <c r="G30">
        <v>14285</v>
      </c>
      <c r="H30" s="49">
        <v>150632.04999999999</v>
      </c>
      <c r="I30" s="49">
        <v>10.544770738536926</v>
      </c>
      <c r="J30" s="88">
        <v>14285</v>
      </c>
      <c r="K30" s="49">
        <v>161215.85</v>
      </c>
      <c r="L30" s="49">
        <v>11.285673783689186</v>
      </c>
      <c r="M30" s="49">
        <v>-10583.800000000017</v>
      </c>
      <c r="N30" s="45">
        <v>-7.0262603476484817E-2</v>
      </c>
      <c r="O30" s="72">
        <f t="shared" si="0"/>
        <v>11764.490000000151</v>
      </c>
    </row>
    <row r="31" spans="1:15" x14ac:dyDescent="0.25">
      <c r="A31" t="s">
        <v>283</v>
      </c>
      <c r="B31" s="50" t="s">
        <v>333</v>
      </c>
      <c r="C31" t="s">
        <v>197</v>
      </c>
      <c r="D31" t="s">
        <v>38</v>
      </c>
      <c r="E31" s="90">
        <v>45117</v>
      </c>
      <c r="F31" s="49" t="s">
        <v>111</v>
      </c>
      <c r="G31">
        <v>5800</v>
      </c>
      <c r="H31" s="49">
        <v>313054</v>
      </c>
      <c r="I31" s="49">
        <v>53.974827586206899</v>
      </c>
      <c r="J31" s="88">
        <v>5800</v>
      </c>
      <c r="K31" s="49">
        <v>330437.52</v>
      </c>
      <c r="L31" s="49">
        <v>56.971986206896553</v>
      </c>
      <c r="M31" s="49">
        <v>17383.520000000019</v>
      </c>
      <c r="N31" s="45">
        <v>5.5528822503465816E-2</v>
      </c>
      <c r="O31" s="72">
        <f t="shared" si="0"/>
        <v>29148.010000000169</v>
      </c>
    </row>
    <row r="32" spans="1:15" x14ac:dyDescent="0.25">
      <c r="A32" t="s">
        <v>283</v>
      </c>
      <c r="B32" s="50" t="s">
        <v>333</v>
      </c>
      <c r="C32" t="s">
        <v>197</v>
      </c>
      <c r="D32" t="s">
        <v>36</v>
      </c>
      <c r="E32" s="90">
        <v>45119</v>
      </c>
      <c r="F32" s="49" t="s">
        <v>122</v>
      </c>
      <c r="G32">
        <v>5405</v>
      </c>
      <c r="H32" s="49">
        <v>157526.68</v>
      </c>
      <c r="I32" s="49">
        <v>29.144621646623495</v>
      </c>
      <c r="J32" s="88">
        <v>5405</v>
      </c>
      <c r="K32" s="49">
        <v>168131.66</v>
      </c>
      <c r="L32" s="49">
        <v>31.106690101757632</v>
      </c>
      <c r="M32" s="49">
        <v>-10604.98000000001</v>
      </c>
      <c r="N32" s="45">
        <v>-6.7321802249625334E-2</v>
      </c>
      <c r="O32" s="72">
        <f t="shared" si="0"/>
        <v>18543.030000000159</v>
      </c>
    </row>
    <row r="33" spans="1:15" x14ac:dyDescent="0.25">
      <c r="A33" t="s">
        <v>283</v>
      </c>
      <c r="B33" s="50" t="s">
        <v>333</v>
      </c>
      <c r="C33" t="s">
        <v>197</v>
      </c>
      <c r="D33" t="s">
        <v>38</v>
      </c>
      <c r="E33" s="90">
        <v>45119</v>
      </c>
      <c r="F33" s="49" t="s">
        <v>123</v>
      </c>
      <c r="G33">
        <v>7500</v>
      </c>
      <c r="H33" s="49">
        <v>381907.25</v>
      </c>
      <c r="I33" s="49">
        <v>50.920966666666665</v>
      </c>
      <c r="J33" s="88">
        <v>7500</v>
      </c>
      <c r="K33" s="49">
        <v>382468.33</v>
      </c>
      <c r="L33" s="49">
        <v>50.995777333333336</v>
      </c>
      <c r="M33" s="49">
        <v>561.0800000000163</v>
      </c>
      <c r="N33" s="45">
        <v>1.4691525232894533E-3</v>
      </c>
      <c r="O33" s="72">
        <f t="shared" si="0"/>
        <v>19104.110000000175</v>
      </c>
    </row>
    <row r="34" spans="1:15" x14ac:dyDescent="0.25">
      <c r="A34" t="s">
        <v>283</v>
      </c>
      <c r="B34" s="50" t="s">
        <v>333</v>
      </c>
      <c r="C34" t="s">
        <v>197</v>
      </c>
      <c r="D34" t="s">
        <v>36</v>
      </c>
      <c r="E34" s="90">
        <v>45122</v>
      </c>
      <c r="F34" s="49" t="s">
        <v>199</v>
      </c>
      <c r="G34">
        <v>13000</v>
      </c>
      <c r="H34" s="49">
        <v>170231.75</v>
      </c>
      <c r="I34" s="49">
        <v>13.094749999999999</v>
      </c>
      <c r="J34" s="88">
        <v>13000</v>
      </c>
      <c r="K34" s="49">
        <v>180220.7</v>
      </c>
      <c r="L34" s="49">
        <v>13.86313076923077</v>
      </c>
      <c r="M34" s="49">
        <v>-9988.9500000000116</v>
      </c>
      <c r="N34" s="45">
        <v>-5.8678536759447127E-2</v>
      </c>
      <c r="O34" s="72">
        <f t="shared" si="0"/>
        <v>9115.1600000001636</v>
      </c>
    </row>
    <row r="35" spans="1:15" x14ac:dyDescent="0.25">
      <c r="A35" t="s">
        <v>283</v>
      </c>
      <c r="B35" s="50" t="s">
        <v>333</v>
      </c>
      <c r="C35" t="s">
        <v>197</v>
      </c>
      <c r="D35" t="s">
        <v>38</v>
      </c>
      <c r="E35" s="90">
        <v>45122</v>
      </c>
      <c r="F35" s="49" t="s">
        <v>125</v>
      </c>
      <c r="G35">
        <v>3500</v>
      </c>
      <c r="H35" s="49">
        <v>318517.5</v>
      </c>
      <c r="I35" s="49">
        <v>91.004999999999995</v>
      </c>
      <c r="J35" s="88">
        <v>3500</v>
      </c>
      <c r="K35" s="49">
        <v>337484.29000000004</v>
      </c>
      <c r="L35" s="49">
        <v>96.424082857142864</v>
      </c>
      <c r="M35" s="49">
        <v>18966.790000000037</v>
      </c>
      <c r="N35" s="45">
        <v>5.9547089249413425E-2</v>
      </c>
      <c r="O35" s="72">
        <f t="shared" si="0"/>
        <v>28081.950000000201</v>
      </c>
    </row>
    <row r="36" spans="1:15" x14ac:dyDescent="0.25">
      <c r="A36" t="s">
        <v>283</v>
      </c>
      <c r="B36" s="50" t="s">
        <v>333</v>
      </c>
      <c r="C36" t="s">
        <v>197</v>
      </c>
      <c r="D36" t="s">
        <v>36</v>
      </c>
      <c r="E36" s="90">
        <v>45123</v>
      </c>
      <c r="F36" s="49" t="s">
        <v>131</v>
      </c>
      <c r="G36">
        <v>1111</v>
      </c>
      <c r="H36" s="49">
        <v>222200.64</v>
      </c>
      <c r="I36" s="49">
        <v>200.00057605760577</v>
      </c>
      <c r="J36" s="88">
        <v>1111</v>
      </c>
      <c r="K36" s="49">
        <v>232223.74</v>
      </c>
      <c r="L36" s="49">
        <v>209.02226822682266</v>
      </c>
      <c r="M36" s="49">
        <v>-10023.099999999977</v>
      </c>
      <c r="N36" s="45">
        <v>-4.5108330921098901E-2</v>
      </c>
      <c r="O36" s="72">
        <f t="shared" si="0"/>
        <v>18058.850000000224</v>
      </c>
    </row>
    <row r="37" spans="1:15" x14ac:dyDescent="0.25">
      <c r="A37" t="s">
        <v>283</v>
      </c>
      <c r="B37" s="50" t="s">
        <v>333</v>
      </c>
      <c r="C37" t="s">
        <v>197</v>
      </c>
      <c r="D37" t="s">
        <v>38</v>
      </c>
      <c r="E37" s="90">
        <v>45124</v>
      </c>
      <c r="F37" s="49" t="s">
        <v>121</v>
      </c>
      <c r="G37">
        <v>1200</v>
      </c>
      <c r="H37" s="49">
        <v>578973.60000000009</v>
      </c>
      <c r="I37" s="49">
        <v>482.47800000000007</v>
      </c>
      <c r="J37" s="88">
        <v>1200</v>
      </c>
      <c r="K37" s="49">
        <v>650388.63</v>
      </c>
      <c r="L37" s="49">
        <v>541.99052500000005</v>
      </c>
      <c r="M37" s="49">
        <v>71415.029999999912</v>
      </c>
      <c r="N37" s="45">
        <v>0.12334764486670889</v>
      </c>
      <c r="O37" s="72">
        <f t="shared" si="0"/>
        <v>89473.880000000136</v>
      </c>
    </row>
    <row r="38" spans="1:15" x14ac:dyDescent="0.25">
      <c r="A38" t="s">
        <v>283</v>
      </c>
      <c r="B38" s="50" t="s">
        <v>333</v>
      </c>
      <c r="C38" t="s">
        <v>35</v>
      </c>
      <c r="D38" t="s">
        <v>36</v>
      </c>
      <c r="E38" s="90">
        <v>45127</v>
      </c>
      <c r="F38" s="49" t="s">
        <v>37</v>
      </c>
      <c r="G38">
        <v>2700000</v>
      </c>
      <c r="H38" s="49">
        <v>2433337.42</v>
      </c>
      <c r="I38" s="49">
        <v>0.90123608148148149</v>
      </c>
      <c r="J38" s="88">
        <v>2700000</v>
      </c>
      <c r="K38" s="49">
        <v>2361302.12</v>
      </c>
      <c r="L38" s="49">
        <v>0.87455634074074073</v>
      </c>
      <c r="M38" s="49">
        <v>82367.820853012876</v>
      </c>
      <c r="N38" s="45">
        <v>3.4882372804125913E-2</v>
      </c>
      <c r="O38" s="72">
        <f t="shared" si="0"/>
        <v>171841.70085301303</v>
      </c>
    </row>
    <row r="39" spans="1:15" x14ac:dyDescent="0.25">
      <c r="A39" t="s">
        <v>283</v>
      </c>
      <c r="B39" s="50" t="s">
        <v>333</v>
      </c>
      <c r="C39" t="s">
        <v>197</v>
      </c>
      <c r="D39" t="s">
        <v>38</v>
      </c>
      <c r="E39" s="90">
        <v>45131</v>
      </c>
      <c r="F39" s="49" t="s">
        <v>128</v>
      </c>
      <c r="G39">
        <v>6000</v>
      </c>
      <c r="H39" s="49">
        <v>446225</v>
      </c>
      <c r="I39" s="49">
        <v>74.370833333333337</v>
      </c>
      <c r="J39" s="88">
        <v>6000</v>
      </c>
      <c r="K39" s="49">
        <v>461317.1</v>
      </c>
      <c r="L39" s="49">
        <v>76.886183333333335</v>
      </c>
      <c r="M39" s="49">
        <v>15092.099999999977</v>
      </c>
      <c r="N39" s="45">
        <v>3.3821726707378534E-2</v>
      </c>
      <c r="O39" s="72">
        <f t="shared" si="0"/>
        <v>186933.800853013</v>
      </c>
    </row>
    <row r="40" spans="1:15" x14ac:dyDescent="0.25">
      <c r="A40" t="s">
        <v>283</v>
      </c>
      <c r="B40" s="50" t="s">
        <v>333</v>
      </c>
      <c r="C40" t="s">
        <v>35</v>
      </c>
      <c r="D40" t="s">
        <v>38</v>
      </c>
      <c r="E40" s="90">
        <v>45132</v>
      </c>
      <c r="F40" s="49" t="s">
        <v>195</v>
      </c>
      <c r="G40">
        <v>750000</v>
      </c>
      <c r="H40" s="49">
        <v>13163664.51</v>
      </c>
      <c r="I40" s="49">
        <v>17.55155268</v>
      </c>
      <c r="J40" s="88">
        <v>750000</v>
      </c>
      <c r="K40" s="49">
        <v>13163664.51</v>
      </c>
      <c r="L40" s="49">
        <v>17.55155268</v>
      </c>
      <c r="M40" s="49">
        <v>-5815</v>
      </c>
      <c r="N40" s="45">
        <v>-4.41746293031286E-4</v>
      </c>
      <c r="O40" s="72">
        <f t="shared" si="0"/>
        <v>181118.800853013</v>
      </c>
    </row>
    <row r="41" spans="1:15" x14ac:dyDescent="0.25">
      <c r="A41" t="s">
        <v>283</v>
      </c>
      <c r="B41" s="50" t="s">
        <v>333</v>
      </c>
      <c r="C41" t="s">
        <v>197</v>
      </c>
      <c r="D41" t="s">
        <v>36</v>
      </c>
      <c r="E41" s="90">
        <v>45133</v>
      </c>
      <c r="F41" s="49" t="s">
        <v>198</v>
      </c>
      <c r="G41">
        <v>1000</v>
      </c>
      <c r="H41" s="49">
        <v>219993.1</v>
      </c>
      <c r="I41" s="49">
        <v>219.9931</v>
      </c>
      <c r="J41" s="88">
        <v>1000</v>
      </c>
      <c r="K41" s="49">
        <v>230104.4</v>
      </c>
      <c r="L41" s="49">
        <v>230.1044</v>
      </c>
      <c r="M41" s="49">
        <v>-10111.299999999988</v>
      </c>
      <c r="N41" s="45">
        <v>-4.5961896077649708E-2</v>
      </c>
      <c r="O41" s="72">
        <f t="shared" si="0"/>
        <v>171007.50085301301</v>
      </c>
    </row>
    <row r="42" spans="1:15" x14ac:dyDescent="0.25">
      <c r="A42" t="s">
        <v>283</v>
      </c>
      <c r="B42" s="50" t="s">
        <v>333</v>
      </c>
      <c r="C42" t="s">
        <v>51</v>
      </c>
      <c r="D42" t="s">
        <v>36</v>
      </c>
      <c r="E42" s="90">
        <v>45134</v>
      </c>
      <c r="F42" s="49" t="s">
        <v>130</v>
      </c>
      <c r="G42">
        <v>6</v>
      </c>
      <c r="H42" s="49">
        <v>1373086.8</v>
      </c>
      <c r="I42" s="49">
        <v>4576.9560000000001</v>
      </c>
      <c r="J42" s="88">
        <v>6</v>
      </c>
      <c r="K42" s="49">
        <v>1388088.8</v>
      </c>
      <c r="L42" s="49">
        <v>4626.9626666666672</v>
      </c>
      <c r="M42" s="49">
        <v>-15046</v>
      </c>
      <c r="N42" s="45">
        <v>-1.0957792326020467E-2</v>
      </c>
      <c r="O42" s="72">
        <f t="shared" si="0"/>
        <v>155961.50085301301</v>
      </c>
    </row>
    <row r="43" spans="1:15" x14ac:dyDescent="0.25">
      <c r="A43" t="s">
        <v>283</v>
      </c>
      <c r="B43" s="50" t="s">
        <v>333</v>
      </c>
      <c r="C43" t="s">
        <v>51</v>
      </c>
      <c r="D43" t="s">
        <v>38</v>
      </c>
      <c r="E43" s="90">
        <v>45179</v>
      </c>
      <c r="F43" s="49" t="s">
        <v>135</v>
      </c>
      <c r="G43">
        <v>7</v>
      </c>
      <c r="H43" s="49">
        <v>483458.29</v>
      </c>
      <c r="I43" s="49">
        <v>1381.3093999999999</v>
      </c>
      <c r="J43" s="88">
        <v>7</v>
      </c>
      <c r="K43" s="49">
        <v>473529.5</v>
      </c>
      <c r="L43" s="49">
        <v>1352.9414285714286</v>
      </c>
      <c r="M43" s="49">
        <v>-9928.789999999979</v>
      </c>
      <c r="N43" s="45">
        <v>-2.0500000000000001E-2</v>
      </c>
      <c r="O43" s="72">
        <f t="shared" si="0"/>
        <v>146032.71085301304</v>
      </c>
    </row>
    <row r="44" spans="1:15" x14ac:dyDescent="0.25">
      <c r="A44" t="s">
        <v>283</v>
      </c>
      <c r="B44" s="50" t="s">
        <v>333</v>
      </c>
      <c r="C44" t="s">
        <v>51</v>
      </c>
      <c r="D44" t="s">
        <v>38</v>
      </c>
      <c r="E44" s="90">
        <v>45182</v>
      </c>
      <c r="F44" s="49" t="s">
        <v>135</v>
      </c>
      <c r="G44">
        <v>5</v>
      </c>
      <c r="H44" s="49">
        <v>342491.21</v>
      </c>
      <c r="I44" s="49">
        <v>1369.9648400000001</v>
      </c>
      <c r="J44" s="88">
        <v>5</v>
      </c>
      <c r="K44" s="49">
        <v>338008.5</v>
      </c>
      <c r="L44" s="49">
        <v>1352.0340000000001</v>
      </c>
      <c r="M44" s="49">
        <v>-4482.710000000021</v>
      </c>
      <c r="N44" s="45">
        <v>-1.3100000000000001E-2</v>
      </c>
      <c r="O44" s="72">
        <f t="shared" si="0"/>
        <v>141550.00085301301</v>
      </c>
    </row>
    <row r="45" spans="1:15" x14ac:dyDescent="0.25">
      <c r="A45" t="s">
        <v>283</v>
      </c>
      <c r="B45" s="50" t="s">
        <v>333</v>
      </c>
      <c r="C45" t="s">
        <v>35</v>
      </c>
      <c r="D45" t="s">
        <v>36</v>
      </c>
      <c r="E45" s="90">
        <v>45189</v>
      </c>
      <c r="F45" s="49" t="s">
        <v>187</v>
      </c>
      <c r="G45">
        <v>1950000</v>
      </c>
      <c r="H45" s="49">
        <v>1906018.4799999997</v>
      </c>
      <c r="I45" s="49">
        <v>0.97744537435897427</v>
      </c>
      <c r="J45" s="88">
        <v>1950000</v>
      </c>
      <c r="K45" s="49">
        <v>1873328.23</v>
      </c>
      <c r="L45" s="49">
        <v>0.96068114358974355</v>
      </c>
      <c r="M45" s="49">
        <v>36367.903124999742</v>
      </c>
      <c r="N45" s="45">
        <v>1.9413524305348102E-2</v>
      </c>
      <c r="O45" s="72">
        <f t="shared" si="0"/>
        <v>177917.90397801276</v>
      </c>
    </row>
    <row r="46" spans="1:15" x14ac:dyDescent="0.25">
      <c r="A46" t="s">
        <v>283</v>
      </c>
      <c r="B46" s="50" t="s">
        <v>333</v>
      </c>
      <c r="C46" t="s">
        <v>51</v>
      </c>
      <c r="D46" t="s">
        <v>38</v>
      </c>
      <c r="E46" s="90">
        <v>45200</v>
      </c>
      <c r="F46" s="49" t="s">
        <v>139</v>
      </c>
      <c r="G46">
        <v>3</v>
      </c>
      <c r="H46" s="49">
        <v>310235.90999999997</v>
      </c>
      <c r="I46" s="49">
        <v>2.4621897619047619</v>
      </c>
      <c r="J46" s="88">
        <v>3</v>
      </c>
      <c r="K46" s="49">
        <v>301762.89</v>
      </c>
      <c r="L46" s="49">
        <v>2.3949435714285716</v>
      </c>
      <c r="M46" s="49">
        <v>-8473.0199999999604</v>
      </c>
      <c r="N46" s="45">
        <v>-2.7311538499846653E-2</v>
      </c>
      <c r="O46" s="72">
        <f t="shared" si="0"/>
        <v>169444.8839780128</v>
      </c>
    </row>
    <row r="47" spans="1:15" x14ac:dyDescent="0.25">
      <c r="A47" t="s">
        <v>283</v>
      </c>
      <c r="B47" s="50" t="s">
        <v>333</v>
      </c>
      <c r="C47" t="s">
        <v>35</v>
      </c>
      <c r="D47" t="s">
        <v>38</v>
      </c>
      <c r="E47" s="90">
        <v>45225</v>
      </c>
      <c r="F47" s="49" t="s">
        <v>195</v>
      </c>
      <c r="G47">
        <v>625000</v>
      </c>
      <c r="H47" s="49">
        <v>11870187.5</v>
      </c>
      <c r="I47" s="49">
        <v>18.9923</v>
      </c>
      <c r="J47" s="88">
        <v>625000</v>
      </c>
      <c r="K47" s="49">
        <v>11829718.75</v>
      </c>
      <c r="L47" s="49">
        <v>18.92755</v>
      </c>
      <c r="M47" s="49">
        <v>-2163</v>
      </c>
      <c r="N47" s="45">
        <v>-3.4608E-3</v>
      </c>
      <c r="O47" s="72">
        <f t="shared" si="0"/>
        <v>167281.8839780128</v>
      </c>
    </row>
    <row r="48" spans="1:15" x14ac:dyDescent="0.25">
      <c r="A48" t="s">
        <v>283</v>
      </c>
      <c r="B48" s="50" t="s">
        <v>333</v>
      </c>
      <c r="C48" t="s">
        <v>35</v>
      </c>
      <c r="D48" t="s">
        <v>38</v>
      </c>
      <c r="E48" s="90">
        <v>45244</v>
      </c>
      <c r="F48" s="49" t="s">
        <v>196</v>
      </c>
      <c r="G48">
        <v>750000</v>
      </c>
      <c r="H48" s="49">
        <v>9005075.6099999994</v>
      </c>
      <c r="I48" s="49">
        <v>12.006767479999999</v>
      </c>
      <c r="J48" s="88">
        <v>750000</v>
      </c>
      <c r="K48" s="49">
        <v>9275812.0899999999</v>
      </c>
      <c r="L48" s="49">
        <v>12.367749453333333</v>
      </c>
      <c r="M48" s="49">
        <v>24443</v>
      </c>
      <c r="N48" s="45">
        <v>3.2590666666666671E-2</v>
      </c>
      <c r="O48" s="72">
        <f t="shared" si="0"/>
        <v>191724.8839780128</v>
      </c>
    </row>
  </sheetData>
  <conditionalFormatting sqref="K49:K1048576">
    <cfRule type="colorScale" priority="12">
      <colorScale>
        <cfvo type="min"/>
        <cfvo type="percentile" val="50"/>
        <cfvo type="max"/>
        <color rgb="FFF8696B"/>
        <color rgb="FFFFEB84"/>
        <color rgb="FF63BE7B"/>
      </colorScale>
    </cfRule>
  </conditionalFormatting>
  <conditionalFormatting sqref="L1:O1">
    <cfRule type="colorScale" priority="8">
      <colorScale>
        <cfvo type="min"/>
        <cfvo type="percentile" val="50"/>
        <cfvo type="max"/>
        <color rgb="FFF8696B"/>
        <color rgb="FFFFEB84"/>
        <color rgb="FF63BE7B"/>
      </colorScale>
    </cfRule>
  </conditionalFormatting>
  <conditionalFormatting sqref="M1">
    <cfRule type="colorScale" priority="6">
      <colorScale>
        <cfvo type="min"/>
        <cfvo type="percentile" val="50"/>
        <cfvo type="max"/>
        <color rgb="FFF8696B"/>
        <color rgb="FFFFEB84"/>
        <color rgb="FF63BE7B"/>
      </colorScale>
    </cfRule>
  </conditionalFormatting>
  <conditionalFormatting sqref="M2:M48">
    <cfRule type="colorScale" priority="2">
      <colorScale>
        <cfvo type="min"/>
        <cfvo type="percentile" val="50"/>
        <cfvo type="max"/>
        <color rgb="FFF8696B"/>
        <color rgb="FFFFEB84"/>
        <color rgb="FF63BE7B"/>
      </colorScale>
    </cfRule>
  </conditionalFormatting>
  <conditionalFormatting sqref="N1">
    <cfRule type="colorScale" priority="7">
      <colorScale>
        <cfvo type="min"/>
        <cfvo type="percentile" val="50"/>
        <cfvo type="max"/>
        <color rgb="FFF8696B"/>
        <color rgb="FFFFEB84"/>
        <color rgb="FF63BE7B"/>
      </colorScale>
    </cfRule>
  </conditionalFormatting>
  <conditionalFormatting sqref="N2:N48">
    <cfRule type="colorScale" priority="3">
      <colorScale>
        <cfvo type="min"/>
        <cfvo type="percentile" val="50"/>
        <cfvo type="max"/>
        <color rgb="FFF8696B"/>
        <color rgb="FFFFEB84"/>
        <color rgb="FF63BE7B"/>
      </colorScale>
    </cfRule>
  </conditionalFormatting>
  <conditionalFormatting sqref="O1">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conditionalFormatting sqref="O2:O48">
    <cfRule type="colorScale" priority="1">
      <colorScale>
        <cfvo type="min"/>
        <cfvo type="percentile" val="50"/>
        <cfvo type="max"/>
        <color rgb="FFF8696B"/>
        <color rgb="FFFFEB84"/>
        <color rgb="FF63BE7B"/>
      </colorScale>
    </cfRule>
  </conditionalFormatting>
  <conditionalFormatting sqref="P1">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1:P4">
    <cfRule type="colorScale" priority="9">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75D8-830E-43E2-BEBE-65A00FE7FF12}">
  <dimension ref="A1:Z56"/>
  <sheetViews>
    <sheetView topLeftCell="D10" workbookViewId="0">
      <selection activeCell="I62" sqref="I62"/>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6.28515625" bestFit="1" customWidth="1"/>
    <col min="9" max="9" width="11.5703125" style="49" bestFit="1" customWidth="1"/>
    <col min="10" max="10" width="8.140625" style="49" bestFit="1" customWidth="1"/>
    <col min="11" max="11" width="16.28515625" style="49" bestFit="1" customWidth="1"/>
    <col min="12" max="12" width="12.42578125" style="47" bestFit="1" customWidth="1"/>
    <col min="13" max="13" width="12.28515625" bestFit="1" customWidth="1"/>
    <col min="14" max="14" width="6.28515625" bestFit="1" customWidth="1"/>
    <col min="15" max="15" width="13.42578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334</v>
      </c>
      <c r="C2" t="s">
        <v>197</v>
      </c>
      <c r="D2" t="s">
        <v>36</v>
      </c>
      <c r="E2" s="90">
        <v>45007</v>
      </c>
      <c r="F2" s="49" t="s">
        <v>53</v>
      </c>
      <c r="G2">
        <v>1300</v>
      </c>
      <c r="H2" s="49">
        <v>139714.20000000001</v>
      </c>
      <c r="I2" s="49">
        <v>107.47246153846154</v>
      </c>
      <c r="J2" s="88">
        <v>1300</v>
      </c>
      <c r="K2" s="49">
        <v>136767.14000000001</v>
      </c>
      <c r="L2" s="49">
        <v>105.20549230769232</v>
      </c>
      <c r="M2" s="49">
        <v>-2947.0599999999977</v>
      </c>
      <c r="N2" s="45">
        <v>-2.1093489423408544E-2</v>
      </c>
      <c r="O2" s="72">
        <f>M2</f>
        <v>-2947.0599999999977</v>
      </c>
      <c r="P2" s="72"/>
      <c r="Q2" s="63">
        <f>COUNTA(J$2:J$1048576)</f>
        <v>55</v>
      </c>
      <c r="R2" s="64">
        <f>COUNTIF(M$2:M$1048576,"&gt;0")/Q2</f>
        <v>0.21818181818181817</v>
      </c>
      <c r="S2" s="64">
        <f>COUNTIF(M$2:M$1048576,"&lt;0")/COUNTA(M$2:M$1048576)</f>
        <v>0.78181818181818186</v>
      </c>
      <c r="T2" s="64">
        <f>AVERAGEIF(N:N,"&gt;0")</f>
        <v>7.7820472063690763E-2</v>
      </c>
      <c r="U2" s="64">
        <f>AVERAGEIF(N:N,"&lt;0")</f>
        <v>-3.0868635721965791E-2</v>
      </c>
      <c r="V2" s="65">
        <f>T2/ABS(U2)</f>
        <v>2.5210207786512102</v>
      </c>
      <c r="W2" s="66">
        <f>AVERAGEIF(M:M,"&gt;0")</f>
        <v>34809.513333333329</v>
      </c>
      <c r="X2" s="68">
        <f>AVERAGEIF(M:M,"&lt;0")</f>
        <v>-8899.3475298953981</v>
      </c>
      <c r="Y2" s="65">
        <f>W2/ABS(X2)</f>
        <v>3.9114680280097427</v>
      </c>
      <c r="Z2" s="67">
        <f>SUM(M:M)</f>
        <v>35042.216214497756</v>
      </c>
    </row>
    <row r="3" spans="1:26" x14ac:dyDescent="0.25">
      <c r="A3" t="s">
        <v>283</v>
      </c>
      <c r="B3" s="50" t="s">
        <v>334</v>
      </c>
      <c r="C3" t="s">
        <v>197</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-6283.890000000014</v>
      </c>
      <c r="P3" s="72"/>
    </row>
    <row r="4" spans="1:26" x14ac:dyDescent="0.25">
      <c r="A4" t="s">
        <v>283</v>
      </c>
      <c r="B4" s="50" t="s">
        <v>334</v>
      </c>
      <c r="C4" t="s">
        <v>51</v>
      </c>
      <c r="D4" t="s">
        <v>38</v>
      </c>
      <c r="E4" s="90">
        <v>45036</v>
      </c>
      <c r="F4" s="49" t="s">
        <v>130</v>
      </c>
      <c r="G4">
        <v>25</v>
      </c>
      <c r="H4" s="49">
        <v>5181305</v>
      </c>
      <c r="I4" s="49">
        <v>4145.0439999999999</v>
      </c>
      <c r="J4" s="88">
        <v>25</v>
      </c>
      <c r="K4" s="49">
        <v>5171195</v>
      </c>
      <c r="L4" s="49">
        <v>4136.9560000000001</v>
      </c>
      <c r="M4" s="49">
        <v>-10110</v>
      </c>
      <c r="N4" s="45">
        <v>-1.95124587338518E-3</v>
      </c>
      <c r="O4" s="72">
        <f t="shared" ref="O4:O56" si="0">M4+O3</f>
        <v>-16393.890000000014</v>
      </c>
      <c r="P4" s="72"/>
    </row>
    <row r="5" spans="1:26" x14ac:dyDescent="0.25">
      <c r="A5" t="s">
        <v>283</v>
      </c>
      <c r="B5" s="50" t="s">
        <v>334</v>
      </c>
      <c r="C5" t="s">
        <v>197</v>
      </c>
      <c r="D5" t="s">
        <v>38</v>
      </c>
      <c r="E5" s="90">
        <v>45048</v>
      </c>
      <c r="F5" s="49" t="s">
        <v>76</v>
      </c>
      <c r="G5">
        <v>4000</v>
      </c>
      <c r="H5" s="49">
        <v>335600</v>
      </c>
      <c r="I5" s="49">
        <v>83.9</v>
      </c>
      <c r="J5" s="88">
        <v>4000</v>
      </c>
      <c r="K5" s="49">
        <v>324543.78000000003</v>
      </c>
      <c r="L5" s="49">
        <v>81.135945000000007</v>
      </c>
      <c r="M5" s="49">
        <v>-11056.219999999972</v>
      </c>
      <c r="N5" s="45">
        <v>-3.2944636471990453E-2</v>
      </c>
      <c r="O5" s="72">
        <f t="shared" si="0"/>
        <v>-27450.109999999986</v>
      </c>
    </row>
    <row r="6" spans="1:26" x14ac:dyDescent="0.25">
      <c r="A6" t="s">
        <v>283</v>
      </c>
      <c r="B6" s="50" t="s">
        <v>334</v>
      </c>
      <c r="C6" t="s">
        <v>197</v>
      </c>
      <c r="D6" t="s">
        <v>38</v>
      </c>
      <c r="E6" s="90">
        <v>45048</v>
      </c>
      <c r="F6" s="49" t="s">
        <v>73</v>
      </c>
      <c r="G6">
        <v>13000</v>
      </c>
      <c r="H6" s="49">
        <v>95193.13</v>
      </c>
      <c r="I6" s="49">
        <v>7.322548461538462</v>
      </c>
      <c r="J6" s="88">
        <v>13000</v>
      </c>
      <c r="K6" s="49">
        <v>89282.28</v>
      </c>
      <c r="L6" s="49">
        <v>6.8678676923076925</v>
      </c>
      <c r="M6" s="49">
        <v>-5910.8500000000058</v>
      </c>
      <c r="N6" s="45">
        <v>-6.2093241392524895E-2</v>
      </c>
      <c r="O6" s="72">
        <f t="shared" si="0"/>
        <v>-33360.959999999992</v>
      </c>
    </row>
    <row r="7" spans="1:26" x14ac:dyDescent="0.25">
      <c r="A7" t="s">
        <v>283</v>
      </c>
      <c r="B7" s="50" t="s">
        <v>334</v>
      </c>
      <c r="C7" t="s">
        <v>35</v>
      </c>
      <c r="D7" t="s">
        <v>38</v>
      </c>
      <c r="E7" s="90">
        <v>45056</v>
      </c>
      <c r="F7" s="49" t="s">
        <v>287</v>
      </c>
      <c r="G7">
        <v>75000</v>
      </c>
      <c r="H7" s="49">
        <v>789954.04</v>
      </c>
      <c r="I7" s="49">
        <v>10.532720533333334</v>
      </c>
      <c r="J7" s="88">
        <v>75000</v>
      </c>
      <c r="K7" s="49">
        <v>783980.96</v>
      </c>
      <c r="L7" s="49">
        <v>10.453079466666667</v>
      </c>
      <c r="M7" s="49">
        <v>-5973.0800000000745</v>
      </c>
      <c r="N7" s="45">
        <v>-7.6189095204557966E-3</v>
      </c>
      <c r="O7" s="72">
        <f t="shared" si="0"/>
        <v>-39334.040000000066</v>
      </c>
    </row>
    <row r="8" spans="1:26" x14ac:dyDescent="0.25">
      <c r="A8" t="s">
        <v>283</v>
      </c>
      <c r="B8" s="50" t="s">
        <v>334</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-46162.71000000005</v>
      </c>
    </row>
    <row r="9" spans="1:26" x14ac:dyDescent="0.25">
      <c r="A9" t="s">
        <v>283</v>
      </c>
      <c r="B9" s="50" t="s">
        <v>334</v>
      </c>
      <c r="C9" t="s">
        <v>197</v>
      </c>
      <c r="D9" t="s">
        <v>38</v>
      </c>
      <c r="E9" s="90">
        <v>45064</v>
      </c>
      <c r="F9" s="49" t="s">
        <v>80</v>
      </c>
      <c r="G9">
        <v>7400</v>
      </c>
      <c r="H9" s="49">
        <v>495762.3</v>
      </c>
      <c r="I9" s="49">
        <v>66.994905405405405</v>
      </c>
      <c r="J9" s="88">
        <v>7400</v>
      </c>
      <c r="K9" s="49">
        <v>498028.62</v>
      </c>
      <c r="L9" s="49">
        <v>67.301164864864859</v>
      </c>
      <c r="M9" s="49">
        <v>2266.320000000007</v>
      </c>
      <c r="N9" s="45">
        <v>4.5713843105858638E-3</v>
      </c>
      <c r="O9" s="72">
        <f t="shared" si="0"/>
        <v>-43896.390000000043</v>
      </c>
    </row>
    <row r="10" spans="1:26" x14ac:dyDescent="0.25">
      <c r="A10" t="s">
        <v>283</v>
      </c>
      <c r="B10" s="50" t="s">
        <v>334</v>
      </c>
      <c r="C10" t="s">
        <v>197</v>
      </c>
      <c r="D10" t="s">
        <v>38</v>
      </c>
      <c r="E10" s="90">
        <v>45077</v>
      </c>
      <c r="F10" s="49" t="s">
        <v>80</v>
      </c>
      <c r="G10">
        <v>5900</v>
      </c>
      <c r="H10" s="49">
        <v>387659.5</v>
      </c>
      <c r="I10" s="49">
        <v>65.704999999999998</v>
      </c>
      <c r="J10" s="88">
        <v>5900</v>
      </c>
      <c r="K10" s="49">
        <v>376330.3</v>
      </c>
      <c r="L10" s="49">
        <v>63.784796610169487</v>
      </c>
      <c r="M10" s="49">
        <v>-11329.200000000012</v>
      </c>
      <c r="N10" s="45">
        <v>-2.9224615932280828E-2</v>
      </c>
      <c r="O10" s="72">
        <f t="shared" si="0"/>
        <v>-55225.590000000055</v>
      </c>
    </row>
    <row r="11" spans="1:26" x14ac:dyDescent="0.25">
      <c r="A11" t="s">
        <v>283</v>
      </c>
      <c r="B11" s="50" t="s">
        <v>334</v>
      </c>
      <c r="C11" t="s">
        <v>51</v>
      </c>
      <c r="D11" t="s">
        <v>38</v>
      </c>
      <c r="E11" s="90">
        <v>45078</v>
      </c>
      <c r="F11" s="49" t="s">
        <v>87</v>
      </c>
      <c r="G11">
        <v>5</v>
      </c>
      <c r="H11" s="49">
        <v>174761.85</v>
      </c>
      <c r="I11" s="49">
        <v>3.4952370000000004</v>
      </c>
      <c r="J11" s="88">
        <v>5</v>
      </c>
      <c r="K11" s="49">
        <v>167988.15</v>
      </c>
      <c r="L11" s="49">
        <v>3.3597630000000001</v>
      </c>
      <c r="M11" s="49">
        <v>-6773.7000000000116</v>
      </c>
      <c r="N11" s="45">
        <v>-3.8759603426033837E-2</v>
      </c>
      <c r="O11" s="72">
        <f t="shared" si="0"/>
        <v>-61999.290000000066</v>
      </c>
    </row>
    <row r="12" spans="1:26" x14ac:dyDescent="0.25">
      <c r="A12" t="s">
        <v>283</v>
      </c>
      <c r="B12" s="50" t="s">
        <v>334</v>
      </c>
      <c r="C12" t="s">
        <v>35</v>
      </c>
      <c r="D12" t="s">
        <v>38</v>
      </c>
      <c r="E12" s="90">
        <v>45086</v>
      </c>
      <c r="F12" s="49" t="s">
        <v>93</v>
      </c>
      <c r="G12">
        <v>660000</v>
      </c>
      <c r="H12" s="49">
        <v>7199361.46</v>
      </c>
      <c r="I12" s="49">
        <v>10.908123424242424</v>
      </c>
      <c r="J12" s="88">
        <v>660000</v>
      </c>
      <c r="K12" s="49">
        <v>7102218.71</v>
      </c>
      <c r="L12" s="49">
        <v>10.76093743939394</v>
      </c>
      <c r="M12" s="49">
        <v>-8905.5418812101143</v>
      </c>
      <c r="N12" s="45">
        <v>-1.25390983365114E-3</v>
      </c>
      <c r="O12" s="72">
        <f t="shared" si="0"/>
        <v>-70904.831881210179</v>
      </c>
    </row>
    <row r="13" spans="1:26" x14ac:dyDescent="0.25">
      <c r="A13" t="s">
        <v>283</v>
      </c>
      <c r="B13" s="50" t="s">
        <v>334</v>
      </c>
      <c r="C13" t="s">
        <v>35</v>
      </c>
      <c r="D13" t="s">
        <v>38</v>
      </c>
      <c r="E13" s="90">
        <v>45119</v>
      </c>
      <c r="F13" s="49" t="s">
        <v>117</v>
      </c>
      <c r="G13">
        <v>1975000</v>
      </c>
      <c r="H13" s="49">
        <v>21069646.649999999</v>
      </c>
      <c r="I13" s="49">
        <v>10.668175518987342</v>
      </c>
      <c r="J13" s="88">
        <v>1975000</v>
      </c>
      <c r="K13" s="49">
        <v>20734949.171100002</v>
      </c>
      <c r="L13" s="49">
        <v>10.498708441063291</v>
      </c>
      <c r="M13" s="49">
        <v>-31879.871774598891</v>
      </c>
      <c r="N13" s="45">
        <v>-1.6141707227645009E-2</v>
      </c>
      <c r="O13" s="72">
        <f t="shared" si="0"/>
        <v>-102784.70365580908</v>
      </c>
    </row>
    <row r="14" spans="1:26" x14ac:dyDescent="0.25">
      <c r="A14" t="s">
        <v>283</v>
      </c>
      <c r="B14" s="50" t="s">
        <v>334</v>
      </c>
      <c r="C14" t="s">
        <v>35</v>
      </c>
      <c r="D14" t="s">
        <v>36</v>
      </c>
      <c r="E14" s="90">
        <v>45120</v>
      </c>
      <c r="F14" s="49" t="s">
        <v>184</v>
      </c>
      <c r="G14">
        <v>1500000</v>
      </c>
      <c r="H14" s="49">
        <v>944981.1</v>
      </c>
      <c r="I14" s="49">
        <v>0.62998739999999998</v>
      </c>
      <c r="J14" s="88">
        <v>1500000</v>
      </c>
      <c r="K14" s="49">
        <v>960124.2</v>
      </c>
      <c r="L14" s="49">
        <v>0.64008279999999995</v>
      </c>
      <c r="M14" s="49">
        <v>-15143.099999999977</v>
      </c>
      <c r="N14" s="45">
        <v>-1.0095399999999985E-2</v>
      </c>
      <c r="O14" s="72">
        <f t="shared" si="0"/>
        <v>-117927.80365580905</v>
      </c>
    </row>
    <row r="15" spans="1:26" x14ac:dyDescent="0.25">
      <c r="A15" t="s">
        <v>283</v>
      </c>
      <c r="B15" s="50" t="s">
        <v>334</v>
      </c>
      <c r="C15" t="s">
        <v>35</v>
      </c>
      <c r="D15" t="s">
        <v>38</v>
      </c>
      <c r="E15" s="90">
        <v>45120</v>
      </c>
      <c r="F15" s="49" t="s">
        <v>176</v>
      </c>
      <c r="G15">
        <v>1250000</v>
      </c>
      <c r="H15" s="49">
        <v>1669968.27</v>
      </c>
      <c r="I15" s="49">
        <v>1.3359746160000001</v>
      </c>
      <c r="J15" s="88">
        <v>1250000</v>
      </c>
      <c r="K15" s="49">
        <v>1653591.61</v>
      </c>
      <c r="L15" s="49">
        <v>1.322873288</v>
      </c>
      <c r="M15" s="49">
        <v>-13479.45012969333</v>
      </c>
      <c r="N15" s="45">
        <v>-1.0783560103754664E-2</v>
      </c>
      <c r="O15" s="72">
        <f t="shared" si="0"/>
        <v>-131407.2537855024</v>
      </c>
    </row>
    <row r="16" spans="1:26" x14ac:dyDescent="0.25">
      <c r="A16" t="s">
        <v>283</v>
      </c>
      <c r="B16" s="50" t="s">
        <v>334</v>
      </c>
      <c r="C16" t="s">
        <v>197</v>
      </c>
      <c r="D16" t="s">
        <v>38</v>
      </c>
      <c r="E16" s="90">
        <v>45121</v>
      </c>
      <c r="F16" s="49" t="s">
        <v>119</v>
      </c>
      <c r="G16">
        <v>1200</v>
      </c>
      <c r="H16" s="49">
        <v>270221.39999999997</v>
      </c>
      <c r="I16" s="49">
        <v>225.18449999999996</v>
      </c>
      <c r="J16" s="88">
        <v>1200</v>
      </c>
      <c r="K16" s="49">
        <v>341095.84</v>
      </c>
      <c r="L16" s="49">
        <v>284.24653333333333</v>
      </c>
      <c r="M16" s="49">
        <v>70874.440000000061</v>
      </c>
      <c r="N16" s="45">
        <v>0.26228285398565793</v>
      </c>
      <c r="O16" s="72">
        <f t="shared" si="0"/>
        <v>-60532.813785502338</v>
      </c>
    </row>
    <row r="17" spans="1:15" x14ac:dyDescent="0.25">
      <c r="A17" t="s">
        <v>283</v>
      </c>
      <c r="B17" s="50" t="s">
        <v>334</v>
      </c>
      <c r="C17" t="s">
        <v>51</v>
      </c>
      <c r="D17" t="s">
        <v>38</v>
      </c>
      <c r="E17" s="90">
        <v>45122</v>
      </c>
      <c r="F17" s="49" t="s">
        <v>95</v>
      </c>
      <c r="G17">
        <v>10</v>
      </c>
      <c r="H17" s="49">
        <v>1005872.2</v>
      </c>
      <c r="I17" s="49">
        <v>100.58722</v>
      </c>
      <c r="J17" s="88">
        <v>10</v>
      </c>
      <c r="K17" s="49">
        <v>998427.8</v>
      </c>
      <c r="L17" s="49">
        <v>99.842780000000005</v>
      </c>
      <c r="M17" s="49">
        <v>-7488.3999999999069</v>
      </c>
      <c r="N17" s="45">
        <v>-7.4446833305462732E-3</v>
      </c>
      <c r="O17" s="72">
        <f t="shared" si="0"/>
        <v>-68021.213785502245</v>
      </c>
    </row>
    <row r="18" spans="1:15" x14ac:dyDescent="0.25">
      <c r="A18" t="s">
        <v>283</v>
      </c>
      <c r="B18" s="50" t="s">
        <v>334</v>
      </c>
      <c r="C18" t="s">
        <v>51</v>
      </c>
      <c r="D18" t="s">
        <v>36</v>
      </c>
      <c r="E18" s="90">
        <v>45131</v>
      </c>
      <c r="F18" s="49" t="s">
        <v>52</v>
      </c>
      <c r="G18">
        <v>6</v>
      </c>
      <c r="H18" s="49">
        <v>456585.78</v>
      </c>
      <c r="I18" s="49">
        <v>76.097630000000009</v>
      </c>
      <c r="J18" s="88">
        <v>6</v>
      </c>
      <c r="K18" s="49">
        <v>466514.22</v>
      </c>
      <c r="L18" s="49">
        <v>77.752369999999999</v>
      </c>
      <c r="M18" s="49">
        <v>-9972.4399999999441</v>
      </c>
      <c r="N18" s="45"/>
      <c r="O18" s="72">
        <f t="shared" si="0"/>
        <v>-77993.653785502189</v>
      </c>
    </row>
    <row r="19" spans="1:15" x14ac:dyDescent="0.25">
      <c r="A19" t="s">
        <v>283</v>
      </c>
      <c r="B19" s="50" t="s">
        <v>334</v>
      </c>
      <c r="C19" t="s">
        <v>51</v>
      </c>
      <c r="D19" t="s">
        <v>36</v>
      </c>
      <c r="E19" s="90">
        <v>45133</v>
      </c>
      <c r="F19" s="49" t="s">
        <v>129</v>
      </c>
      <c r="G19">
        <v>8</v>
      </c>
      <c r="H19" s="49">
        <v>274296.24</v>
      </c>
      <c r="I19" s="49">
        <v>3428.703</v>
      </c>
      <c r="J19" s="88">
        <v>8</v>
      </c>
      <c r="K19" s="49">
        <v>284503.76</v>
      </c>
      <c r="L19" s="49">
        <v>3556.297</v>
      </c>
      <c r="M19" s="49">
        <v>-10251.520000000019</v>
      </c>
      <c r="N19" s="45">
        <v>-3.7373899109955061E-2</v>
      </c>
      <c r="O19" s="72">
        <f t="shared" si="0"/>
        <v>-88245.173785502207</v>
      </c>
    </row>
    <row r="20" spans="1:15" x14ac:dyDescent="0.25">
      <c r="A20" t="s">
        <v>283</v>
      </c>
      <c r="B20" s="50" t="s">
        <v>334</v>
      </c>
      <c r="C20" t="s">
        <v>51</v>
      </c>
      <c r="D20" t="s">
        <v>38</v>
      </c>
      <c r="E20" s="90">
        <v>45141</v>
      </c>
      <c r="F20" s="49" t="s">
        <v>88</v>
      </c>
      <c r="G20">
        <v>2</v>
      </c>
      <c r="H20" s="49">
        <v>331906.03999999998</v>
      </c>
      <c r="I20" s="49">
        <v>33190.603999999999</v>
      </c>
      <c r="J20" s="88">
        <v>2</v>
      </c>
      <c r="K20" s="49">
        <v>317643.96000000002</v>
      </c>
      <c r="L20" s="49">
        <v>31764.396000000001</v>
      </c>
      <c r="M20" s="49">
        <v>-14306.079999999958</v>
      </c>
      <c r="N20" s="45">
        <v>-4.3102801021638409E-2</v>
      </c>
      <c r="O20" s="72">
        <f t="shared" si="0"/>
        <v>-102551.25378550217</v>
      </c>
    </row>
    <row r="21" spans="1:15" x14ac:dyDescent="0.25">
      <c r="A21" t="s">
        <v>283</v>
      </c>
      <c r="B21" s="50" t="s">
        <v>334</v>
      </c>
      <c r="C21" t="s">
        <v>51</v>
      </c>
      <c r="D21" t="s">
        <v>36</v>
      </c>
      <c r="E21" s="90">
        <v>45145</v>
      </c>
      <c r="F21" s="49" t="s">
        <v>129</v>
      </c>
      <c r="G21">
        <v>8</v>
      </c>
      <c r="H21" s="49">
        <v>280776.24</v>
      </c>
      <c r="I21" s="49">
        <v>3509.703</v>
      </c>
      <c r="J21" s="88">
        <v>8</v>
      </c>
      <c r="K21" s="49">
        <v>289053.76</v>
      </c>
      <c r="L21" s="49">
        <v>3613.172</v>
      </c>
      <c r="M21" s="49">
        <v>-8321.5200000000186</v>
      </c>
      <c r="N21" s="45">
        <v>-2.963755052777977E-2</v>
      </c>
      <c r="O21" s="72">
        <f t="shared" si="0"/>
        <v>-110872.77378550218</v>
      </c>
    </row>
    <row r="22" spans="1:15" x14ac:dyDescent="0.25">
      <c r="A22" t="s">
        <v>283</v>
      </c>
      <c r="B22" s="50" t="s">
        <v>334</v>
      </c>
      <c r="C22" t="s">
        <v>51</v>
      </c>
      <c r="D22" t="s">
        <v>36</v>
      </c>
      <c r="E22" s="90">
        <v>45146</v>
      </c>
      <c r="F22" s="49" t="s">
        <v>52</v>
      </c>
      <c r="G22">
        <v>4</v>
      </c>
      <c r="H22" s="49">
        <v>318990.52</v>
      </c>
      <c r="I22" s="49">
        <v>79.747630000000001</v>
      </c>
      <c r="J22" s="88">
        <v>4</v>
      </c>
      <c r="K22" s="49">
        <v>335409.48</v>
      </c>
      <c r="L22" s="49">
        <v>83.852369999999993</v>
      </c>
      <c r="M22" s="49">
        <v>-16462.959999999963</v>
      </c>
      <c r="N22" s="45">
        <v>-5.1609558804443345E-2</v>
      </c>
      <c r="O22" s="72">
        <f t="shared" si="0"/>
        <v>-127335.73378550215</v>
      </c>
    </row>
    <row r="23" spans="1:15" x14ac:dyDescent="0.25">
      <c r="A23" t="s">
        <v>283</v>
      </c>
      <c r="B23" s="50" t="s">
        <v>334</v>
      </c>
      <c r="C23" t="s">
        <v>51</v>
      </c>
      <c r="D23" t="s">
        <v>38</v>
      </c>
      <c r="E23" s="90">
        <v>45196</v>
      </c>
      <c r="F23" s="49" t="s">
        <v>134</v>
      </c>
      <c r="G23">
        <v>260</v>
      </c>
      <c r="H23" s="49">
        <v>1087099</v>
      </c>
      <c r="I23" s="49">
        <v>4.1811499999999997</v>
      </c>
      <c r="J23" s="88">
        <v>260</v>
      </c>
      <c r="K23" s="49">
        <v>1170255</v>
      </c>
      <c r="L23" s="49">
        <v>4.50098076923077</v>
      </c>
      <c r="M23" s="49">
        <v>83156</v>
      </c>
      <c r="N23" s="45">
        <v>7.6493493232907037E-2</v>
      </c>
      <c r="O23" s="72">
        <f t="shared" si="0"/>
        <v>-44179.733785502147</v>
      </c>
    </row>
    <row r="24" spans="1:15" x14ac:dyDescent="0.25">
      <c r="A24" t="s">
        <v>283</v>
      </c>
      <c r="B24" s="50" t="s">
        <v>334</v>
      </c>
      <c r="C24" t="s">
        <v>51</v>
      </c>
      <c r="D24" t="s">
        <v>38</v>
      </c>
      <c r="E24" s="90">
        <v>45197</v>
      </c>
      <c r="F24" s="49" t="s">
        <v>136</v>
      </c>
      <c r="G24">
        <v>6</v>
      </c>
      <c r="H24" s="49">
        <v>183272.22</v>
      </c>
      <c r="I24" s="49">
        <v>27.272651785714285</v>
      </c>
      <c r="J24" s="88">
        <v>6</v>
      </c>
      <c r="K24" s="49">
        <v>174921.60000000001</v>
      </c>
      <c r="L24" s="49">
        <v>26.03</v>
      </c>
      <c r="M24" s="49">
        <v>-8350.6199999999953</v>
      </c>
      <c r="N24" s="45">
        <v>-4.5564024924235627E-2</v>
      </c>
      <c r="O24" s="72">
        <f t="shared" si="0"/>
        <v>-52530.353785502142</v>
      </c>
    </row>
    <row r="25" spans="1:15" x14ac:dyDescent="0.25">
      <c r="A25" t="s">
        <v>283</v>
      </c>
      <c r="B25" s="50" t="s">
        <v>334</v>
      </c>
      <c r="C25" t="s">
        <v>51</v>
      </c>
      <c r="D25" t="s">
        <v>36</v>
      </c>
      <c r="E25" s="90">
        <v>45198</v>
      </c>
      <c r="F25" s="49" t="s">
        <v>138</v>
      </c>
      <c r="G25">
        <v>3</v>
      </c>
      <c r="H25" s="49">
        <v>891278.4</v>
      </c>
      <c r="I25" s="49">
        <v>14854.640000000001</v>
      </c>
      <c r="J25" s="88">
        <v>3</v>
      </c>
      <c r="K25" s="49">
        <v>894753.65</v>
      </c>
      <c r="L25" s="49">
        <v>14912.560833333335</v>
      </c>
      <c r="M25" s="49">
        <v>-3475.25</v>
      </c>
      <c r="N25" s="45">
        <v>-3.8991744891382985E-3</v>
      </c>
      <c r="O25" s="72">
        <f t="shared" si="0"/>
        <v>-56005.603785502142</v>
      </c>
    </row>
    <row r="26" spans="1:15" x14ac:dyDescent="0.25">
      <c r="A26" t="s">
        <v>283</v>
      </c>
      <c r="B26" s="50" t="s">
        <v>334</v>
      </c>
      <c r="C26" t="s">
        <v>51</v>
      </c>
      <c r="D26" t="s">
        <v>36</v>
      </c>
      <c r="E26" s="90">
        <v>45198</v>
      </c>
      <c r="F26" s="49" t="s">
        <v>137</v>
      </c>
      <c r="G26">
        <v>9</v>
      </c>
      <c r="H26" s="49">
        <v>836910.02</v>
      </c>
      <c r="I26" s="49">
        <v>1859.8000444444444</v>
      </c>
      <c r="J26" s="88">
        <v>9</v>
      </c>
      <c r="K26" s="49">
        <v>811519.79999999993</v>
      </c>
      <c r="L26" s="49">
        <v>1803.3773333333331</v>
      </c>
      <c r="M26" s="49">
        <v>25390.220000000088</v>
      </c>
      <c r="N26" s="45">
        <v>3.0338052351195518E-2</v>
      </c>
      <c r="O26" s="72">
        <f t="shared" si="0"/>
        <v>-30615.383785502054</v>
      </c>
    </row>
    <row r="27" spans="1:15" x14ac:dyDescent="0.25">
      <c r="A27" t="s">
        <v>283</v>
      </c>
      <c r="B27" s="50" t="s">
        <v>334</v>
      </c>
      <c r="C27" t="s">
        <v>51</v>
      </c>
      <c r="D27" t="s">
        <v>38</v>
      </c>
      <c r="E27" s="90">
        <v>45202</v>
      </c>
      <c r="F27" s="49" t="s">
        <v>136</v>
      </c>
      <c r="G27">
        <v>12</v>
      </c>
      <c r="H27" s="49">
        <v>357539.64</v>
      </c>
      <c r="I27" s="49">
        <v>26.602651785714286</v>
      </c>
      <c r="J27" s="88">
        <v>12</v>
      </c>
      <c r="K27" s="49">
        <v>348364.79999999999</v>
      </c>
      <c r="L27" s="49">
        <v>25.919999999999998</v>
      </c>
      <c r="M27" s="49">
        <v>-9174.8400000000256</v>
      </c>
      <c r="N27" s="45">
        <v>-2.5661042786752332E-2</v>
      </c>
      <c r="O27" s="72">
        <f t="shared" si="0"/>
        <v>-39790.223785502079</v>
      </c>
    </row>
    <row r="28" spans="1:15" x14ac:dyDescent="0.25">
      <c r="A28" t="s">
        <v>283</v>
      </c>
      <c r="B28" s="50" t="s">
        <v>334</v>
      </c>
      <c r="C28" t="s">
        <v>51</v>
      </c>
      <c r="D28" t="s">
        <v>38</v>
      </c>
      <c r="E28" s="90">
        <v>45203</v>
      </c>
      <c r="F28" s="49" t="s">
        <v>52</v>
      </c>
      <c r="G28">
        <v>6</v>
      </c>
      <c r="H28" s="49">
        <v>473624.22</v>
      </c>
      <c r="I28" s="49">
        <v>157.87473999999997</v>
      </c>
      <c r="J28" s="88">
        <v>6</v>
      </c>
      <c r="K28" s="49">
        <v>520425.78</v>
      </c>
      <c r="L28" s="49">
        <v>86.73763000000001</v>
      </c>
      <c r="M28" s="49">
        <v>46801.560000000056</v>
      </c>
      <c r="N28" s="45">
        <v>9.881580802603393E-2</v>
      </c>
      <c r="O28" s="72">
        <f t="shared" si="0"/>
        <v>7011.3362144979765</v>
      </c>
    </row>
    <row r="29" spans="1:15" x14ac:dyDescent="0.25">
      <c r="A29" t="s">
        <v>283</v>
      </c>
      <c r="B29" s="50" t="s">
        <v>334</v>
      </c>
      <c r="C29" t="s">
        <v>51</v>
      </c>
      <c r="D29" t="s">
        <v>38</v>
      </c>
      <c r="E29" s="90">
        <v>45225</v>
      </c>
      <c r="F29" s="49" t="s">
        <v>134</v>
      </c>
      <c r="G29">
        <v>200</v>
      </c>
      <c r="H29" s="49">
        <v>904192.8</v>
      </c>
      <c r="I29" s="49">
        <v>4.5209640000000002</v>
      </c>
      <c r="J29" s="88">
        <v>200</v>
      </c>
      <c r="K29" s="49">
        <v>979503.2</v>
      </c>
      <c r="L29" s="49">
        <v>4.8975159999999995</v>
      </c>
      <c r="M29" s="49">
        <v>75310.399999999907</v>
      </c>
      <c r="N29" s="45">
        <v>8.3290200939445544E-2</v>
      </c>
      <c r="O29" s="72">
        <f t="shared" si="0"/>
        <v>82321.736214497883</v>
      </c>
    </row>
    <row r="30" spans="1:15" x14ac:dyDescent="0.25">
      <c r="A30" t="s">
        <v>283</v>
      </c>
      <c r="B30" s="50" t="s">
        <v>334</v>
      </c>
      <c r="C30" t="s">
        <v>51</v>
      </c>
      <c r="D30" t="s">
        <v>38</v>
      </c>
      <c r="E30" s="90">
        <v>45229</v>
      </c>
      <c r="F30" s="49" t="s">
        <v>136</v>
      </c>
      <c r="G30">
        <v>12</v>
      </c>
      <c r="H30" s="49">
        <v>363251.54</v>
      </c>
      <c r="I30" s="49">
        <v>27.027644345238091</v>
      </c>
      <c r="J30" s="88">
        <v>12</v>
      </c>
      <c r="K30" s="49">
        <v>359753.16</v>
      </c>
      <c r="L30" s="49">
        <v>26.767348214285711</v>
      </c>
      <c r="M30" s="49">
        <v>-3498.3800000000047</v>
      </c>
      <c r="N30" s="45">
        <v>-9.6307368717556026E-3</v>
      </c>
      <c r="O30" s="72">
        <f t="shared" si="0"/>
        <v>78823.356214497879</v>
      </c>
    </row>
    <row r="31" spans="1:15" x14ac:dyDescent="0.25">
      <c r="A31" t="s">
        <v>283</v>
      </c>
      <c r="B31" s="50" t="s">
        <v>334</v>
      </c>
      <c r="C31" t="s">
        <v>51</v>
      </c>
      <c r="D31" t="s">
        <v>38</v>
      </c>
      <c r="E31" s="90">
        <v>45231</v>
      </c>
      <c r="F31" s="49" t="s">
        <v>134</v>
      </c>
      <c r="G31">
        <v>160</v>
      </c>
      <c r="H31" s="49">
        <v>777325</v>
      </c>
      <c r="I31" s="49">
        <v>9.7330000000000005</v>
      </c>
      <c r="J31" s="88">
        <v>160</v>
      </c>
      <c r="K31" s="49">
        <v>764241</v>
      </c>
      <c r="L31" s="49">
        <v>4.7765062499999997</v>
      </c>
      <c r="M31" s="49">
        <v>-13084</v>
      </c>
      <c r="N31" s="45">
        <v>-1.6832084391985334E-2</v>
      </c>
      <c r="O31" s="72">
        <f t="shared" si="0"/>
        <v>65739.356214497879</v>
      </c>
    </row>
    <row r="32" spans="1:15" x14ac:dyDescent="0.25">
      <c r="A32" t="s">
        <v>283</v>
      </c>
      <c r="B32" s="50" t="s">
        <v>334</v>
      </c>
      <c r="C32" t="s">
        <v>35</v>
      </c>
      <c r="D32" t="s">
        <v>38</v>
      </c>
      <c r="E32" s="90">
        <v>45239</v>
      </c>
      <c r="F32" s="49" t="s">
        <v>195</v>
      </c>
      <c r="G32">
        <v>670000</v>
      </c>
      <c r="H32" s="49">
        <v>12352060.130000001</v>
      </c>
      <c r="I32" s="49">
        <v>18.435910641791047</v>
      </c>
      <c r="J32" s="88">
        <v>670000</v>
      </c>
      <c r="K32" s="49">
        <v>12313439.91</v>
      </c>
      <c r="L32" s="49">
        <v>18.378268522388058</v>
      </c>
      <c r="M32" s="49">
        <v>-2088</v>
      </c>
      <c r="N32" s="45">
        <v>-3.1164179104477613E-3</v>
      </c>
      <c r="O32" s="72">
        <f t="shared" si="0"/>
        <v>63651.356214497879</v>
      </c>
    </row>
    <row r="33" spans="1:15" x14ac:dyDescent="0.25">
      <c r="A33" t="s">
        <v>283</v>
      </c>
      <c r="B33" s="50" t="s">
        <v>334</v>
      </c>
      <c r="C33" t="s">
        <v>51</v>
      </c>
      <c r="D33" t="s">
        <v>38</v>
      </c>
      <c r="E33" s="90">
        <v>45246</v>
      </c>
      <c r="F33" s="49" t="s">
        <v>52</v>
      </c>
      <c r="G33">
        <v>7</v>
      </c>
      <c r="H33" s="49">
        <v>542476.59</v>
      </c>
      <c r="I33" s="49">
        <v>154.90974</v>
      </c>
      <c r="J33" s="88">
        <v>7</v>
      </c>
      <c r="K33" s="49">
        <v>529950</v>
      </c>
      <c r="L33" s="49">
        <v>0</v>
      </c>
      <c r="M33" s="49">
        <v>-12526.589999999967</v>
      </c>
      <c r="N33" s="45">
        <v>-2.3091484924722683E-2</v>
      </c>
      <c r="O33" s="72">
        <f t="shared" si="0"/>
        <v>51124.766214497911</v>
      </c>
    </row>
    <row r="34" spans="1:15" x14ac:dyDescent="0.25">
      <c r="A34" t="s">
        <v>283</v>
      </c>
      <c r="B34" s="50" t="s">
        <v>334</v>
      </c>
      <c r="C34" t="s">
        <v>51</v>
      </c>
      <c r="D34" t="s">
        <v>36</v>
      </c>
      <c r="E34" s="90">
        <v>45247</v>
      </c>
      <c r="F34" s="49" t="s">
        <v>140</v>
      </c>
      <c r="G34">
        <v>3</v>
      </c>
      <c r="H34" s="49">
        <v>589192.74</v>
      </c>
      <c r="I34" s="49">
        <v>1963.9757999999999</v>
      </c>
      <c r="J34" s="88">
        <v>3</v>
      </c>
      <c r="K34" s="49">
        <v>598507.26</v>
      </c>
      <c r="L34" s="49">
        <v>0</v>
      </c>
      <c r="M34" s="49">
        <v>-9314.5200000000186</v>
      </c>
      <c r="N34" s="45">
        <v>-1.58089524321023E-2</v>
      </c>
      <c r="O34" s="72">
        <f t="shared" si="0"/>
        <v>41810.246214497893</v>
      </c>
    </row>
    <row r="35" spans="1:15" x14ac:dyDescent="0.25">
      <c r="A35" t="s">
        <v>283</v>
      </c>
      <c r="B35" s="50" t="s">
        <v>334</v>
      </c>
      <c r="C35" t="s">
        <v>35</v>
      </c>
      <c r="D35" t="s">
        <v>38</v>
      </c>
      <c r="E35" s="90">
        <v>45273</v>
      </c>
      <c r="F35" s="49" t="s">
        <v>195</v>
      </c>
      <c r="G35">
        <v>270000</v>
      </c>
      <c r="H35" s="49">
        <v>5124513.5999999996</v>
      </c>
      <c r="I35" s="49">
        <v>18.979679999999998</v>
      </c>
      <c r="J35" s="88">
        <v>270000</v>
      </c>
      <c r="K35" s="49">
        <v>5075478.17</v>
      </c>
      <c r="L35" s="49">
        <v>18.798067296296296</v>
      </c>
      <c r="M35" s="49">
        <v>-2608</v>
      </c>
      <c r="N35" s="45">
        <v>-9.6592592592592598E-3</v>
      </c>
      <c r="O35" s="72">
        <f t="shared" si="0"/>
        <v>39202.246214497893</v>
      </c>
    </row>
    <row r="36" spans="1:15" x14ac:dyDescent="0.25">
      <c r="A36" t="s">
        <v>283</v>
      </c>
      <c r="B36" s="50" t="s">
        <v>334</v>
      </c>
      <c r="C36" t="s">
        <v>197</v>
      </c>
      <c r="D36" t="s">
        <v>38</v>
      </c>
      <c r="E36" s="90">
        <v>45281</v>
      </c>
      <c r="F36" s="49" t="s">
        <v>234</v>
      </c>
      <c r="G36">
        <v>1400</v>
      </c>
      <c r="H36" s="49">
        <v>292937.15000000002</v>
      </c>
      <c r="I36" s="49">
        <v>209.24082142857145</v>
      </c>
      <c r="J36" s="88">
        <v>1400</v>
      </c>
      <c r="K36" s="49">
        <v>303089.15000000002</v>
      </c>
      <c r="L36" s="49">
        <v>216.49225000000001</v>
      </c>
      <c r="M36" s="49">
        <v>-10152</v>
      </c>
      <c r="N36" s="45">
        <v>-3.4655898031369523E-2</v>
      </c>
      <c r="O36" s="72">
        <f t="shared" si="0"/>
        <v>29050.246214497893</v>
      </c>
    </row>
    <row r="37" spans="1:15" x14ac:dyDescent="0.25">
      <c r="A37" t="s">
        <v>283</v>
      </c>
      <c r="B37" s="50" t="s">
        <v>334</v>
      </c>
      <c r="C37" t="s">
        <v>51</v>
      </c>
      <c r="D37" t="s">
        <v>38</v>
      </c>
      <c r="E37" s="90">
        <v>45320</v>
      </c>
      <c r="F37" s="49" t="s">
        <v>134</v>
      </c>
      <c r="G37">
        <v>200</v>
      </c>
      <c r="H37" s="49">
        <v>818464</v>
      </c>
      <c r="I37" s="49">
        <v>4.09232</v>
      </c>
      <c r="J37" s="88">
        <v>200</v>
      </c>
      <c r="K37" s="49">
        <v>820086</v>
      </c>
      <c r="L37" s="49"/>
      <c r="M37" s="49">
        <v>1622</v>
      </c>
      <c r="N37" s="45">
        <v>1.9817609571099034E-3</v>
      </c>
      <c r="O37" s="72">
        <f t="shared" si="0"/>
        <v>30672.246214497893</v>
      </c>
    </row>
    <row r="38" spans="1:15" x14ac:dyDescent="0.25">
      <c r="A38" t="s">
        <v>283</v>
      </c>
      <c r="B38" s="50" t="s">
        <v>334</v>
      </c>
      <c r="C38" t="s">
        <v>51</v>
      </c>
      <c r="D38" t="s">
        <v>38</v>
      </c>
      <c r="E38" s="90">
        <v>45323</v>
      </c>
      <c r="F38" s="49" t="s">
        <v>134</v>
      </c>
      <c r="G38">
        <v>200</v>
      </c>
      <c r="H38" s="49">
        <v>815420</v>
      </c>
      <c r="I38" s="49">
        <v>4.0770999999999997</v>
      </c>
      <c r="J38" s="88">
        <v>200</v>
      </c>
      <c r="K38" s="49">
        <v>778893</v>
      </c>
      <c r="L38" s="49"/>
      <c r="M38" s="49">
        <v>-36527</v>
      </c>
      <c r="N38" s="45">
        <v>-4.4795320203085527E-2</v>
      </c>
      <c r="O38" s="72">
        <f t="shared" si="0"/>
        <v>-5854.7537855021073</v>
      </c>
    </row>
    <row r="39" spans="1:15" x14ac:dyDescent="0.25">
      <c r="A39" t="s">
        <v>283</v>
      </c>
      <c r="B39" s="50" t="s">
        <v>334</v>
      </c>
      <c r="C39" t="s">
        <v>51</v>
      </c>
      <c r="D39" t="s">
        <v>38</v>
      </c>
      <c r="E39" s="90">
        <v>45323</v>
      </c>
      <c r="F39" s="49" t="s">
        <v>52</v>
      </c>
      <c r="G39">
        <v>3</v>
      </c>
      <c r="H39" s="49">
        <v>227077.11</v>
      </c>
      <c r="I39" s="49">
        <v>75.692369999999997</v>
      </c>
      <c r="J39" s="88">
        <v>3</v>
      </c>
      <c r="K39" s="49">
        <v>221752.89</v>
      </c>
      <c r="L39" s="49">
        <v>0</v>
      </c>
      <c r="M39" s="49">
        <v>-5324.2199999999721</v>
      </c>
      <c r="N39" s="45">
        <v>-2.344674899200528E-2</v>
      </c>
      <c r="O39" s="72">
        <f t="shared" si="0"/>
        <v>-11178.973785502079</v>
      </c>
    </row>
    <row r="40" spans="1:15" x14ac:dyDescent="0.25">
      <c r="A40" t="s">
        <v>283</v>
      </c>
      <c r="B40" s="50" t="s">
        <v>334</v>
      </c>
      <c r="C40" t="s">
        <v>35</v>
      </c>
      <c r="D40" t="s">
        <v>38</v>
      </c>
      <c r="E40" s="90">
        <v>45335</v>
      </c>
      <c r="F40" s="49" t="s">
        <v>343</v>
      </c>
      <c r="G40">
        <v>250000</v>
      </c>
      <c r="H40" s="49">
        <v>103525847.09999999</v>
      </c>
      <c r="I40" s="49">
        <v>414.10338839999997</v>
      </c>
      <c r="J40" s="88">
        <v>250000</v>
      </c>
      <c r="K40" s="49">
        <v>102020459.37</v>
      </c>
      <c r="L40" s="49">
        <v>413</v>
      </c>
      <c r="M40" s="49">
        <v>-4185</v>
      </c>
      <c r="N40" s="45">
        <v>-0.01</v>
      </c>
      <c r="O40" s="72">
        <f t="shared" si="0"/>
        <v>-15363.973785502079</v>
      </c>
    </row>
    <row r="41" spans="1:15" x14ac:dyDescent="0.25">
      <c r="A41" t="s">
        <v>283</v>
      </c>
      <c r="B41" s="50" t="s">
        <v>334</v>
      </c>
      <c r="C41" t="s">
        <v>51</v>
      </c>
      <c r="D41" t="s">
        <v>38</v>
      </c>
      <c r="E41" s="90">
        <v>45350</v>
      </c>
      <c r="F41" s="49" t="s">
        <v>134</v>
      </c>
      <c r="G41">
        <v>172</v>
      </c>
      <c r="H41" s="49">
        <v>720442.04</v>
      </c>
      <c r="I41" s="49">
        <v>12.54261</v>
      </c>
      <c r="J41" s="88">
        <v>172</v>
      </c>
      <c r="K41" s="49">
        <v>739987.96</v>
      </c>
      <c r="L41" s="49">
        <v>4.3022555813953485</v>
      </c>
      <c r="M41" s="49">
        <v>19545.919999999925</v>
      </c>
      <c r="N41" s="45">
        <v>2.7130454519283639E-2</v>
      </c>
      <c r="O41" s="72">
        <f t="shared" si="0"/>
        <v>4181.9462144978461</v>
      </c>
    </row>
    <row r="42" spans="1:15" x14ac:dyDescent="0.25">
      <c r="A42" t="s">
        <v>283</v>
      </c>
      <c r="B42" s="50" t="s">
        <v>334</v>
      </c>
      <c r="C42" t="s">
        <v>51</v>
      </c>
      <c r="D42" t="s">
        <v>38</v>
      </c>
      <c r="E42" s="90">
        <v>45345</v>
      </c>
      <c r="F42" s="49" t="s">
        <v>133</v>
      </c>
      <c r="G42">
        <v>33</v>
      </c>
      <c r="H42" s="49">
        <v>142021.41</v>
      </c>
      <c r="I42" s="49">
        <v>43036.790909090909</v>
      </c>
      <c r="J42" s="88">
        <v>33</v>
      </c>
      <c r="K42" s="49">
        <v>169936.49</v>
      </c>
      <c r="L42" s="49">
        <v>51495.906060606059</v>
      </c>
      <c r="M42" s="49">
        <v>27915.079999999987</v>
      </c>
      <c r="N42" s="45">
        <v>0.19655543484605587</v>
      </c>
      <c r="O42" s="72">
        <f t="shared" si="0"/>
        <v>32097.026214497833</v>
      </c>
    </row>
    <row r="43" spans="1:15" x14ac:dyDescent="0.25">
      <c r="B43" s="50"/>
      <c r="D43" t="s">
        <v>38</v>
      </c>
      <c r="E43" s="90">
        <v>45350</v>
      </c>
      <c r="F43" s="49" t="s">
        <v>134</v>
      </c>
      <c r="G43">
        <v>172</v>
      </c>
      <c r="H43" s="49">
        <v>720442.04</v>
      </c>
      <c r="I43" s="49">
        <v>12.54261</v>
      </c>
      <c r="J43" s="88">
        <v>172</v>
      </c>
      <c r="K43" s="49">
        <v>739987.96</v>
      </c>
      <c r="L43" s="49">
        <v>4.3022555813953485</v>
      </c>
      <c r="M43" s="49">
        <v>19545.919999999925</v>
      </c>
      <c r="N43" s="45">
        <v>2.7130454519283639E-2</v>
      </c>
      <c r="O43" s="72">
        <f t="shared" si="0"/>
        <v>51642.946214497759</v>
      </c>
    </row>
    <row r="44" spans="1:15" x14ac:dyDescent="0.25">
      <c r="B44" s="50"/>
      <c r="D44" t="s">
        <v>38</v>
      </c>
      <c r="E44" s="90">
        <v>45351</v>
      </c>
      <c r="F44" s="49" t="s">
        <v>355</v>
      </c>
      <c r="G44">
        <v>8000</v>
      </c>
      <c r="H44" s="49">
        <v>133600</v>
      </c>
      <c r="I44" s="49">
        <v>16.7</v>
      </c>
      <c r="J44" s="88">
        <v>8000</v>
      </c>
      <c r="K44" s="49">
        <v>123681.91</v>
      </c>
      <c r="L44" s="49">
        <v>15.46023875</v>
      </c>
      <c r="M44" s="49">
        <v>-9918.0899999999965</v>
      </c>
      <c r="N44" s="45">
        <v>-7.4237200598802372E-2</v>
      </c>
      <c r="O44" s="72">
        <f t="shared" si="0"/>
        <v>41724.856214497762</v>
      </c>
    </row>
    <row r="45" spans="1:15" x14ac:dyDescent="0.25">
      <c r="B45" s="50"/>
      <c r="D45" t="s">
        <v>38</v>
      </c>
      <c r="E45" s="90">
        <v>45359</v>
      </c>
      <c r="F45" s="49" t="s">
        <v>361</v>
      </c>
      <c r="G45">
        <v>1100</v>
      </c>
      <c r="H45" s="49">
        <v>112703.85</v>
      </c>
      <c r="I45" s="49">
        <v>102.45804545454546</v>
      </c>
      <c r="J45" s="88">
        <v>1100</v>
      </c>
      <c r="K45" s="49">
        <v>107895</v>
      </c>
      <c r="L45" s="49">
        <v>98.086363636363643</v>
      </c>
      <c r="M45" s="49">
        <v>-4808.8500000000058</v>
      </c>
      <c r="N45" s="45">
        <v>-4.2668018883117172E-2</v>
      </c>
      <c r="O45" s="72">
        <f t="shared" si="0"/>
        <v>36916.006214497756</v>
      </c>
    </row>
    <row r="46" spans="1:15" x14ac:dyDescent="0.25">
      <c r="B46" s="50"/>
      <c r="D46" t="s">
        <v>36</v>
      </c>
      <c r="E46" s="90">
        <v>45365</v>
      </c>
      <c r="F46" s="49" t="s">
        <v>52</v>
      </c>
      <c r="G46">
        <v>6</v>
      </c>
      <c r="H46" s="49">
        <v>485760</v>
      </c>
      <c r="I46" s="49">
        <v>80.959999999999994</v>
      </c>
      <c r="J46" s="88">
        <v>6</v>
      </c>
      <c r="K46" s="49">
        <v>483180</v>
      </c>
      <c r="L46" s="49">
        <v>1610.6000000000001</v>
      </c>
      <c r="M46" s="49">
        <v>2580</v>
      </c>
      <c r="N46" s="45">
        <v>5.311264822134387E-3</v>
      </c>
      <c r="O46" s="72">
        <f t="shared" si="0"/>
        <v>39496.006214497756</v>
      </c>
    </row>
    <row r="47" spans="1:15" x14ac:dyDescent="0.25">
      <c r="B47" s="50"/>
      <c r="D47" t="s">
        <v>38</v>
      </c>
      <c r="E47" s="90">
        <v>45366</v>
      </c>
      <c r="F47" s="49" t="s">
        <v>371</v>
      </c>
      <c r="G47">
        <v>2650</v>
      </c>
      <c r="H47" s="49">
        <v>114631.31</v>
      </c>
      <c r="I47" s="49">
        <v>43.257098113207547</v>
      </c>
      <c r="J47" s="88">
        <v>2650</v>
      </c>
      <c r="K47" s="49">
        <v>111845.88</v>
      </c>
      <c r="L47" s="49">
        <v>42.205992452830188</v>
      </c>
      <c r="M47" s="49">
        <v>-2785.429999999993</v>
      </c>
      <c r="N47" s="45">
        <v>-2.4299033135013401E-2</v>
      </c>
      <c r="O47" s="72">
        <f t="shared" si="0"/>
        <v>36710.576214497763</v>
      </c>
    </row>
    <row r="48" spans="1:15" x14ac:dyDescent="0.25">
      <c r="B48" s="50"/>
      <c r="D48" t="s">
        <v>38</v>
      </c>
      <c r="E48" s="90">
        <v>45370</v>
      </c>
      <c r="F48" s="49" t="s">
        <v>376</v>
      </c>
      <c r="G48">
        <v>300</v>
      </c>
      <c r="H48" s="49">
        <v>49200</v>
      </c>
      <c r="I48" s="49">
        <v>164</v>
      </c>
      <c r="J48" s="88">
        <v>300</v>
      </c>
      <c r="K48" s="49">
        <v>43996.1</v>
      </c>
      <c r="L48" s="49">
        <v>146.65366666666665</v>
      </c>
      <c r="M48" s="49">
        <v>-5203.9000000000015</v>
      </c>
      <c r="N48" s="45">
        <v>-0.10577032520325207</v>
      </c>
      <c r="O48" s="72">
        <f t="shared" si="0"/>
        <v>31506.676214497762</v>
      </c>
    </row>
    <row r="49" spans="2:15" x14ac:dyDescent="0.25">
      <c r="B49" s="50"/>
      <c r="D49" t="s">
        <v>38</v>
      </c>
      <c r="E49" s="90">
        <v>45386</v>
      </c>
      <c r="F49" s="49" t="s">
        <v>201</v>
      </c>
      <c r="G49">
        <v>3100</v>
      </c>
      <c r="H49" s="49">
        <v>356050.5</v>
      </c>
      <c r="I49" s="49">
        <v>114.855</v>
      </c>
      <c r="J49" s="88">
        <v>3100</v>
      </c>
      <c r="K49" s="49">
        <v>398756.8</v>
      </c>
      <c r="L49" s="49">
        <v>128.6312258064516</v>
      </c>
      <c r="M49" s="49">
        <v>42706.299999999988</v>
      </c>
      <c r="N49" s="45">
        <v>0.11994450225459588</v>
      </c>
      <c r="O49" s="72">
        <f t="shared" si="0"/>
        <v>74212.976214497758</v>
      </c>
    </row>
    <row r="50" spans="2:15" x14ac:dyDescent="0.25">
      <c r="B50" s="50"/>
      <c r="D50" t="s">
        <v>38</v>
      </c>
      <c r="E50" s="90">
        <v>45384</v>
      </c>
      <c r="F50" s="49" t="s">
        <v>383</v>
      </c>
      <c r="G50">
        <v>380</v>
      </c>
      <c r="H50" s="49">
        <v>121628.5</v>
      </c>
      <c r="I50" s="49">
        <v>320.07499999999999</v>
      </c>
      <c r="J50" s="88">
        <v>380</v>
      </c>
      <c r="K50" s="49">
        <v>117219.5</v>
      </c>
      <c r="L50" s="49">
        <v>308.47236842105264</v>
      </c>
      <c r="M50" s="49">
        <v>-4409</v>
      </c>
      <c r="N50" s="45">
        <v>-3.6249727654291554E-2</v>
      </c>
      <c r="O50" s="72">
        <f t="shared" si="0"/>
        <v>69803.976214497758</v>
      </c>
    </row>
    <row r="51" spans="2:15" x14ac:dyDescent="0.25">
      <c r="B51" s="50"/>
      <c r="D51" t="s">
        <v>38</v>
      </c>
      <c r="E51" s="90">
        <v>45383</v>
      </c>
      <c r="F51" s="49" t="s">
        <v>379</v>
      </c>
      <c r="G51">
        <v>500</v>
      </c>
      <c r="H51" s="49">
        <v>386250</v>
      </c>
      <c r="I51" s="49">
        <v>772.5</v>
      </c>
      <c r="J51" s="88">
        <v>500</v>
      </c>
      <c r="K51" s="49">
        <v>378425</v>
      </c>
      <c r="L51" s="49">
        <v>756.85</v>
      </c>
      <c r="M51" s="49">
        <v>-7825</v>
      </c>
      <c r="N51" s="45">
        <v>-2.0258899676375404E-2</v>
      </c>
      <c r="O51" s="72">
        <f t="shared" si="0"/>
        <v>61978.976214497758</v>
      </c>
    </row>
    <row r="52" spans="2:15" x14ac:dyDescent="0.25">
      <c r="B52" s="50"/>
      <c r="D52" t="s">
        <v>38</v>
      </c>
      <c r="E52" s="90">
        <v>45386</v>
      </c>
      <c r="F52" s="49" t="s">
        <v>386</v>
      </c>
      <c r="G52">
        <v>13000</v>
      </c>
      <c r="H52" s="49">
        <v>198935.57</v>
      </c>
      <c r="I52" s="49">
        <v>15.302736153846155</v>
      </c>
      <c r="J52" s="88">
        <v>13000</v>
      </c>
      <c r="K52" s="49">
        <v>189197.68</v>
      </c>
      <c r="L52" s="49">
        <v>14.553667692307691</v>
      </c>
      <c r="M52" s="49">
        <v>-9737.890000000014</v>
      </c>
      <c r="N52" s="45">
        <v>-4.8949969077928167E-2</v>
      </c>
      <c r="O52" s="72">
        <f t="shared" si="0"/>
        <v>52241.086214497744</v>
      </c>
    </row>
    <row r="53" spans="2:15" x14ac:dyDescent="0.25">
      <c r="B53" s="50"/>
      <c r="D53" t="s">
        <v>38</v>
      </c>
      <c r="E53" s="90">
        <v>45392</v>
      </c>
      <c r="F53" s="49" t="s">
        <v>119</v>
      </c>
      <c r="G53">
        <v>170</v>
      </c>
      <c r="H53" s="49">
        <v>152256.9</v>
      </c>
      <c r="I53" s="49">
        <v>895.62882352941176</v>
      </c>
      <c r="J53" s="88">
        <v>170</v>
      </c>
      <c r="K53" s="49">
        <v>147114.12</v>
      </c>
      <c r="L53" s="49">
        <v>865.37717647058821</v>
      </c>
      <c r="M53" s="49">
        <v>-5142.7799999999988</v>
      </c>
      <c r="N53" s="45">
        <v>-3.3776991387582431E-2</v>
      </c>
      <c r="O53" s="72">
        <f t="shared" si="0"/>
        <v>47098.306214497745</v>
      </c>
    </row>
    <row r="54" spans="2:15" x14ac:dyDescent="0.25">
      <c r="B54" s="50"/>
      <c r="D54" t="s">
        <v>38</v>
      </c>
      <c r="E54" s="90">
        <v>45397</v>
      </c>
      <c r="F54" s="49" t="s">
        <v>387</v>
      </c>
      <c r="G54">
        <v>10000</v>
      </c>
      <c r="H54" s="49">
        <v>248500</v>
      </c>
      <c r="I54" s="49">
        <v>24.85</v>
      </c>
      <c r="J54" s="88">
        <v>10000</v>
      </c>
      <c r="K54" s="49">
        <v>245143.64</v>
      </c>
      <c r="L54" s="49">
        <v>24.514364</v>
      </c>
      <c r="M54" s="49">
        <v>-3356.359999999986</v>
      </c>
      <c r="N54" s="45">
        <v>-1.3506478873239381E-2</v>
      </c>
      <c r="O54" s="72">
        <f t="shared" si="0"/>
        <v>43741.946214497759</v>
      </c>
    </row>
    <row r="55" spans="2:15" x14ac:dyDescent="0.25">
      <c r="B55" s="50"/>
      <c r="D55" t="s">
        <v>38</v>
      </c>
      <c r="E55" s="90">
        <v>45397</v>
      </c>
      <c r="F55" s="49" t="s">
        <v>388</v>
      </c>
      <c r="G55">
        <v>700</v>
      </c>
      <c r="H55" s="49">
        <v>54180</v>
      </c>
      <c r="I55" s="49">
        <v>77.400000000000006</v>
      </c>
      <c r="J55" s="88">
        <v>700</v>
      </c>
      <c r="K55" s="49">
        <v>50203</v>
      </c>
      <c r="L55" s="49">
        <v>71.718571428571423</v>
      </c>
      <c r="M55" s="49">
        <v>-3977</v>
      </c>
      <c r="N55" s="45">
        <v>-7.3403469915097816E-2</v>
      </c>
      <c r="O55" s="72">
        <f t="shared" si="0"/>
        <v>39764.946214497759</v>
      </c>
    </row>
    <row r="56" spans="2:15" x14ac:dyDescent="0.25">
      <c r="B56" s="50"/>
      <c r="D56" t="s">
        <v>38</v>
      </c>
      <c r="E56" s="90">
        <v>45397</v>
      </c>
      <c r="F56" s="49" t="s">
        <v>389</v>
      </c>
      <c r="G56">
        <v>2500</v>
      </c>
      <c r="H56" s="49">
        <v>41650</v>
      </c>
      <c r="I56" s="49">
        <v>16.66</v>
      </c>
      <c r="J56" s="88">
        <v>2500</v>
      </c>
      <c r="K56" s="49">
        <v>36927.269999999997</v>
      </c>
      <c r="L56" s="49">
        <v>14.770907999999999</v>
      </c>
      <c r="M56" s="49">
        <v>-4722.7300000000032</v>
      </c>
      <c r="N56" s="45">
        <v>-0.11339087635054029</v>
      </c>
      <c r="O56" s="72">
        <f t="shared" si="0"/>
        <v>35042.216214497756</v>
      </c>
    </row>
  </sheetData>
  <conditionalFormatting sqref="K57:K1048576">
    <cfRule type="colorScale" priority="16">
      <colorScale>
        <cfvo type="min"/>
        <cfvo type="percentile" val="50"/>
        <cfvo type="max"/>
        <color rgb="FFF8696B"/>
        <color rgb="FFFFEB84"/>
        <color rgb="FF63BE7B"/>
      </colorScale>
    </cfRule>
  </conditionalFormatting>
  <conditionalFormatting sqref="L1:O1">
    <cfRule type="colorScale" priority="12">
      <colorScale>
        <cfvo type="min"/>
        <cfvo type="percentile" val="50"/>
        <cfvo type="max"/>
        <color rgb="FFF8696B"/>
        <color rgb="FFFFEB84"/>
        <color rgb="FF63BE7B"/>
      </colorScale>
    </cfRule>
  </conditionalFormatting>
  <conditionalFormatting sqref="M1">
    <cfRule type="colorScale" priority="10">
      <colorScale>
        <cfvo type="min"/>
        <cfvo type="percentile" val="50"/>
        <cfvo type="max"/>
        <color rgb="FFF8696B"/>
        <color rgb="FFFFEB84"/>
        <color rgb="FF63BE7B"/>
      </colorScale>
    </cfRule>
  </conditionalFormatting>
  <conditionalFormatting sqref="M2:M56">
    <cfRule type="colorScale" priority="3">
      <colorScale>
        <cfvo type="min"/>
        <cfvo type="percentile" val="50"/>
        <cfvo type="max"/>
        <color rgb="FFF8696B"/>
        <color rgb="FFFFEB84"/>
        <color rgb="FF63BE7B"/>
      </colorScale>
    </cfRule>
  </conditionalFormatting>
  <conditionalFormatting sqref="N1">
    <cfRule type="colorScale" priority="11">
      <colorScale>
        <cfvo type="min"/>
        <cfvo type="percentile" val="50"/>
        <cfvo type="max"/>
        <color rgb="FFF8696B"/>
        <color rgb="FFFFEB84"/>
        <color rgb="FF63BE7B"/>
      </colorScale>
    </cfRule>
  </conditionalFormatting>
  <conditionalFormatting sqref="N2:N56">
    <cfRule type="colorScale" priority="4">
      <colorScale>
        <cfvo type="min"/>
        <cfvo type="percentile" val="50"/>
        <cfvo type="max"/>
        <color rgb="FFF8696B"/>
        <color rgb="FFFFEB84"/>
        <color rgb="FF63BE7B"/>
      </colorScale>
    </cfRule>
  </conditionalFormatting>
  <conditionalFormatting sqref="O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O2:O56">
    <cfRule type="colorScale" priority="19">
      <colorScale>
        <cfvo type="min"/>
        <cfvo type="percentile" val="50"/>
        <cfvo type="max"/>
        <color rgb="FFF8696B"/>
        <color rgb="FFFFEB84"/>
        <color rgb="FF63BE7B"/>
      </colorScale>
    </cfRule>
  </conditionalFormatting>
  <conditionalFormatting sqref="P1">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P4">
    <cfRule type="colorScale" priority="13">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3841-BDAC-48D3-A992-1E5B64409395}">
  <dimension ref="A1:X80"/>
  <sheetViews>
    <sheetView topLeftCell="A43" workbookViewId="0">
      <selection activeCell="J70" sqref="J70"/>
    </sheetView>
  </sheetViews>
  <sheetFormatPr defaultRowHeight="15" x14ac:dyDescent="0.25"/>
  <cols>
    <col min="1" max="1" width="10.5703125" bestFit="1" customWidth="1"/>
    <col min="3" max="3" width="9.42578125" style="50" bestFit="1" customWidth="1"/>
    <col min="6" max="6" width="14.28515625" style="71" bestFit="1" customWidth="1"/>
    <col min="7" max="7" width="12.140625" style="71" bestFit="1" customWidth="1"/>
    <col min="9" max="9" width="14.28515625" style="49" bestFit="1" customWidth="1"/>
    <col min="10" max="10" width="11.5703125" style="49" bestFit="1" customWidth="1"/>
    <col min="11" max="11" width="12.28515625" style="49" bestFit="1" customWidth="1"/>
    <col min="12" max="12" width="9.140625" style="54"/>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2.28515625" bestFit="1" customWidth="1"/>
  </cols>
  <sheetData>
    <row r="1" spans="1:24" x14ac:dyDescent="0.25">
      <c r="A1" s="20" t="s">
        <v>286</v>
      </c>
      <c r="B1" s="20" t="s">
        <v>165</v>
      </c>
      <c r="C1" s="69" t="s">
        <v>142</v>
      </c>
      <c r="D1" s="20" t="s">
        <v>10</v>
      </c>
      <c r="E1" s="20" t="s">
        <v>143</v>
      </c>
      <c r="F1" s="70" t="s">
        <v>144</v>
      </c>
      <c r="G1" s="70" t="s">
        <v>26</v>
      </c>
      <c r="H1" s="20" t="s">
        <v>143</v>
      </c>
      <c r="I1" s="48" t="s">
        <v>145</v>
      </c>
      <c r="J1" s="48" t="s">
        <v>26</v>
      </c>
      <c r="K1" s="55" t="s">
        <v>30</v>
      </c>
      <c r="L1" s="53" t="s">
        <v>169</v>
      </c>
      <c r="O1" s="46" t="s">
        <v>158</v>
      </c>
      <c r="P1" s="46" t="s">
        <v>159</v>
      </c>
      <c r="Q1" s="46" t="s">
        <v>160</v>
      </c>
      <c r="R1" s="46" t="s">
        <v>163</v>
      </c>
      <c r="S1" s="46" t="s">
        <v>164</v>
      </c>
      <c r="T1" s="46" t="s">
        <v>161</v>
      </c>
      <c r="U1" s="56" t="s">
        <v>258</v>
      </c>
      <c r="V1" s="55" t="s">
        <v>259</v>
      </c>
      <c r="W1" s="46" t="s">
        <v>260</v>
      </c>
      <c r="X1" s="46" t="s">
        <v>162</v>
      </c>
    </row>
    <row r="2" spans="1:24" x14ac:dyDescent="0.25">
      <c r="A2" t="s">
        <v>51</v>
      </c>
      <c r="B2" t="s">
        <v>38</v>
      </c>
      <c r="C2" s="50">
        <v>45041</v>
      </c>
      <c r="D2" t="s">
        <v>130</v>
      </c>
      <c r="E2">
        <v>25</v>
      </c>
      <c r="F2" s="71">
        <v>5162555</v>
      </c>
      <c r="G2" s="71">
        <v>4130.0439999999999</v>
      </c>
      <c r="H2">
        <v>25</v>
      </c>
      <c r="I2" s="49">
        <v>5152132.5</v>
      </c>
      <c r="J2" s="49">
        <v>4121.7060000000001</v>
      </c>
      <c r="K2" s="49">
        <v>-10422.5</v>
      </c>
      <c r="L2" s="54">
        <v>-2.0188646900613501E-3</v>
      </c>
      <c r="O2" s="63">
        <f>COUNTA(K$2:K$1048576)</f>
        <v>79</v>
      </c>
      <c r="P2" s="64">
        <f>COUNTIF(K$2:K$1048576,"&gt;0")/O2</f>
        <v>0.29113924050632911</v>
      </c>
      <c r="Q2" s="64">
        <f>COUNTIF(K$2:K$1048576,"&lt;0")/COUNTA(K$2:K$1048576)</f>
        <v>0.70886075949367089</v>
      </c>
      <c r="R2" s="64">
        <f>AVERAGEIF(L:L,"&gt;0")</f>
        <v>3.478783516748879E-3</v>
      </c>
      <c r="S2" s="64">
        <f>AVERAGEIF(L:L,"&lt;0")</f>
        <v>-1.8599625028110013E-3</v>
      </c>
      <c r="T2" s="65">
        <f>R2/ABS(S2)</f>
        <v>1.8703514245536232</v>
      </c>
      <c r="U2" s="66">
        <f>AVERAGEIF(K:K,"&gt;0")</f>
        <v>6415.1621739130278</v>
      </c>
      <c r="V2" s="68">
        <f>AVERAGEIF(K:K,"&lt;0")</f>
        <v>-3910.1553571428731</v>
      </c>
      <c r="W2" s="65">
        <f>U2/ABS(V2)</f>
        <v>1.6406412502751677</v>
      </c>
      <c r="X2" s="67">
        <f>SUM(K:K)</f>
        <v>-71419.970000001253</v>
      </c>
    </row>
    <row r="3" spans="1:24" x14ac:dyDescent="0.25">
      <c r="A3" t="s">
        <v>51</v>
      </c>
      <c r="B3" t="s">
        <v>38</v>
      </c>
      <c r="C3" s="50">
        <v>45041</v>
      </c>
      <c r="D3" t="s">
        <v>130</v>
      </c>
      <c r="E3">
        <v>25</v>
      </c>
      <c r="F3" s="71">
        <v>5137555</v>
      </c>
      <c r="G3" s="71">
        <v>4110.0439999999999</v>
      </c>
      <c r="H3">
        <v>25</v>
      </c>
      <c r="I3" s="49">
        <v>5127445</v>
      </c>
      <c r="J3" s="49">
        <v>4101.9560000000001</v>
      </c>
      <c r="K3" s="49">
        <v>-10110</v>
      </c>
      <c r="L3" s="54">
        <v>-1.9678621445414547E-3</v>
      </c>
    </row>
    <row r="4" spans="1:24" x14ac:dyDescent="0.25">
      <c r="A4" t="s">
        <v>51</v>
      </c>
      <c r="B4" t="s">
        <v>36</v>
      </c>
      <c r="C4" s="50">
        <v>45008</v>
      </c>
      <c r="D4" t="s">
        <v>130</v>
      </c>
      <c r="E4">
        <v>20</v>
      </c>
      <c r="F4" s="71">
        <v>4016181.5</v>
      </c>
      <c r="G4" s="71">
        <v>4016.1815000000001</v>
      </c>
      <c r="H4">
        <v>20</v>
      </c>
      <c r="I4" s="49">
        <v>4007831</v>
      </c>
      <c r="J4" s="49">
        <v>4007.8309999999997</v>
      </c>
      <c r="K4" s="49">
        <v>-8350.5</v>
      </c>
      <c r="L4" s="54">
        <v>-2.0792138004720319E-3</v>
      </c>
    </row>
    <row r="5" spans="1:24" x14ac:dyDescent="0.25">
      <c r="A5" t="s">
        <v>51</v>
      </c>
      <c r="B5" t="s">
        <v>36</v>
      </c>
      <c r="C5" s="50">
        <v>45016</v>
      </c>
      <c r="D5" t="s">
        <v>130</v>
      </c>
      <c r="E5">
        <v>22</v>
      </c>
      <c r="F5" s="71">
        <v>4520948.4000000004</v>
      </c>
      <c r="G5" s="71">
        <v>4109.9530909090909</v>
      </c>
      <c r="H5">
        <v>22</v>
      </c>
      <c r="I5" s="49">
        <v>4514001.5999999996</v>
      </c>
      <c r="J5" s="49">
        <v>4103.6378181818181</v>
      </c>
      <c r="K5" s="49">
        <v>-6946.8000000007451</v>
      </c>
      <c r="L5" s="54">
        <v>-1.5365802449769134E-3</v>
      </c>
    </row>
    <row r="6" spans="1:24" x14ac:dyDescent="0.25">
      <c r="A6" t="s">
        <v>51</v>
      </c>
      <c r="B6" t="s">
        <v>36</v>
      </c>
      <c r="C6" s="50">
        <v>45005</v>
      </c>
      <c r="D6" t="s">
        <v>130</v>
      </c>
      <c r="E6">
        <v>15</v>
      </c>
      <c r="F6" s="71">
        <v>2990470.5</v>
      </c>
      <c r="G6" s="71">
        <v>3987.2940000000003</v>
      </c>
      <c r="H6">
        <v>15</v>
      </c>
      <c r="I6" s="49">
        <v>2983654.5</v>
      </c>
      <c r="J6" s="49">
        <v>3978.2059999999997</v>
      </c>
      <c r="K6" s="49">
        <v>-6816</v>
      </c>
      <c r="L6" s="54">
        <v>-2.2792400058788357E-3</v>
      </c>
    </row>
    <row r="7" spans="1:24" x14ac:dyDescent="0.25">
      <c r="A7" t="s">
        <v>51</v>
      </c>
      <c r="B7" t="s">
        <v>38</v>
      </c>
      <c r="C7" s="50">
        <v>45002</v>
      </c>
      <c r="D7" t="s">
        <v>263</v>
      </c>
      <c r="E7">
        <v>150</v>
      </c>
      <c r="F7" s="71">
        <v>2967655.5</v>
      </c>
      <c r="G7" s="71">
        <v>3956.8739999999998</v>
      </c>
      <c r="H7">
        <v>150</v>
      </c>
      <c r="I7" s="49">
        <v>2961109.5</v>
      </c>
      <c r="J7" s="49">
        <v>3948.1460000000002</v>
      </c>
      <c r="K7" s="49">
        <v>-6546</v>
      </c>
      <c r="L7" s="54">
        <v>-2.20578163469436E-3</v>
      </c>
    </row>
    <row r="8" spans="1:24" x14ac:dyDescent="0.25">
      <c r="A8" t="s">
        <v>51</v>
      </c>
      <c r="B8" t="s">
        <v>36</v>
      </c>
      <c r="C8" s="50">
        <v>45019</v>
      </c>
      <c r="D8" t="s">
        <v>130</v>
      </c>
      <c r="E8">
        <v>15</v>
      </c>
      <c r="F8" s="71">
        <v>3113845.5</v>
      </c>
      <c r="G8" s="71">
        <v>4151.7939999999999</v>
      </c>
      <c r="H8">
        <v>15</v>
      </c>
      <c r="I8" s="49">
        <v>3107592</v>
      </c>
      <c r="J8" s="49">
        <v>4143.4560000000001</v>
      </c>
      <c r="K8" s="49">
        <v>-6253.5</v>
      </c>
      <c r="L8" s="54">
        <v>-2.0082884651790862E-3</v>
      </c>
    </row>
    <row r="9" spans="1:24" x14ac:dyDescent="0.25">
      <c r="A9" t="s">
        <v>51</v>
      </c>
      <c r="B9" t="s">
        <v>38</v>
      </c>
      <c r="C9" s="50">
        <v>45175</v>
      </c>
      <c r="D9" t="s">
        <v>130</v>
      </c>
      <c r="E9">
        <v>12</v>
      </c>
      <c r="F9" s="71">
        <v>2688776.4</v>
      </c>
      <c r="G9" s="71">
        <v>4481.2939999999999</v>
      </c>
      <c r="H9">
        <v>12</v>
      </c>
      <c r="I9" s="49">
        <v>2682723.6</v>
      </c>
      <c r="J9" s="49">
        <v>4471.2060000000001</v>
      </c>
      <c r="K9" s="49">
        <v>-6096.7999999998137</v>
      </c>
      <c r="L9" s="54">
        <v>-2.2511354979163917E-3</v>
      </c>
    </row>
    <row r="10" spans="1:24" x14ac:dyDescent="0.25">
      <c r="A10" t="s">
        <v>51</v>
      </c>
      <c r="B10" t="s">
        <v>36</v>
      </c>
      <c r="C10" s="50">
        <v>44987</v>
      </c>
      <c r="D10" t="s">
        <v>130</v>
      </c>
      <c r="E10">
        <v>15</v>
      </c>
      <c r="F10" s="71">
        <v>2982033</v>
      </c>
      <c r="G10" s="71">
        <v>3976.0440000000003</v>
      </c>
      <c r="H10">
        <v>15</v>
      </c>
      <c r="I10" s="49">
        <v>2975967</v>
      </c>
      <c r="J10" s="49">
        <v>3967.9559999999997</v>
      </c>
      <c r="K10" s="49">
        <v>-6066</v>
      </c>
      <c r="L10" s="54">
        <v>-2.034182720312111E-3</v>
      </c>
    </row>
    <row r="11" spans="1:24" x14ac:dyDescent="0.25">
      <c r="A11" t="s">
        <v>51</v>
      </c>
      <c r="B11" t="s">
        <v>36</v>
      </c>
      <c r="C11" s="50">
        <v>45001</v>
      </c>
      <c r="D11" t="s">
        <v>130</v>
      </c>
      <c r="E11">
        <v>15</v>
      </c>
      <c r="F11" s="71">
        <v>2994783</v>
      </c>
      <c r="G11" s="71">
        <v>3993.0440000000003</v>
      </c>
      <c r="H11">
        <v>15</v>
      </c>
      <c r="I11" s="49">
        <v>2988717</v>
      </c>
      <c r="J11" s="49">
        <v>3984.9559999999997</v>
      </c>
      <c r="K11" s="49">
        <v>-6066</v>
      </c>
      <c r="L11" s="54">
        <v>-2.0255223834249377E-3</v>
      </c>
    </row>
    <row r="12" spans="1:24" x14ac:dyDescent="0.25">
      <c r="A12" t="s">
        <v>51</v>
      </c>
      <c r="B12" t="s">
        <v>36</v>
      </c>
      <c r="C12" s="50">
        <v>45014</v>
      </c>
      <c r="D12" t="s">
        <v>130</v>
      </c>
      <c r="E12">
        <v>15</v>
      </c>
      <c r="F12" s="71">
        <v>3022908</v>
      </c>
      <c r="G12" s="71">
        <v>4030.5440000000003</v>
      </c>
      <c r="H12">
        <v>15</v>
      </c>
      <c r="I12" s="49">
        <v>3016842</v>
      </c>
      <c r="J12" s="49">
        <v>4022.4559999999997</v>
      </c>
      <c r="K12" s="49">
        <v>-6066</v>
      </c>
      <c r="L12" s="54">
        <v>-2.0066770143188232E-3</v>
      </c>
    </row>
    <row r="13" spans="1:24" x14ac:dyDescent="0.25">
      <c r="A13" t="s">
        <v>51</v>
      </c>
      <c r="B13" t="s">
        <v>36</v>
      </c>
      <c r="C13" s="50">
        <v>44987</v>
      </c>
      <c r="D13" t="s">
        <v>130</v>
      </c>
      <c r="E13">
        <v>12</v>
      </c>
      <c r="F13" s="71">
        <v>2394626.4</v>
      </c>
      <c r="G13" s="71">
        <v>3991.0439999999999</v>
      </c>
      <c r="H13">
        <v>12</v>
      </c>
      <c r="I13" s="49">
        <v>2388723.6</v>
      </c>
      <c r="J13" s="49">
        <v>3981.2060000000001</v>
      </c>
      <c r="K13" s="49">
        <v>-5902.7999999998137</v>
      </c>
      <c r="L13" s="54">
        <v>-2.4650191779393409E-3</v>
      </c>
    </row>
    <row r="14" spans="1:24" x14ac:dyDescent="0.25">
      <c r="A14" t="s">
        <v>51</v>
      </c>
      <c r="B14" t="s">
        <v>36</v>
      </c>
      <c r="C14" s="50">
        <v>45001</v>
      </c>
      <c r="D14" t="s">
        <v>130</v>
      </c>
      <c r="E14">
        <v>15</v>
      </c>
      <c r="F14" s="71">
        <v>2978095.5</v>
      </c>
      <c r="G14" s="71">
        <v>3970.7940000000003</v>
      </c>
      <c r="H14">
        <v>15</v>
      </c>
      <c r="I14" s="49">
        <v>2972217</v>
      </c>
      <c r="J14" s="49">
        <v>3962.9559999999997</v>
      </c>
      <c r="K14" s="49">
        <v>-5878.5</v>
      </c>
      <c r="L14" s="54">
        <v>-1.9739125222816008E-3</v>
      </c>
    </row>
    <row r="15" spans="1:24" x14ac:dyDescent="0.25">
      <c r="A15" t="s">
        <v>51</v>
      </c>
      <c r="B15" t="s">
        <v>38</v>
      </c>
      <c r="C15" s="50">
        <v>45020</v>
      </c>
      <c r="D15" t="s">
        <v>130</v>
      </c>
      <c r="E15">
        <v>15</v>
      </c>
      <c r="F15" s="71">
        <v>3097908</v>
      </c>
      <c r="G15" s="71">
        <v>4130.5439999999999</v>
      </c>
      <c r="H15">
        <v>15</v>
      </c>
      <c r="I15" s="49">
        <v>3092029.5</v>
      </c>
      <c r="J15" s="49">
        <v>4122.7060000000001</v>
      </c>
      <c r="K15" s="49">
        <v>-5878.5</v>
      </c>
      <c r="L15" s="54">
        <v>-1.8975708768626453E-3</v>
      </c>
    </row>
    <row r="16" spans="1:24" x14ac:dyDescent="0.25">
      <c r="A16" t="s">
        <v>51</v>
      </c>
      <c r="B16" t="s">
        <v>38</v>
      </c>
      <c r="C16" s="50">
        <v>45021</v>
      </c>
      <c r="D16" t="s">
        <v>130</v>
      </c>
      <c r="E16">
        <v>15</v>
      </c>
      <c r="F16" s="71">
        <v>3082533</v>
      </c>
      <c r="G16" s="71">
        <v>4110.0439999999999</v>
      </c>
      <c r="H16">
        <v>15</v>
      </c>
      <c r="I16" s="49">
        <v>3076654.5</v>
      </c>
      <c r="J16" s="49">
        <v>4102.2060000000001</v>
      </c>
      <c r="K16" s="49">
        <v>-5878.5</v>
      </c>
      <c r="L16" s="54">
        <v>-1.9070355451181881E-3</v>
      </c>
    </row>
    <row r="17" spans="1:12" x14ac:dyDescent="0.25">
      <c r="A17" t="s">
        <v>51</v>
      </c>
      <c r="B17" t="s">
        <v>36</v>
      </c>
      <c r="C17" s="50">
        <v>45044</v>
      </c>
      <c r="D17" t="s">
        <v>130</v>
      </c>
      <c r="E17">
        <v>15</v>
      </c>
      <c r="F17" s="71">
        <v>3129408</v>
      </c>
      <c r="G17" s="71">
        <v>4172.5439999999999</v>
      </c>
      <c r="H17">
        <v>15</v>
      </c>
      <c r="I17" s="49">
        <v>3123717</v>
      </c>
      <c r="J17" s="49">
        <v>4164.9560000000001</v>
      </c>
      <c r="K17" s="49">
        <v>-5691</v>
      </c>
      <c r="L17" s="54">
        <v>-1.8185548193140055E-3</v>
      </c>
    </row>
    <row r="18" spans="1:12" x14ac:dyDescent="0.25">
      <c r="A18" t="s">
        <v>51</v>
      </c>
      <c r="B18" t="s">
        <v>36</v>
      </c>
      <c r="C18" s="50">
        <v>44999</v>
      </c>
      <c r="D18" t="s">
        <v>130</v>
      </c>
      <c r="E18">
        <v>15</v>
      </c>
      <c r="F18" s="71">
        <v>2963845.5</v>
      </c>
      <c r="G18" s="71">
        <v>3951.7940000000003</v>
      </c>
      <c r="H18">
        <v>15</v>
      </c>
      <c r="I18" s="49">
        <v>2958967</v>
      </c>
      <c r="J18" s="49">
        <v>3945.2893333333332</v>
      </c>
      <c r="K18" s="49">
        <v>-4878.5</v>
      </c>
      <c r="L18" s="54">
        <v>-1.6460034775768074E-3</v>
      </c>
    </row>
    <row r="19" spans="1:12" x14ac:dyDescent="0.25">
      <c r="A19" t="s">
        <v>51</v>
      </c>
      <c r="B19" t="s">
        <v>36</v>
      </c>
      <c r="C19" s="50">
        <v>45009</v>
      </c>
      <c r="D19" t="s">
        <v>130</v>
      </c>
      <c r="E19">
        <v>10</v>
      </c>
      <c r="F19" s="71">
        <v>2003147</v>
      </c>
      <c r="G19" s="71">
        <v>4006.2940000000003</v>
      </c>
      <c r="H19">
        <v>10</v>
      </c>
      <c r="I19" s="49">
        <v>1998978</v>
      </c>
      <c r="J19" s="49">
        <v>3997.9559999999997</v>
      </c>
      <c r="K19" s="49">
        <v>-4169</v>
      </c>
      <c r="L19" s="54">
        <v>-2.0812251921602976E-3</v>
      </c>
    </row>
    <row r="20" spans="1:12" x14ac:dyDescent="0.25">
      <c r="A20" t="s">
        <v>51</v>
      </c>
      <c r="B20" t="s">
        <v>38</v>
      </c>
      <c r="C20" s="50">
        <v>45020</v>
      </c>
      <c r="D20" t="s">
        <v>130</v>
      </c>
      <c r="E20">
        <v>10</v>
      </c>
      <c r="F20" s="71">
        <v>2073772</v>
      </c>
      <c r="G20" s="71">
        <v>4147.5439999999999</v>
      </c>
      <c r="H20">
        <v>10</v>
      </c>
      <c r="I20" s="49">
        <v>2069603</v>
      </c>
      <c r="J20" s="49">
        <v>4139.2060000000001</v>
      </c>
      <c r="K20" s="49">
        <v>-4169</v>
      </c>
      <c r="L20" s="54">
        <v>-2.0103463640168107E-3</v>
      </c>
    </row>
    <row r="21" spans="1:12" x14ac:dyDescent="0.25">
      <c r="A21" t="s">
        <v>51</v>
      </c>
      <c r="B21" t="s">
        <v>36</v>
      </c>
      <c r="C21" s="50">
        <v>45008</v>
      </c>
      <c r="D21" t="s">
        <v>137</v>
      </c>
      <c r="E21">
        <v>13</v>
      </c>
      <c r="F21" s="71">
        <v>1150977.1000000001</v>
      </c>
      <c r="G21" s="71">
        <v>1770.7340000000002</v>
      </c>
      <c r="H21">
        <v>13</v>
      </c>
      <c r="I21" s="49">
        <v>1146831.3999999999</v>
      </c>
      <c r="J21" s="49">
        <v>1764.3559999999998</v>
      </c>
      <c r="K21" s="49">
        <v>-4145.7000000001863</v>
      </c>
      <c r="L21" s="54">
        <v>-3.6018961628343856E-3</v>
      </c>
    </row>
    <row r="22" spans="1:12" x14ac:dyDescent="0.25">
      <c r="A22" t="s">
        <v>51</v>
      </c>
      <c r="B22" t="s">
        <v>36</v>
      </c>
      <c r="C22" s="50">
        <v>44988</v>
      </c>
      <c r="D22" t="s">
        <v>130</v>
      </c>
      <c r="E22">
        <v>25</v>
      </c>
      <c r="F22" s="71">
        <v>5020055</v>
      </c>
      <c r="G22" s="71">
        <v>4016.0440000000003</v>
      </c>
      <c r="H22">
        <v>25</v>
      </c>
      <c r="I22" s="49">
        <v>5015945</v>
      </c>
      <c r="J22" s="49">
        <v>4012.7559999999999</v>
      </c>
      <c r="K22" s="49">
        <v>-4110</v>
      </c>
      <c r="L22" s="54">
        <v>-8.1871612960427364E-4</v>
      </c>
    </row>
    <row r="23" spans="1:12" x14ac:dyDescent="0.25">
      <c r="A23" t="s">
        <v>51</v>
      </c>
      <c r="B23" t="s">
        <v>36</v>
      </c>
      <c r="C23" s="50">
        <v>44988</v>
      </c>
      <c r="D23" t="s">
        <v>130</v>
      </c>
      <c r="E23">
        <v>10</v>
      </c>
      <c r="F23" s="71">
        <v>2000772</v>
      </c>
      <c r="G23" s="71">
        <v>4001.5440000000003</v>
      </c>
      <c r="H23">
        <v>10</v>
      </c>
      <c r="I23" s="49">
        <v>1996728</v>
      </c>
      <c r="J23" s="49">
        <v>3993.4559999999997</v>
      </c>
      <c r="K23" s="49">
        <v>-4044</v>
      </c>
      <c r="L23" s="54">
        <v>-2.0212198091538285E-3</v>
      </c>
    </row>
    <row r="24" spans="1:12" x14ac:dyDescent="0.25">
      <c r="A24" t="s">
        <v>51</v>
      </c>
      <c r="B24" t="s">
        <v>38</v>
      </c>
      <c r="C24" s="50">
        <v>45022</v>
      </c>
      <c r="D24" t="s">
        <v>130</v>
      </c>
      <c r="E24">
        <v>10</v>
      </c>
      <c r="F24" s="71">
        <v>2052522</v>
      </c>
      <c r="G24" s="71">
        <v>4105.0439999999999</v>
      </c>
      <c r="H24">
        <v>10</v>
      </c>
      <c r="I24" s="49">
        <v>2048478</v>
      </c>
      <c r="J24" s="49">
        <v>4096.9560000000001</v>
      </c>
      <c r="K24" s="49">
        <v>-4044</v>
      </c>
      <c r="L24" s="54">
        <v>-1.9702590276741831E-3</v>
      </c>
    </row>
    <row r="25" spans="1:12" x14ac:dyDescent="0.25">
      <c r="A25" t="s">
        <v>51</v>
      </c>
      <c r="B25" t="s">
        <v>36</v>
      </c>
      <c r="C25" s="50">
        <v>45029</v>
      </c>
      <c r="D25" t="s">
        <v>130</v>
      </c>
      <c r="E25">
        <v>10</v>
      </c>
      <c r="F25" s="71">
        <v>2077022</v>
      </c>
      <c r="G25" s="71">
        <v>4154.0439999999999</v>
      </c>
      <c r="H25">
        <v>10</v>
      </c>
      <c r="I25" s="49">
        <v>2072978</v>
      </c>
      <c r="J25" s="49">
        <v>4145.9560000000001</v>
      </c>
      <c r="K25" s="49">
        <v>-4044</v>
      </c>
      <c r="L25" s="54">
        <v>-1.9470183753469482E-3</v>
      </c>
    </row>
    <row r="26" spans="1:12" x14ac:dyDescent="0.25">
      <c r="A26" t="s">
        <v>51</v>
      </c>
      <c r="B26" t="s">
        <v>36</v>
      </c>
      <c r="C26" s="50">
        <v>45063</v>
      </c>
      <c r="D26" t="s">
        <v>130</v>
      </c>
      <c r="E26">
        <v>10</v>
      </c>
      <c r="F26" s="71">
        <v>2081500</v>
      </c>
      <c r="G26" s="71">
        <v>4163</v>
      </c>
      <c r="H26">
        <v>10</v>
      </c>
      <c r="I26" s="49">
        <v>2077500</v>
      </c>
      <c r="J26" s="49">
        <v>4155</v>
      </c>
      <c r="K26" s="49">
        <v>-4044</v>
      </c>
      <c r="L26" s="54">
        <v>-1.9216910881575786E-3</v>
      </c>
    </row>
    <row r="27" spans="1:12" x14ac:dyDescent="0.25">
      <c r="A27" t="s">
        <v>51</v>
      </c>
      <c r="B27" t="s">
        <v>38</v>
      </c>
      <c r="C27" s="50">
        <v>45063</v>
      </c>
      <c r="D27" t="s">
        <v>130</v>
      </c>
      <c r="E27">
        <v>10</v>
      </c>
      <c r="F27" s="71">
        <v>2106000</v>
      </c>
      <c r="G27" s="71">
        <v>4212</v>
      </c>
      <c r="H27">
        <v>10</v>
      </c>
      <c r="I27" s="49">
        <v>2102000</v>
      </c>
      <c r="J27" s="49">
        <v>4204</v>
      </c>
      <c r="K27" s="49">
        <v>-4044</v>
      </c>
      <c r="L27" s="54">
        <v>-1.8993352326685661E-3</v>
      </c>
    </row>
    <row r="28" spans="1:12" x14ac:dyDescent="0.25">
      <c r="A28" t="s">
        <v>51</v>
      </c>
      <c r="B28" t="s">
        <v>36</v>
      </c>
      <c r="C28" s="50">
        <v>45091</v>
      </c>
      <c r="D28" t="s">
        <v>130</v>
      </c>
      <c r="E28">
        <v>10</v>
      </c>
      <c r="F28" s="71">
        <v>2106000</v>
      </c>
      <c r="G28" s="71">
        <v>4212</v>
      </c>
      <c r="H28">
        <v>10</v>
      </c>
      <c r="I28" s="49">
        <v>2102000</v>
      </c>
      <c r="J28" s="49">
        <v>4204</v>
      </c>
      <c r="K28" s="49">
        <v>-4044</v>
      </c>
      <c r="L28" s="54">
        <v>-1.8993352326685661E-3</v>
      </c>
    </row>
    <row r="29" spans="1:12" x14ac:dyDescent="0.25">
      <c r="A29" t="s">
        <v>51</v>
      </c>
      <c r="B29" t="s">
        <v>36</v>
      </c>
      <c r="C29" s="50">
        <v>44988</v>
      </c>
      <c r="D29" t="s">
        <v>130</v>
      </c>
      <c r="E29">
        <v>8</v>
      </c>
      <c r="F29" s="71">
        <v>1599317.6</v>
      </c>
      <c r="G29" s="71">
        <v>3998.2940000000003</v>
      </c>
      <c r="H29">
        <v>8</v>
      </c>
      <c r="I29" s="49">
        <v>1595282.4</v>
      </c>
      <c r="J29" s="49">
        <v>3988.2059999999997</v>
      </c>
      <c r="K29" s="49">
        <v>-4035.2000000001863</v>
      </c>
      <c r="L29" s="54">
        <v>-2.5230760919533798E-3</v>
      </c>
    </row>
    <row r="30" spans="1:12" x14ac:dyDescent="0.25">
      <c r="A30" t="s">
        <v>51</v>
      </c>
      <c r="B30" t="s">
        <v>36</v>
      </c>
      <c r="C30" s="50">
        <v>44991</v>
      </c>
      <c r="D30" t="s">
        <v>130</v>
      </c>
      <c r="E30">
        <v>10</v>
      </c>
      <c r="F30" s="71">
        <v>2035897</v>
      </c>
      <c r="G30" s="71">
        <v>4071.7940000000003</v>
      </c>
      <c r="H30">
        <v>10</v>
      </c>
      <c r="I30" s="49">
        <v>2031978</v>
      </c>
      <c r="J30" s="49">
        <v>4063.9559999999997</v>
      </c>
      <c r="K30" s="49">
        <v>-3919</v>
      </c>
      <c r="L30" s="54">
        <v>-1.9249500343093602E-3</v>
      </c>
    </row>
    <row r="31" spans="1:12" x14ac:dyDescent="0.25">
      <c r="A31" t="s">
        <v>51</v>
      </c>
      <c r="B31" t="s">
        <v>36</v>
      </c>
      <c r="C31" s="50">
        <v>45030</v>
      </c>
      <c r="D31" t="s">
        <v>130</v>
      </c>
      <c r="E31">
        <v>10</v>
      </c>
      <c r="F31" s="71">
        <v>2092897</v>
      </c>
      <c r="G31" s="71">
        <v>4185.7939999999999</v>
      </c>
      <c r="H31">
        <v>10</v>
      </c>
      <c r="I31" s="49">
        <v>2088978</v>
      </c>
      <c r="J31" s="49">
        <v>4177.9560000000001</v>
      </c>
      <c r="K31" s="49">
        <v>-3919</v>
      </c>
      <c r="L31" s="54">
        <v>-1.8725240659238696E-3</v>
      </c>
    </row>
    <row r="32" spans="1:12" x14ac:dyDescent="0.25">
      <c r="A32" t="s">
        <v>51</v>
      </c>
      <c r="B32" t="s">
        <v>36</v>
      </c>
      <c r="C32" s="50">
        <v>45043</v>
      </c>
      <c r="D32" t="s">
        <v>130</v>
      </c>
      <c r="E32">
        <v>15</v>
      </c>
      <c r="F32" s="71">
        <v>3093783</v>
      </c>
      <c r="G32" s="71">
        <v>4125.0439999999999</v>
      </c>
      <c r="H32">
        <v>15</v>
      </c>
      <c r="I32" s="49">
        <v>3089967</v>
      </c>
      <c r="J32" s="49">
        <v>4119.9560000000001</v>
      </c>
      <c r="K32" s="49">
        <v>-3816</v>
      </c>
      <c r="L32" s="54">
        <v>-1.2334413887463353E-3</v>
      </c>
    </row>
    <row r="33" spans="1:12" x14ac:dyDescent="0.25">
      <c r="A33" t="s">
        <v>51</v>
      </c>
      <c r="B33" t="s">
        <v>36</v>
      </c>
      <c r="C33" s="50">
        <v>45015</v>
      </c>
      <c r="D33" t="s">
        <v>130</v>
      </c>
      <c r="E33">
        <v>10</v>
      </c>
      <c r="F33" s="71">
        <v>2040522</v>
      </c>
      <c r="G33" s="71">
        <v>4081.0440000000003</v>
      </c>
      <c r="H33">
        <v>10</v>
      </c>
      <c r="I33" s="49">
        <v>2036853</v>
      </c>
      <c r="J33" s="49">
        <v>4073.7059999999997</v>
      </c>
      <c r="K33" s="49">
        <v>-3669</v>
      </c>
      <c r="L33" s="54">
        <v>-1.7980693175571366E-3</v>
      </c>
    </row>
    <row r="34" spans="1:12" x14ac:dyDescent="0.25">
      <c r="A34" t="s">
        <v>51</v>
      </c>
      <c r="B34" t="s">
        <v>36</v>
      </c>
      <c r="C34" s="50">
        <v>45015</v>
      </c>
      <c r="D34" t="s">
        <v>138</v>
      </c>
      <c r="E34">
        <v>10</v>
      </c>
      <c r="F34" s="71">
        <v>2619352</v>
      </c>
      <c r="G34" s="71">
        <v>13096.76</v>
      </c>
      <c r="H34">
        <v>10</v>
      </c>
      <c r="I34" s="49">
        <v>2616378</v>
      </c>
      <c r="J34" s="49">
        <v>13081.89</v>
      </c>
      <c r="K34" s="49">
        <v>-2974</v>
      </c>
      <c r="L34" s="54">
        <v>-1.1353953191476976E-3</v>
      </c>
    </row>
    <row r="35" spans="1:12" x14ac:dyDescent="0.25">
      <c r="A35" t="s">
        <v>51</v>
      </c>
      <c r="B35" t="s">
        <v>36</v>
      </c>
      <c r="C35" s="50">
        <v>45016</v>
      </c>
      <c r="D35" t="s">
        <v>130</v>
      </c>
      <c r="E35">
        <v>12</v>
      </c>
      <c r="F35" s="71">
        <v>2473676.4</v>
      </c>
      <c r="G35" s="71">
        <v>4122.7939999999999</v>
      </c>
      <c r="H35">
        <v>12</v>
      </c>
      <c r="I35" s="49">
        <v>2470773.6</v>
      </c>
      <c r="J35" s="49">
        <v>4117.9560000000001</v>
      </c>
      <c r="K35" s="49">
        <v>-2902.7999999998137</v>
      </c>
      <c r="L35" s="54">
        <v>-1.1734760456136636E-3</v>
      </c>
    </row>
    <row r="36" spans="1:12" x14ac:dyDescent="0.25">
      <c r="A36" t="s">
        <v>51</v>
      </c>
      <c r="B36" t="s">
        <v>38</v>
      </c>
      <c r="C36" s="50">
        <v>45189</v>
      </c>
      <c r="D36" t="s">
        <v>130</v>
      </c>
      <c r="E36">
        <v>7</v>
      </c>
      <c r="F36" s="71">
        <v>1568463.9</v>
      </c>
      <c r="G36" s="71">
        <v>4481.3254285714283</v>
      </c>
      <c r="H36">
        <v>7</v>
      </c>
      <c r="I36" s="49">
        <v>1565761.1</v>
      </c>
      <c r="J36" s="49">
        <v>4473.6031428571432</v>
      </c>
      <c r="K36" s="49">
        <v>-2746.7999999998137</v>
      </c>
      <c r="L36" s="54">
        <v>-1.7232146688232973E-3</v>
      </c>
    </row>
    <row r="37" spans="1:12" x14ac:dyDescent="0.25">
      <c r="A37" t="s">
        <v>51</v>
      </c>
      <c r="B37" t="s">
        <v>36</v>
      </c>
      <c r="C37" s="50">
        <v>44998</v>
      </c>
      <c r="D37" t="s">
        <v>130</v>
      </c>
      <c r="E37">
        <v>4</v>
      </c>
      <c r="F37" s="71">
        <v>784458.8</v>
      </c>
      <c r="G37" s="71">
        <v>3922.2940000000003</v>
      </c>
      <c r="H37">
        <v>4</v>
      </c>
      <c r="I37" s="49">
        <v>781891.2</v>
      </c>
      <c r="J37" s="49">
        <v>3909.4559999999997</v>
      </c>
      <c r="K37" s="49">
        <v>-2567.6000000000931</v>
      </c>
      <c r="L37" s="54">
        <v>-3.2730845775458561E-3</v>
      </c>
    </row>
    <row r="38" spans="1:12" x14ac:dyDescent="0.25">
      <c r="A38" t="s">
        <v>51</v>
      </c>
      <c r="B38" t="s">
        <v>38</v>
      </c>
      <c r="C38" s="50">
        <v>45002</v>
      </c>
      <c r="D38" t="s">
        <v>130</v>
      </c>
      <c r="E38">
        <v>10</v>
      </c>
      <c r="F38" s="71">
        <v>1972522</v>
      </c>
      <c r="G38" s="71">
        <v>3945.0440000000003</v>
      </c>
      <c r="H38">
        <v>10</v>
      </c>
      <c r="I38" s="49">
        <v>1969978</v>
      </c>
      <c r="J38" s="49">
        <v>3939.9559999999997</v>
      </c>
      <c r="K38" s="49">
        <v>-2544</v>
      </c>
      <c r="L38" s="54">
        <v>-1.2897194556006593E-3</v>
      </c>
    </row>
    <row r="39" spans="1:12" x14ac:dyDescent="0.25">
      <c r="A39" t="s">
        <v>51</v>
      </c>
      <c r="B39" t="s">
        <v>36</v>
      </c>
      <c r="C39" s="50">
        <v>45027</v>
      </c>
      <c r="D39" t="s">
        <v>130</v>
      </c>
      <c r="E39">
        <v>15</v>
      </c>
      <c r="F39" s="71">
        <v>3111408</v>
      </c>
      <c r="G39" s="71">
        <v>4148.5439999999999</v>
      </c>
      <c r="H39">
        <v>15</v>
      </c>
      <c r="I39" s="49">
        <v>3108904.5</v>
      </c>
      <c r="J39" s="49">
        <v>4145.2060000000001</v>
      </c>
      <c r="K39" s="49">
        <v>-2503.5</v>
      </c>
      <c r="L39" s="54">
        <v>-8.0461964486811238E-4</v>
      </c>
    </row>
    <row r="40" spans="1:12" x14ac:dyDescent="0.25">
      <c r="A40" t="s">
        <v>51</v>
      </c>
      <c r="B40" t="s">
        <v>38</v>
      </c>
      <c r="C40" s="50">
        <v>44981</v>
      </c>
      <c r="D40" t="s">
        <v>130</v>
      </c>
      <c r="E40">
        <v>8</v>
      </c>
      <c r="F40" s="71">
        <v>1584900</v>
      </c>
      <c r="G40" s="71">
        <v>3962.25</v>
      </c>
      <c r="H40">
        <v>8</v>
      </c>
      <c r="I40" s="49">
        <v>1582464.8</v>
      </c>
      <c r="J40" s="49">
        <v>3956.1620000000003</v>
      </c>
      <c r="K40" s="49">
        <v>-2435.1999999999534</v>
      </c>
      <c r="L40" s="54">
        <v>-1.5365007255977634E-3</v>
      </c>
    </row>
    <row r="41" spans="1:12" x14ac:dyDescent="0.25">
      <c r="A41" t="s">
        <v>51</v>
      </c>
      <c r="B41" t="s">
        <v>38</v>
      </c>
      <c r="C41" s="50">
        <v>44992</v>
      </c>
      <c r="D41" t="s">
        <v>130</v>
      </c>
      <c r="E41">
        <v>8</v>
      </c>
      <c r="F41" s="71">
        <v>1620017.6</v>
      </c>
      <c r="G41" s="71">
        <v>4050.0440000000003</v>
      </c>
      <c r="H41">
        <v>8</v>
      </c>
      <c r="I41" s="49">
        <v>1617782.4</v>
      </c>
      <c r="J41" s="49">
        <v>4044.4559999999997</v>
      </c>
      <c r="K41" s="49">
        <v>-2235.2000000001863</v>
      </c>
      <c r="L41" s="54">
        <v>-1.3797380966726897E-3</v>
      </c>
    </row>
    <row r="42" spans="1:12" x14ac:dyDescent="0.25">
      <c r="A42" t="s">
        <v>51</v>
      </c>
      <c r="B42" t="s">
        <v>38</v>
      </c>
      <c r="C42" s="50">
        <v>44966</v>
      </c>
      <c r="D42" t="s">
        <v>263</v>
      </c>
      <c r="E42">
        <v>40</v>
      </c>
      <c r="F42" s="71">
        <v>817000</v>
      </c>
      <c r="G42" s="71">
        <v>4085</v>
      </c>
      <c r="H42">
        <v>40</v>
      </c>
      <c r="I42" s="49">
        <v>814877.9</v>
      </c>
      <c r="J42" s="49">
        <v>4074.3895000000002</v>
      </c>
      <c r="K42" s="49">
        <v>-2122.0999999999767</v>
      </c>
      <c r="L42" s="54">
        <v>-2.5974296205629804E-3</v>
      </c>
    </row>
    <row r="43" spans="1:12" x14ac:dyDescent="0.25">
      <c r="A43" t="s">
        <v>51</v>
      </c>
      <c r="B43" t="s">
        <v>38</v>
      </c>
      <c r="C43" s="50">
        <v>44980</v>
      </c>
      <c r="D43" t="s">
        <v>130</v>
      </c>
      <c r="E43">
        <v>8</v>
      </c>
      <c r="F43" s="71">
        <v>1598000</v>
      </c>
      <c r="G43" s="71">
        <v>3995</v>
      </c>
      <c r="H43">
        <v>8</v>
      </c>
      <c r="I43" s="49">
        <v>1595964.8</v>
      </c>
      <c r="J43" s="49">
        <v>3989.9120000000003</v>
      </c>
      <c r="K43" s="49">
        <v>-2035.1999999999534</v>
      </c>
      <c r="L43" s="54">
        <v>-1.2735919899874188E-3</v>
      </c>
    </row>
    <row r="44" spans="1:12" x14ac:dyDescent="0.25">
      <c r="A44" t="s">
        <v>51</v>
      </c>
      <c r="B44" t="s">
        <v>36</v>
      </c>
      <c r="C44" s="50">
        <v>45205</v>
      </c>
      <c r="D44" t="s">
        <v>130</v>
      </c>
      <c r="E44">
        <v>5</v>
      </c>
      <c r="F44" s="71">
        <v>1087250</v>
      </c>
      <c r="G44" s="71">
        <v>4349</v>
      </c>
      <c r="H44">
        <v>5</v>
      </c>
      <c r="I44" s="49">
        <v>1089272</v>
      </c>
      <c r="J44" s="49">
        <v>4357.0879999999997</v>
      </c>
      <c r="K44" s="49">
        <v>-2022</v>
      </c>
      <c r="L44" s="54">
        <v>1.8597378707748305E-3</v>
      </c>
    </row>
    <row r="45" spans="1:12" x14ac:dyDescent="0.25">
      <c r="A45" t="s">
        <v>51</v>
      </c>
      <c r="B45" t="s">
        <v>36</v>
      </c>
      <c r="C45" s="50">
        <v>44984</v>
      </c>
      <c r="D45" t="s">
        <v>130</v>
      </c>
      <c r="E45">
        <v>4</v>
      </c>
      <c r="F45" s="71">
        <v>804908.8</v>
      </c>
      <c r="G45" s="71">
        <v>4024.5440000000003</v>
      </c>
      <c r="H45">
        <v>4</v>
      </c>
      <c r="I45" s="49">
        <v>802891.2</v>
      </c>
      <c r="J45" s="49">
        <v>4014.4559999999997</v>
      </c>
      <c r="K45" s="49">
        <v>-2017.6000000000931</v>
      </c>
      <c r="L45" s="54">
        <v>-2.5066193834632315E-3</v>
      </c>
    </row>
    <row r="46" spans="1:12" x14ac:dyDescent="0.25">
      <c r="A46" t="s">
        <v>51</v>
      </c>
      <c r="B46" t="s">
        <v>36</v>
      </c>
      <c r="C46" s="50">
        <v>44998</v>
      </c>
      <c r="D46" t="s">
        <v>130</v>
      </c>
      <c r="E46">
        <v>4</v>
      </c>
      <c r="F46" s="71">
        <v>783608.8</v>
      </c>
      <c r="G46" s="71">
        <v>3918.0440000000003</v>
      </c>
      <c r="H46">
        <v>4</v>
      </c>
      <c r="I46" s="49">
        <v>781591.2</v>
      </c>
      <c r="J46" s="49">
        <v>3907.9559999999997</v>
      </c>
      <c r="K46" s="49">
        <v>-2017.6000000000931</v>
      </c>
      <c r="L46" s="54">
        <v>-2.5747541375238888E-3</v>
      </c>
    </row>
    <row r="47" spans="1:12" x14ac:dyDescent="0.25">
      <c r="A47" t="s">
        <v>51</v>
      </c>
      <c r="B47" t="s">
        <v>38</v>
      </c>
      <c r="C47" s="50">
        <v>44978</v>
      </c>
      <c r="D47" t="s">
        <v>130</v>
      </c>
      <c r="E47">
        <v>5</v>
      </c>
      <c r="F47" s="71">
        <v>1010000</v>
      </c>
      <c r="G47" s="71">
        <v>4040</v>
      </c>
      <c r="H47">
        <v>5</v>
      </c>
      <c r="I47" s="49">
        <v>1008000</v>
      </c>
      <c r="J47" s="49">
        <v>4032</v>
      </c>
      <c r="K47" s="49">
        <v>-2000</v>
      </c>
      <c r="L47" s="54">
        <v>-1.9801980198019802E-3</v>
      </c>
    </row>
    <row r="48" spans="1:12" x14ac:dyDescent="0.25">
      <c r="A48" t="s">
        <v>51</v>
      </c>
      <c r="B48" t="s">
        <v>38</v>
      </c>
      <c r="C48" s="50">
        <v>45020</v>
      </c>
      <c r="D48" t="s">
        <v>137</v>
      </c>
      <c r="E48">
        <v>6</v>
      </c>
      <c r="F48" s="71">
        <v>539563.19999999995</v>
      </c>
      <c r="G48" s="71">
        <v>1798.5439999999999</v>
      </c>
      <c r="H48">
        <v>6</v>
      </c>
      <c r="I48" s="49">
        <v>537685.80000000005</v>
      </c>
      <c r="J48" s="49">
        <v>1792.2860000000001</v>
      </c>
      <c r="K48" s="49">
        <v>-1877.3999999999069</v>
      </c>
      <c r="L48" s="54">
        <v>-3.4794811803324308E-3</v>
      </c>
    </row>
    <row r="49" spans="1:12" x14ac:dyDescent="0.25">
      <c r="A49" t="s">
        <v>51</v>
      </c>
      <c r="B49" t="s">
        <v>38</v>
      </c>
      <c r="C49" s="50">
        <v>44992</v>
      </c>
      <c r="D49" t="s">
        <v>130</v>
      </c>
      <c r="E49">
        <v>4</v>
      </c>
      <c r="F49" s="71">
        <v>800558.8</v>
      </c>
      <c r="G49" s="71">
        <v>4002.7940000000003</v>
      </c>
      <c r="H49">
        <v>4</v>
      </c>
      <c r="I49" s="49">
        <v>798691.2</v>
      </c>
      <c r="J49" s="49">
        <v>3993.4559999999997</v>
      </c>
      <c r="K49" s="49">
        <v>-1867.6000000000931</v>
      </c>
      <c r="L49" s="54">
        <v>-2.3328704899629226E-3</v>
      </c>
    </row>
    <row r="50" spans="1:12" x14ac:dyDescent="0.25">
      <c r="A50" t="s">
        <v>51</v>
      </c>
      <c r="B50" t="s">
        <v>38</v>
      </c>
      <c r="C50" s="50">
        <v>45002</v>
      </c>
      <c r="D50" t="s">
        <v>137</v>
      </c>
      <c r="E50">
        <v>6</v>
      </c>
      <c r="F50" s="71">
        <v>526663.19999999995</v>
      </c>
      <c r="G50" s="71">
        <v>1755.5439999999999</v>
      </c>
      <c r="H50">
        <v>6</v>
      </c>
      <c r="I50" s="49">
        <v>524806.80000000005</v>
      </c>
      <c r="J50" s="49">
        <v>1749.356</v>
      </c>
      <c r="K50" s="49">
        <v>-1856.3999999999069</v>
      </c>
      <c r="L50" s="54">
        <v>-3.5248333280167715E-3</v>
      </c>
    </row>
    <row r="51" spans="1:12" x14ac:dyDescent="0.25">
      <c r="A51" t="s">
        <v>51</v>
      </c>
      <c r="B51" t="s">
        <v>36</v>
      </c>
      <c r="C51" s="50">
        <v>44981</v>
      </c>
      <c r="D51" t="s">
        <v>130</v>
      </c>
      <c r="E51">
        <v>4</v>
      </c>
      <c r="F51" s="71">
        <v>795693.3</v>
      </c>
      <c r="G51" s="71">
        <v>3978.4665000000005</v>
      </c>
      <c r="H51">
        <v>4</v>
      </c>
      <c r="I51" s="49">
        <v>793991.2</v>
      </c>
      <c r="J51" s="49">
        <v>3969.9559999999997</v>
      </c>
      <c r="K51" s="49">
        <v>-1702.1000000000931</v>
      </c>
      <c r="L51" s="54">
        <v>-2.1391407970887209E-3</v>
      </c>
    </row>
    <row r="52" spans="1:12" x14ac:dyDescent="0.25">
      <c r="A52" t="s">
        <v>51</v>
      </c>
      <c r="B52" t="s">
        <v>38</v>
      </c>
      <c r="C52" s="50">
        <v>45013</v>
      </c>
      <c r="D52" t="s">
        <v>130</v>
      </c>
      <c r="E52">
        <v>15</v>
      </c>
      <c r="F52" s="71">
        <v>2997783</v>
      </c>
      <c r="G52" s="71">
        <v>3997.0440000000003</v>
      </c>
      <c r="H52">
        <v>15</v>
      </c>
      <c r="I52" s="49">
        <v>2996217</v>
      </c>
      <c r="J52" s="49">
        <v>3994.9559999999997</v>
      </c>
      <c r="K52" s="49">
        <v>-1566</v>
      </c>
      <c r="L52" s="54">
        <v>-5.2238604328615028E-4</v>
      </c>
    </row>
    <row r="53" spans="1:12" x14ac:dyDescent="0.25">
      <c r="A53" t="s">
        <v>51</v>
      </c>
      <c r="B53" t="s">
        <v>38</v>
      </c>
      <c r="C53" s="50">
        <v>44952</v>
      </c>
      <c r="D53" t="s">
        <v>130</v>
      </c>
      <c r="E53">
        <v>3</v>
      </c>
      <c r="F53" s="71">
        <v>608243.55000000005</v>
      </c>
      <c r="G53" s="71">
        <v>4054.9570000000003</v>
      </c>
      <c r="H53">
        <v>3</v>
      </c>
      <c r="I53" s="49">
        <v>607218.15</v>
      </c>
      <c r="J53" s="49">
        <v>4048.1210000000005</v>
      </c>
      <c r="K53" s="49">
        <v>-1025.4000000000233</v>
      </c>
      <c r="L53" s="54">
        <v>-1.6858378522878997E-3</v>
      </c>
    </row>
    <row r="54" spans="1:12" x14ac:dyDescent="0.25">
      <c r="A54" t="s">
        <v>51</v>
      </c>
      <c r="B54" t="s">
        <v>38</v>
      </c>
      <c r="C54" s="50">
        <v>44994</v>
      </c>
      <c r="D54" t="s">
        <v>130</v>
      </c>
      <c r="E54">
        <v>5</v>
      </c>
      <c r="F54" s="71">
        <v>987323.5</v>
      </c>
      <c r="G54" s="71">
        <v>3949.2940000000003</v>
      </c>
      <c r="H54">
        <v>5</v>
      </c>
      <c r="I54" s="49">
        <v>986676.5</v>
      </c>
      <c r="J54" s="49">
        <v>3946.7059999999997</v>
      </c>
      <c r="K54" s="49">
        <v>-647</v>
      </c>
      <c r="L54" s="54">
        <v>-6.5530699917520636E-4</v>
      </c>
    </row>
    <row r="55" spans="1:12" x14ac:dyDescent="0.25">
      <c r="A55" t="s">
        <v>51</v>
      </c>
      <c r="B55" t="s">
        <v>36</v>
      </c>
      <c r="C55" s="50">
        <v>44992</v>
      </c>
      <c r="D55" t="s">
        <v>130</v>
      </c>
      <c r="E55">
        <v>8</v>
      </c>
      <c r="F55" s="71">
        <v>1598617.6000000001</v>
      </c>
      <c r="G55" s="71">
        <v>3996.5440000000003</v>
      </c>
      <c r="H55">
        <v>8</v>
      </c>
      <c r="I55" s="49">
        <v>1597982.4</v>
      </c>
      <c r="J55" s="49">
        <v>3994.9559999999997</v>
      </c>
      <c r="K55" s="49">
        <v>-635.20000000018626</v>
      </c>
      <c r="L55" s="54">
        <v>-3.9734330461534953E-4</v>
      </c>
    </row>
    <row r="56" spans="1:12" x14ac:dyDescent="0.25">
      <c r="A56" t="s">
        <v>51</v>
      </c>
      <c r="B56" t="s">
        <v>36</v>
      </c>
      <c r="C56" s="50">
        <v>44984</v>
      </c>
      <c r="D56" t="s">
        <v>130</v>
      </c>
      <c r="E56">
        <v>3</v>
      </c>
      <c r="F56" s="71">
        <v>600531.6</v>
      </c>
      <c r="G56" s="71">
        <v>4003.5439999999999</v>
      </c>
      <c r="H56">
        <v>3</v>
      </c>
      <c r="I56" s="49">
        <v>600180.9</v>
      </c>
      <c r="J56" s="49">
        <v>4001.2060000000001</v>
      </c>
      <c r="K56" s="49">
        <v>-350.69999999995343</v>
      </c>
      <c r="L56" s="54">
        <v>-5.8398259142393297E-4</v>
      </c>
    </row>
    <row r="57" spans="1:12" x14ac:dyDescent="0.25">
      <c r="A57" t="s">
        <v>51</v>
      </c>
      <c r="B57" t="s">
        <v>36</v>
      </c>
      <c r="C57" s="50">
        <v>45006</v>
      </c>
      <c r="D57" t="s">
        <v>130</v>
      </c>
      <c r="E57">
        <v>15</v>
      </c>
      <c r="F57" s="71">
        <v>3022720.5</v>
      </c>
      <c r="G57" s="71">
        <v>4030.2940000000003</v>
      </c>
      <c r="H57">
        <v>15</v>
      </c>
      <c r="I57" s="49">
        <v>3022467</v>
      </c>
      <c r="J57" s="49">
        <v>4029.9559999999997</v>
      </c>
      <c r="K57" s="49">
        <v>-253.5</v>
      </c>
      <c r="L57" s="54">
        <v>-8.3864849562004048E-5</v>
      </c>
    </row>
    <row r="58" spans="1:12" x14ac:dyDescent="0.25">
      <c r="A58" t="s">
        <v>51</v>
      </c>
      <c r="B58" t="s">
        <v>38</v>
      </c>
      <c r="C58" s="50">
        <v>44978</v>
      </c>
      <c r="D58" t="s">
        <v>130</v>
      </c>
      <c r="E58">
        <v>5</v>
      </c>
      <c r="F58" s="71">
        <v>1001562.5</v>
      </c>
      <c r="G58" s="71">
        <v>4006.25</v>
      </c>
      <c r="H58">
        <v>5</v>
      </c>
      <c r="I58" s="49">
        <v>1001643.5</v>
      </c>
      <c r="J58" s="49">
        <v>4006.5739999999996</v>
      </c>
      <c r="K58" s="49">
        <v>81</v>
      </c>
      <c r="L58" s="54">
        <v>8.087363494530156E-5</v>
      </c>
    </row>
    <row r="59" spans="1:12" x14ac:dyDescent="0.25">
      <c r="A59" t="s">
        <v>51</v>
      </c>
      <c r="B59" t="s">
        <v>38</v>
      </c>
      <c r="C59" s="50">
        <v>45033</v>
      </c>
      <c r="D59" t="s">
        <v>130</v>
      </c>
      <c r="E59">
        <v>15</v>
      </c>
      <c r="F59" s="71">
        <v>3112533</v>
      </c>
      <c r="G59" s="71">
        <v>4150.0439999999999</v>
      </c>
      <c r="H59">
        <v>15</v>
      </c>
      <c r="I59" s="49">
        <v>3112842</v>
      </c>
      <c r="J59" s="49">
        <v>4150.4560000000001</v>
      </c>
      <c r="K59" s="49">
        <v>309</v>
      </c>
      <c r="L59" s="54">
        <v>9.9276055868386445E-5</v>
      </c>
    </row>
    <row r="60" spans="1:12" x14ac:dyDescent="0.25">
      <c r="A60" t="s">
        <v>51</v>
      </c>
      <c r="B60" t="s">
        <v>38</v>
      </c>
      <c r="C60" s="50">
        <v>45001</v>
      </c>
      <c r="D60" t="s">
        <v>130</v>
      </c>
      <c r="E60">
        <v>5</v>
      </c>
      <c r="F60" s="71">
        <v>973948.5</v>
      </c>
      <c r="G60" s="71">
        <v>3895.7940000000003</v>
      </c>
      <c r="H60">
        <v>5</v>
      </c>
      <c r="I60" s="49">
        <v>975051.5</v>
      </c>
      <c r="J60" s="49">
        <v>3900.2059999999997</v>
      </c>
      <c r="K60" s="49">
        <v>1103</v>
      </c>
      <c r="L60" s="54">
        <v>1.1325034126546097E-3</v>
      </c>
    </row>
    <row r="61" spans="1:12" x14ac:dyDescent="0.25">
      <c r="A61" t="s">
        <v>51</v>
      </c>
      <c r="B61" t="s">
        <v>38</v>
      </c>
      <c r="C61" s="50">
        <v>44993</v>
      </c>
      <c r="D61" t="s">
        <v>263</v>
      </c>
      <c r="E61">
        <v>50</v>
      </c>
      <c r="F61" s="71">
        <v>995253.5</v>
      </c>
      <c r="G61" s="71">
        <v>3981.0140000000001</v>
      </c>
      <c r="H61">
        <v>50</v>
      </c>
      <c r="I61" s="49">
        <v>996594</v>
      </c>
      <c r="J61" s="49">
        <v>3986.3759999999997</v>
      </c>
      <c r="K61" s="49">
        <v>1340.5</v>
      </c>
      <c r="L61" s="54">
        <v>1.3468930277561509E-3</v>
      </c>
    </row>
    <row r="62" spans="1:12" x14ac:dyDescent="0.25">
      <c r="A62" t="s">
        <v>51</v>
      </c>
      <c r="B62" t="s">
        <v>36</v>
      </c>
      <c r="C62" s="50">
        <v>44985</v>
      </c>
      <c r="D62" t="s">
        <v>130</v>
      </c>
      <c r="E62">
        <v>4</v>
      </c>
      <c r="F62" s="71">
        <v>798108.8</v>
      </c>
      <c r="G62" s="71">
        <v>3990.5440000000003</v>
      </c>
      <c r="H62">
        <v>4</v>
      </c>
      <c r="I62" s="49">
        <v>799491.2</v>
      </c>
      <c r="J62" s="49">
        <v>3997.4559999999997</v>
      </c>
      <c r="K62" s="49">
        <v>1382.3999999999069</v>
      </c>
      <c r="L62" s="54">
        <v>1.7320946718039827E-3</v>
      </c>
    </row>
    <row r="63" spans="1:12" x14ac:dyDescent="0.25">
      <c r="A63" t="s">
        <v>51</v>
      </c>
      <c r="B63" t="s">
        <v>38</v>
      </c>
      <c r="C63" s="50">
        <v>45034</v>
      </c>
      <c r="D63" t="s">
        <v>130</v>
      </c>
      <c r="E63">
        <v>15</v>
      </c>
      <c r="F63" s="71">
        <v>3129220.5</v>
      </c>
      <c r="G63" s="71">
        <v>4172.2939999999999</v>
      </c>
      <c r="H63">
        <v>15</v>
      </c>
      <c r="I63" s="49">
        <v>3130967</v>
      </c>
      <c r="J63" s="49">
        <v>4174.6226666666662</v>
      </c>
      <c r="K63" s="49">
        <v>1746.5</v>
      </c>
      <c r="L63" s="54">
        <v>5.5812621705620996E-4</v>
      </c>
    </row>
    <row r="64" spans="1:12" x14ac:dyDescent="0.25">
      <c r="A64" t="s">
        <v>51</v>
      </c>
      <c r="B64" t="s">
        <v>36</v>
      </c>
      <c r="C64" s="50">
        <v>44957</v>
      </c>
      <c r="D64" t="s">
        <v>263</v>
      </c>
      <c r="E64">
        <v>150</v>
      </c>
      <c r="F64" s="71">
        <v>3039531.25</v>
      </c>
      <c r="G64" s="71">
        <v>4052.7083333333335</v>
      </c>
      <c r="H64">
        <v>150</v>
      </c>
      <c r="I64" s="49">
        <v>3041562.5</v>
      </c>
      <c r="J64" s="49">
        <v>4055.4166666666665</v>
      </c>
      <c r="K64" s="49">
        <v>2031.25</v>
      </c>
      <c r="L64" s="54">
        <v>6.6827738652128438E-4</v>
      </c>
    </row>
    <row r="65" spans="1:12" x14ac:dyDescent="0.25">
      <c r="A65" t="s">
        <v>51</v>
      </c>
      <c r="B65" t="s">
        <v>36</v>
      </c>
      <c r="C65" s="50">
        <v>45015</v>
      </c>
      <c r="D65" t="s">
        <v>130</v>
      </c>
      <c r="E65">
        <v>10</v>
      </c>
      <c r="F65" s="71">
        <v>2038522</v>
      </c>
      <c r="G65" s="71">
        <v>4077.0440000000003</v>
      </c>
      <c r="H65">
        <v>10</v>
      </c>
      <c r="I65" s="49">
        <v>2040728</v>
      </c>
      <c r="J65" s="49">
        <v>4081.4559999999997</v>
      </c>
      <c r="K65" s="49">
        <v>2206</v>
      </c>
      <c r="L65" s="54">
        <v>1.082156582072539E-3</v>
      </c>
    </row>
    <row r="66" spans="1:12" x14ac:dyDescent="0.25">
      <c r="A66" t="s">
        <v>51</v>
      </c>
      <c r="B66" t="s">
        <v>38</v>
      </c>
      <c r="C66" s="50">
        <v>44979</v>
      </c>
      <c r="D66" t="s">
        <v>130</v>
      </c>
      <c r="E66">
        <v>4</v>
      </c>
      <c r="F66" s="71">
        <v>799117.6</v>
      </c>
      <c r="G66" s="71">
        <v>3995.5879999999997</v>
      </c>
      <c r="H66">
        <v>4</v>
      </c>
      <c r="I66" s="49">
        <v>802350</v>
      </c>
      <c r="J66" s="49">
        <v>4011.75</v>
      </c>
      <c r="K66" s="49">
        <v>3232.4000000000233</v>
      </c>
      <c r="L66" s="54">
        <v>4.0449615926367441E-3</v>
      </c>
    </row>
    <row r="67" spans="1:12" x14ac:dyDescent="0.25">
      <c r="A67" t="s">
        <v>51</v>
      </c>
      <c r="B67" t="s">
        <v>38</v>
      </c>
      <c r="C67" s="50">
        <v>44986</v>
      </c>
      <c r="D67" t="s">
        <v>263</v>
      </c>
      <c r="E67">
        <v>100</v>
      </c>
      <c r="F67" s="71">
        <v>1976562</v>
      </c>
      <c r="G67" s="71">
        <v>3953.1240000000003</v>
      </c>
      <c r="H67">
        <v>100</v>
      </c>
      <c r="I67" s="49">
        <v>1980438</v>
      </c>
      <c r="J67" s="49">
        <v>3960.8759999999997</v>
      </c>
      <c r="K67" s="49">
        <v>3876</v>
      </c>
      <c r="L67" s="54">
        <v>1.9609807332123903E-3</v>
      </c>
    </row>
    <row r="68" spans="1:12" x14ac:dyDescent="0.25">
      <c r="A68" t="s">
        <v>51</v>
      </c>
      <c r="B68" t="s">
        <v>38</v>
      </c>
      <c r="C68" s="50">
        <v>44995</v>
      </c>
      <c r="D68" t="s">
        <v>130</v>
      </c>
      <c r="E68">
        <v>10</v>
      </c>
      <c r="F68" s="71">
        <v>1941522</v>
      </c>
      <c r="G68" s="71">
        <v>3883.0440000000003</v>
      </c>
      <c r="H68">
        <v>10</v>
      </c>
      <c r="I68" s="49">
        <v>1945978</v>
      </c>
      <c r="J68" s="49">
        <v>3891.9559999999997</v>
      </c>
      <c r="K68" s="49">
        <v>4456</v>
      </c>
      <c r="L68" s="54">
        <v>2.2951066225361731E-3</v>
      </c>
    </row>
    <row r="69" spans="1:12" x14ac:dyDescent="0.25">
      <c r="A69" t="s">
        <v>51</v>
      </c>
      <c r="B69" t="s">
        <v>38</v>
      </c>
      <c r="C69" s="50">
        <v>44981</v>
      </c>
      <c r="D69" t="s">
        <v>130</v>
      </c>
      <c r="E69">
        <v>10</v>
      </c>
      <c r="F69" s="71">
        <v>1974647</v>
      </c>
      <c r="G69" s="71">
        <v>3949.2940000000003</v>
      </c>
      <c r="H69">
        <v>10</v>
      </c>
      <c r="I69" s="49">
        <v>1979603</v>
      </c>
      <c r="J69" s="49">
        <v>3959.2059999999997</v>
      </c>
      <c r="K69" s="49">
        <v>4956</v>
      </c>
      <c r="L69" s="54">
        <v>2.5098156784476799E-3</v>
      </c>
    </row>
    <row r="70" spans="1:12" x14ac:dyDescent="0.25">
      <c r="A70" t="s">
        <v>51</v>
      </c>
      <c r="B70" t="s">
        <v>38</v>
      </c>
      <c r="C70" s="50">
        <v>45013</v>
      </c>
      <c r="D70" t="s">
        <v>130</v>
      </c>
      <c r="E70">
        <v>15</v>
      </c>
      <c r="F70" s="71">
        <v>2993283</v>
      </c>
      <c r="G70" s="71">
        <v>3991.0440000000003</v>
      </c>
      <c r="H70">
        <v>15</v>
      </c>
      <c r="I70" s="49">
        <v>2999217</v>
      </c>
      <c r="J70" s="49">
        <v>3998.9559999999997</v>
      </c>
      <c r="K70" s="49">
        <v>5934</v>
      </c>
      <c r="L70" s="54">
        <v>1.9824386802048165E-3</v>
      </c>
    </row>
    <row r="71" spans="1:12" x14ac:dyDescent="0.25">
      <c r="A71" t="s">
        <v>51</v>
      </c>
      <c r="B71" t="s">
        <v>38</v>
      </c>
      <c r="C71" s="50">
        <v>44973</v>
      </c>
      <c r="D71" t="s">
        <v>263</v>
      </c>
      <c r="E71">
        <v>40</v>
      </c>
      <c r="F71" s="71">
        <v>820424.8</v>
      </c>
      <c r="G71" s="71">
        <v>4102.1240000000007</v>
      </c>
      <c r="H71">
        <v>40</v>
      </c>
      <c r="I71" s="49">
        <v>826775.2</v>
      </c>
      <c r="J71" s="49">
        <v>4133.8759999999993</v>
      </c>
      <c r="K71" s="49">
        <v>6350.3999999999069</v>
      </c>
      <c r="L71" s="54">
        <v>7.7403803493016256E-3</v>
      </c>
    </row>
    <row r="72" spans="1:12" x14ac:dyDescent="0.25">
      <c r="A72" t="s">
        <v>51</v>
      </c>
      <c r="B72" t="s">
        <v>38</v>
      </c>
      <c r="C72" s="50">
        <v>45027</v>
      </c>
      <c r="D72" t="s">
        <v>130</v>
      </c>
      <c r="E72">
        <v>10</v>
      </c>
      <c r="F72" s="71">
        <v>2066147</v>
      </c>
      <c r="G72" s="71">
        <v>4132.2939999999999</v>
      </c>
      <c r="H72">
        <v>10</v>
      </c>
      <c r="I72" s="49">
        <v>2072528</v>
      </c>
      <c r="J72" s="49">
        <v>4145.0559999999996</v>
      </c>
      <c r="K72" s="49">
        <v>6381</v>
      </c>
      <c r="L72" s="54">
        <v>3.0883572175647999E-3</v>
      </c>
    </row>
    <row r="73" spans="1:12" x14ac:dyDescent="0.25">
      <c r="A73" t="s">
        <v>51</v>
      </c>
      <c r="B73" t="s">
        <v>36</v>
      </c>
      <c r="C73" s="50">
        <v>44998</v>
      </c>
      <c r="D73" t="s">
        <v>130</v>
      </c>
      <c r="E73">
        <v>4</v>
      </c>
      <c r="F73" s="71">
        <v>777883.8</v>
      </c>
      <c r="G73" s="71">
        <v>3889.4190000000003</v>
      </c>
      <c r="H73">
        <v>4</v>
      </c>
      <c r="I73" s="49">
        <v>784991.2</v>
      </c>
      <c r="J73" s="49">
        <v>3924.9559999999997</v>
      </c>
      <c r="K73" s="49">
        <v>7107.3999999999069</v>
      </c>
      <c r="L73" s="54">
        <v>9.1368402324355762E-3</v>
      </c>
    </row>
    <row r="74" spans="1:12" x14ac:dyDescent="0.25">
      <c r="A74" t="s">
        <v>51</v>
      </c>
      <c r="B74" t="s">
        <v>38</v>
      </c>
      <c r="C74" s="50">
        <v>45028</v>
      </c>
      <c r="D74" t="s">
        <v>130</v>
      </c>
      <c r="E74">
        <v>10</v>
      </c>
      <c r="F74" s="71">
        <v>2063022</v>
      </c>
      <c r="G74" s="71">
        <v>4126.0439999999999</v>
      </c>
      <c r="H74">
        <v>10</v>
      </c>
      <c r="I74" s="49">
        <v>2070728</v>
      </c>
      <c r="J74" s="49">
        <v>4141.4560000000001</v>
      </c>
      <c r="K74" s="49">
        <v>7706</v>
      </c>
      <c r="L74" s="54">
        <v>3.7352970545152359E-3</v>
      </c>
    </row>
    <row r="75" spans="1:12" x14ac:dyDescent="0.25">
      <c r="A75" t="s">
        <v>51</v>
      </c>
      <c r="B75" t="s">
        <v>36</v>
      </c>
      <c r="C75" s="50">
        <v>45049</v>
      </c>
      <c r="D75" t="s">
        <v>130</v>
      </c>
      <c r="E75">
        <v>10</v>
      </c>
      <c r="F75" s="71">
        <v>2067172</v>
      </c>
      <c r="G75" s="71">
        <v>4134.3440000000001</v>
      </c>
      <c r="H75">
        <v>10</v>
      </c>
      <c r="I75" s="49">
        <v>2074978</v>
      </c>
      <c r="J75" s="49">
        <v>4149.9560000000001</v>
      </c>
      <c r="K75" s="49">
        <v>7806</v>
      </c>
      <c r="L75" s="54">
        <v>3.7761734388817381E-3</v>
      </c>
    </row>
    <row r="76" spans="1:12" x14ac:dyDescent="0.25">
      <c r="A76" t="s">
        <v>51</v>
      </c>
      <c r="B76" t="s">
        <v>36</v>
      </c>
      <c r="C76" s="50">
        <v>45007</v>
      </c>
      <c r="D76" t="s">
        <v>130</v>
      </c>
      <c r="E76">
        <v>15</v>
      </c>
      <c r="F76" s="71">
        <v>3022033</v>
      </c>
      <c r="G76" s="71">
        <v>4029.3773333333334</v>
      </c>
      <c r="H76">
        <v>15</v>
      </c>
      <c r="I76" s="49">
        <v>3032217</v>
      </c>
      <c r="J76" s="49">
        <v>4042.9559999999997</v>
      </c>
      <c r="K76" s="49">
        <v>10184</v>
      </c>
      <c r="L76" s="54">
        <v>3.3699168738394788E-3</v>
      </c>
    </row>
    <row r="77" spans="1:12" x14ac:dyDescent="0.25">
      <c r="A77" t="s">
        <v>51</v>
      </c>
      <c r="B77" t="s">
        <v>36</v>
      </c>
      <c r="C77" s="50">
        <v>44984</v>
      </c>
      <c r="D77" t="s">
        <v>130</v>
      </c>
      <c r="E77">
        <v>10</v>
      </c>
      <c r="F77" s="71">
        <v>1999022</v>
      </c>
      <c r="G77" s="71">
        <v>3998.0440000000003</v>
      </c>
      <c r="H77">
        <v>10</v>
      </c>
      <c r="I77" s="49">
        <v>2011353</v>
      </c>
      <c r="J77" s="49">
        <v>4022.7059999999997</v>
      </c>
      <c r="K77" s="49">
        <v>12331</v>
      </c>
      <c r="L77" s="54">
        <v>6.1685164045216486E-3</v>
      </c>
    </row>
    <row r="78" spans="1:12" x14ac:dyDescent="0.25">
      <c r="A78" t="s">
        <v>51</v>
      </c>
      <c r="B78" t="s">
        <v>36</v>
      </c>
      <c r="C78" s="50">
        <v>44999</v>
      </c>
      <c r="D78" t="s">
        <v>130</v>
      </c>
      <c r="E78">
        <v>8</v>
      </c>
      <c r="F78" s="71">
        <v>1570442.6</v>
      </c>
      <c r="G78" s="71">
        <v>3926.1065000000003</v>
      </c>
      <c r="H78">
        <v>8</v>
      </c>
      <c r="I78" s="49">
        <v>1587582.4</v>
      </c>
      <c r="J78" s="49">
        <v>3968.9559999999997</v>
      </c>
      <c r="K78" s="49">
        <v>17139.799999999814</v>
      </c>
      <c r="L78" s="54">
        <v>1.0913993290808425E-2</v>
      </c>
    </row>
    <row r="79" spans="1:12" x14ac:dyDescent="0.25">
      <c r="A79" t="s">
        <v>51</v>
      </c>
      <c r="B79" t="s">
        <v>38</v>
      </c>
      <c r="C79" s="50">
        <v>44986</v>
      </c>
      <c r="D79" t="s">
        <v>263</v>
      </c>
      <c r="E79">
        <v>133</v>
      </c>
      <c r="F79" s="71">
        <v>2623507.46</v>
      </c>
      <c r="G79" s="71">
        <v>3945.1239999999998</v>
      </c>
      <c r="H79">
        <v>133</v>
      </c>
      <c r="I79" s="49">
        <v>2641962.54</v>
      </c>
      <c r="J79" s="49">
        <v>3972.8760000000002</v>
      </c>
      <c r="K79" s="49">
        <v>18455.080000000075</v>
      </c>
      <c r="L79" s="54">
        <v>7.0345063932085302E-3</v>
      </c>
    </row>
    <row r="80" spans="1:12" x14ac:dyDescent="0.25">
      <c r="A80" t="s">
        <v>51</v>
      </c>
      <c r="B80" t="s">
        <v>36</v>
      </c>
      <c r="C80" s="50">
        <v>44994</v>
      </c>
      <c r="D80" t="s">
        <v>130</v>
      </c>
      <c r="E80">
        <v>15</v>
      </c>
      <c r="F80" s="71">
        <v>2987908</v>
      </c>
      <c r="G80" s="71">
        <v>3983.8773333333334</v>
      </c>
      <c r="H80">
        <v>15</v>
      </c>
      <c r="I80" s="49">
        <v>3009342</v>
      </c>
      <c r="J80" s="49">
        <v>4012.4559999999997</v>
      </c>
      <c r="K80" s="49">
        <v>21434</v>
      </c>
      <c r="L80" s="54">
        <v>7.1735809804049323E-3</v>
      </c>
    </row>
  </sheetData>
  <sortState xmlns:xlrd2="http://schemas.microsoft.com/office/spreadsheetml/2017/richdata2" ref="A2:L80">
    <sortCondition ref="K1:K80"/>
  </sortState>
  <conditionalFormatting sqref="K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8EDF-E415-4DB1-9EB3-8C70C7E406CC}">
  <dimension ref="A1:X40"/>
  <sheetViews>
    <sheetView topLeftCell="A7" workbookViewId="0">
      <selection activeCell="O35" sqref="O35"/>
    </sheetView>
  </sheetViews>
  <sheetFormatPr defaultRowHeight="15" x14ac:dyDescent="0.25"/>
  <cols>
    <col min="3" max="3" width="10.5703125" style="50"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9.7109375" style="57" bestFit="1" customWidth="1"/>
    <col min="12" max="12" width="9.140625" style="47"/>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3.42578125" bestFit="1" customWidth="1"/>
  </cols>
  <sheetData>
    <row r="1" spans="1:24" x14ac:dyDescent="0.25">
      <c r="A1" s="46" t="s">
        <v>165</v>
      </c>
      <c r="B1" s="46" t="s">
        <v>21</v>
      </c>
      <c r="C1" s="61" t="s">
        <v>194</v>
      </c>
      <c r="D1" s="46" t="s">
        <v>10</v>
      </c>
      <c r="E1" s="46" t="s">
        <v>167</v>
      </c>
      <c r="F1" s="46" t="s">
        <v>144</v>
      </c>
      <c r="G1" s="46" t="s">
        <v>26</v>
      </c>
      <c r="H1" s="46" t="s">
        <v>166</v>
      </c>
      <c r="I1" s="46" t="s">
        <v>145</v>
      </c>
      <c r="J1" s="46" t="s">
        <v>168</v>
      </c>
      <c r="K1" s="56" t="s">
        <v>30</v>
      </c>
      <c r="L1" s="46" t="s">
        <v>169</v>
      </c>
      <c r="O1" s="46" t="s">
        <v>158</v>
      </c>
      <c r="P1" s="46" t="s">
        <v>159</v>
      </c>
      <c r="Q1" s="46" t="s">
        <v>160</v>
      </c>
      <c r="R1" s="46" t="s">
        <v>163</v>
      </c>
      <c r="S1" s="46" t="s">
        <v>164</v>
      </c>
      <c r="T1" s="46" t="s">
        <v>161</v>
      </c>
      <c r="U1" s="56" t="s">
        <v>258</v>
      </c>
      <c r="V1" s="55" t="s">
        <v>259</v>
      </c>
      <c r="W1" s="46" t="s">
        <v>260</v>
      </c>
      <c r="X1" s="46" t="s">
        <v>162</v>
      </c>
    </row>
    <row r="2" spans="1:24" x14ac:dyDescent="0.25">
      <c r="A2" t="s">
        <v>38</v>
      </c>
      <c r="B2" t="s">
        <v>197</v>
      </c>
      <c r="C2" s="60">
        <v>44511</v>
      </c>
      <c r="D2" t="s">
        <v>297</v>
      </c>
      <c r="E2">
        <v>1600</v>
      </c>
      <c r="F2" s="49">
        <v>174448.8</v>
      </c>
      <c r="G2" s="49">
        <v>109.03049999999999</v>
      </c>
      <c r="H2">
        <v>1600</v>
      </c>
      <c r="I2" s="49">
        <v>153527.54999999999</v>
      </c>
      <c r="J2" s="49">
        <v>95.954718749999998</v>
      </c>
      <c r="K2" s="57">
        <v>-20921.25</v>
      </c>
      <c r="L2" s="47">
        <v>-0.11992773810997834</v>
      </c>
      <c r="O2" s="63">
        <f>COUNTA(K$2:K$1048576)</f>
        <v>39</v>
      </c>
      <c r="P2" s="64">
        <f>COUNTIF(K$2:K$1048576,"&gt;0")/O2</f>
        <v>0.28205128205128205</v>
      </c>
      <c r="Q2" s="64">
        <f>COUNTIF(K$2:K$1048576,"&lt;0")/COUNTA(K$2:K$1048576)</f>
        <v>0.71794871794871795</v>
      </c>
      <c r="R2" s="64">
        <f>AVERAGEIF(L:L,"&gt;0")</f>
        <v>4.4120777958874029E-2</v>
      </c>
      <c r="S2" s="64">
        <f>AVERAGEIF(L:L,"&lt;0")</f>
        <v>-9.6416655756374675E-2</v>
      </c>
      <c r="T2" s="65">
        <f>R2/ABS(S2)</f>
        <v>0.45760535472582953</v>
      </c>
      <c r="U2" s="66">
        <f>AVERAGEIF(K:K,"&gt;0")</f>
        <v>3766.4218181818183</v>
      </c>
      <c r="V2" s="68">
        <f>AVERAGEIF(K:K,"&lt;0")</f>
        <v>-5968.5582142857147</v>
      </c>
      <c r="W2" s="65">
        <f>U2/ABS(V2)</f>
        <v>0.63104382716196117</v>
      </c>
      <c r="X2" s="67">
        <f>SUM(K:K)</f>
        <v>-125688.99000000003</v>
      </c>
    </row>
    <row r="3" spans="1:24" x14ac:dyDescent="0.25">
      <c r="A3" t="s">
        <v>38</v>
      </c>
      <c r="B3" t="s">
        <v>197</v>
      </c>
      <c r="C3" s="50">
        <v>44523</v>
      </c>
      <c r="D3" t="s">
        <v>306</v>
      </c>
      <c r="E3">
        <v>6667</v>
      </c>
      <c r="F3" s="49">
        <v>186666.32</v>
      </c>
      <c r="G3" s="49">
        <v>27.998548072596371</v>
      </c>
      <c r="H3">
        <v>6667</v>
      </c>
      <c r="I3" s="49">
        <v>162895.35</v>
      </c>
      <c r="J3" s="49">
        <v>24.433080845957704</v>
      </c>
      <c r="K3" s="57">
        <v>-23770.97</v>
      </c>
      <c r="L3" s="47">
        <v>-0.1273447186401917</v>
      </c>
    </row>
    <row r="4" spans="1:24" x14ac:dyDescent="0.25">
      <c r="A4" t="s">
        <v>38</v>
      </c>
      <c r="B4" t="s">
        <v>197</v>
      </c>
      <c r="C4" s="50">
        <v>44530</v>
      </c>
      <c r="D4" t="s">
        <v>230</v>
      </c>
      <c r="E4">
        <v>650</v>
      </c>
      <c r="F4" s="49">
        <v>127277.95</v>
      </c>
      <c r="G4" s="49">
        <v>195.81223076923075</v>
      </c>
      <c r="H4">
        <v>650</v>
      </c>
      <c r="I4" s="49">
        <v>108920.37</v>
      </c>
      <c r="J4" s="49">
        <v>167.56979999999999</v>
      </c>
      <c r="K4" s="57">
        <v>-18357.580000000002</v>
      </c>
      <c r="L4" s="47">
        <v>-0.14423220989967231</v>
      </c>
    </row>
    <row r="5" spans="1:24" x14ac:dyDescent="0.25">
      <c r="A5" t="s">
        <v>38</v>
      </c>
      <c r="B5" t="s">
        <v>197</v>
      </c>
      <c r="C5" s="50">
        <v>44531</v>
      </c>
      <c r="D5" t="s">
        <v>297</v>
      </c>
      <c r="E5">
        <v>1150</v>
      </c>
      <c r="F5" s="49">
        <v>123794.75</v>
      </c>
      <c r="G5" s="49">
        <v>107.64760869565217</v>
      </c>
      <c r="H5">
        <v>1150</v>
      </c>
      <c r="I5" s="49">
        <v>132867.78</v>
      </c>
      <c r="J5" s="49">
        <v>115.5372</v>
      </c>
      <c r="K5" s="57">
        <v>9073.0299999999988</v>
      </c>
      <c r="L5" s="47">
        <v>7.3290910963510217E-2</v>
      </c>
    </row>
    <row r="6" spans="1:24" x14ac:dyDescent="0.25">
      <c r="A6" t="s">
        <v>38</v>
      </c>
      <c r="B6" t="s">
        <v>197</v>
      </c>
      <c r="C6" s="50">
        <v>44531</v>
      </c>
      <c r="D6" t="s">
        <v>298</v>
      </c>
      <c r="E6">
        <v>3000</v>
      </c>
      <c r="F6" s="49">
        <v>82911.06</v>
      </c>
      <c r="G6" s="49">
        <v>27.63702</v>
      </c>
      <c r="H6">
        <v>3000</v>
      </c>
      <c r="I6" s="49">
        <v>92621.35</v>
      </c>
      <c r="J6" s="49">
        <v>30.873783333333336</v>
      </c>
      <c r="K6" s="57">
        <v>9710.2900000000081</v>
      </c>
      <c r="L6" s="47">
        <v>0.11711694434976477</v>
      </c>
    </row>
    <row r="7" spans="1:24" x14ac:dyDescent="0.25">
      <c r="A7" t="s">
        <v>38</v>
      </c>
      <c r="B7" t="s">
        <v>197</v>
      </c>
      <c r="C7" s="60">
        <v>44543</v>
      </c>
      <c r="D7" t="s">
        <v>297</v>
      </c>
      <c r="E7">
        <v>325</v>
      </c>
      <c r="F7" s="57">
        <v>39633.379999999997</v>
      </c>
      <c r="G7" s="49">
        <v>121.94886153846153</v>
      </c>
      <c r="H7" s="59">
        <v>325</v>
      </c>
      <c r="I7" s="57">
        <v>35072.36</v>
      </c>
      <c r="J7" s="49">
        <v>107.91495384615385</v>
      </c>
      <c r="K7" s="57">
        <v>-4561.0199999999968</v>
      </c>
      <c r="L7" s="54">
        <v>-0.11508026819817023</v>
      </c>
    </row>
    <row r="8" spans="1:24" x14ac:dyDescent="0.25">
      <c r="A8" t="s">
        <v>38</v>
      </c>
      <c r="B8" t="s">
        <v>197</v>
      </c>
      <c r="C8" s="50">
        <v>44559</v>
      </c>
      <c r="D8" t="s">
        <v>79</v>
      </c>
      <c r="E8">
        <v>235</v>
      </c>
      <c r="F8" s="49">
        <v>250125.2</v>
      </c>
      <c r="G8" s="49">
        <v>1064.3625531914895</v>
      </c>
      <c r="H8">
        <v>235</v>
      </c>
      <c r="I8" s="49">
        <v>256059.17</v>
      </c>
      <c r="J8" s="49">
        <v>1089.6134893617022</v>
      </c>
      <c r="K8" s="57">
        <v>5933.9700000000012</v>
      </c>
      <c r="L8" s="47">
        <v>2.3723999021290122E-2</v>
      </c>
    </row>
    <row r="9" spans="1:24" x14ac:dyDescent="0.25">
      <c r="A9" t="s">
        <v>38</v>
      </c>
      <c r="B9" t="s">
        <v>197</v>
      </c>
      <c r="C9" s="50">
        <v>44568</v>
      </c>
      <c r="D9" t="s">
        <v>304</v>
      </c>
      <c r="E9">
        <v>5000</v>
      </c>
      <c r="F9" s="49">
        <v>59941.120000000003</v>
      </c>
      <c r="G9" s="49">
        <v>11.988224000000001</v>
      </c>
      <c r="H9">
        <v>5000</v>
      </c>
      <c r="I9" s="49">
        <v>50179.15</v>
      </c>
      <c r="J9" s="49">
        <v>10.035830000000001</v>
      </c>
      <c r="K9" s="57">
        <v>-9761.9700000000012</v>
      </c>
      <c r="L9" s="47">
        <v>-0.1628593192786521</v>
      </c>
    </row>
    <row r="10" spans="1:24" x14ac:dyDescent="0.25">
      <c r="A10" t="s">
        <v>38</v>
      </c>
      <c r="B10" t="s">
        <v>197</v>
      </c>
      <c r="C10" s="60">
        <v>44582</v>
      </c>
      <c r="D10" t="s">
        <v>307</v>
      </c>
      <c r="E10">
        <v>2500</v>
      </c>
      <c r="F10" s="49">
        <v>154839.42000000001</v>
      </c>
      <c r="G10" s="49">
        <v>61.935768000000003</v>
      </c>
      <c r="H10">
        <v>2500</v>
      </c>
      <c r="I10" s="49">
        <v>150461.31</v>
      </c>
      <c r="J10" s="49">
        <v>60.184523999999996</v>
      </c>
      <c r="K10" s="57">
        <v>-4378.1100000000151</v>
      </c>
      <c r="L10" s="47">
        <v>-2.8275164037685086E-2</v>
      </c>
    </row>
    <row r="11" spans="1:24" x14ac:dyDescent="0.25">
      <c r="A11" t="s">
        <v>38</v>
      </c>
      <c r="B11" t="s">
        <v>197</v>
      </c>
      <c r="C11" s="50">
        <v>44627</v>
      </c>
      <c r="D11" t="s">
        <v>308</v>
      </c>
      <c r="E11">
        <v>3000</v>
      </c>
      <c r="F11" s="49">
        <v>68614.23</v>
      </c>
      <c r="G11" s="49">
        <v>22.871409999999997</v>
      </c>
      <c r="H11">
        <v>3000</v>
      </c>
      <c r="I11" s="49">
        <v>69715.25</v>
      </c>
      <c r="J11" s="49">
        <v>23.238416666666666</v>
      </c>
      <c r="K11" s="57">
        <v>1101.0200000000041</v>
      </c>
      <c r="L11" s="47">
        <v>1.6046525625952598E-2</v>
      </c>
    </row>
    <row r="12" spans="1:24" x14ac:dyDescent="0.25">
      <c r="A12" t="s">
        <v>38</v>
      </c>
      <c r="B12" t="s">
        <v>197</v>
      </c>
      <c r="C12" s="50">
        <v>44628</v>
      </c>
      <c r="D12" t="s">
        <v>309</v>
      </c>
      <c r="E12">
        <v>2500</v>
      </c>
      <c r="F12" s="49">
        <v>49921.1</v>
      </c>
      <c r="G12" s="49">
        <v>19.968440000000001</v>
      </c>
      <c r="H12">
        <v>2500</v>
      </c>
      <c r="I12" s="49">
        <v>47615.49</v>
      </c>
      <c r="J12" s="49">
        <v>19.046195999999998</v>
      </c>
      <c r="K12" s="57">
        <v>-2305.6100000000006</v>
      </c>
      <c r="L12" s="47">
        <v>-4.6185080056329021E-2</v>
      </c>
    </row>
    <row r="13" spans="1:24" x14ac:dyDescent="0.25">
      <c r="A13" t="s">
        <v>38</v>
      </c>
      <c r="B13" t="s">
        <v>197</v>
      </c>
      <c r="C13" s="60">
        <v>44629</v>
      </c>
      <c r="D13" t="s">
        <v>310</v>
      </c>
      <c r="E13">
        <v>100</v>
      </c>
      <c r="F13" s="49">
        <v>29680</v>
      </c>
      <c r="G13" s="49">
        <v>296.8</v>
      </c>
      <c r="H13">
        <v>100</v>
      </c>
      <c r="I13" s="49">
        <v>27819.85</v>
      </c>
      <c r="J13" s="49">
        <v>278.19849999999997</v>
      </c>
      <c r="K13" s="57">
        <v>-1860.1500000000015</v>
      </c>
      <c r="L13" s="47">
        <v>-6.2673517520215785E-2</v>
      </c>
    </row>
    <row r="14" spans="1:24" x14ac:dyDescent="0.25">
      <c r="A14" t="s">
        <v>38</v>
      </c>
      <c r="B14" t="s">
        <v>197</v>
      </c>
      <c r="C14" s="60">
        <v>44629</v>
      </c>
      <c r="D14" t="s">
        <v>311</v>
      </c>
      <c r="E14">
        <v>1000</v>
      </c>
      <c r="F14" s="49">
        <v>77493</v>
      </c>
      <c r="G14" s="49">
        <v>77.492999999999995</v>
      </c>
      <c r="H14">
        <v>1000</v>
      </c>
      <c r="I14" s="49">
        <v>73474.899999999994</v>
      </c>
      <c r="J14" s="49">
        <v>73.474899999999991</v>
      </c>
      <c r="K14" s="57">
        <v>-4018.1000000000058</v>
      </c>
      <c r="L14" s="47">
        <v>-5.1851134941220553E-2</v>
      </c>
    </row>
    <row r="15" spans="1:24" x14ac:dyDescent="0.25">
      <c r="A15" t="s">
        <v>38</v>
      </c>
      <c r="B15" t="s">
        <v>197</v>
      </c>
      <c r="C15" s="50">
        <v>44634</v>
      </c>
      <c r="D15" t="s">
        <v>312</v>
      </c>
      <c r="E15">
        <v>7500</v>
      </c>
      <c r="F15" s="49">
        <v>38437.5</v>
      </c>
      <c r="G15" s="49">
        <v>5.125</v>
      </c>
      <c r="H15">
        <v>7500</v>
      </c>
      <c r="I15" s="49">
        <v>33711.35</v>
      </c>
      <c r="J15" s="49">
        <v>4.4948466666666667</v>
      </c>
      <c r="K15" s="57">
        <v>-4726.1500000000015</v>
      </c>
      <c r="L15" s="47">
        <v>-0.12295674796747967</v>
      </c>
    </row>
    <row r="16" spans="1:24" x14ac:dyDescent="0.25">
      <c r="A16" t="s">
        <v>38</v>
      </c>
      <c r="B16" t="s">
        <v>197</v>
      </c>
      <c r="C16" s="50">
        <v>44634</v>
      </c>
      <c r="D16" t="s">
        <v>313</v>
      </c>
      <c r="E16">
        <v>1000</v>
      </c>
      <c r="F16" s="49">
        <v>26420</v>
      </c>
      <c r="G16" s="49">
        <v>26.42</v>
      </c>
      <c r="H16">
        <v>1000</v>
      </c>
      <c r="I16" s="49">
        <v>25424.84</v>
      </c>
      <c r="J16" s="49">
        <v>25.42484</v>
      </c>
      <c r="K16" s="57">
        <v>-995.15999999999985</v>
      </c>
      <c r="L16" s="47">
        <v>-3.7666919000757075E-2</v>
      </c>
    </row>
    <row r="17" spans="1:12" x14ac:dyDescent="0.25">
      <c r="A17" t="s">
        <v>38</v>
      </c>
      <c r="B17" t="s">
        <v>197</v>
      </c>
      <c r="C17" s="50">
        <v>44644</v>
      </c>
      <c r="D17" t="s">
        <v>314</v>
      </c>
      <c r="E17">
        <v>9750</v>
      </c>
      <c r="F17" s="49">
        <v>50477.67</v>
      </c>
      <c r="G17" s="49">
        <v>5.1771969230769228</v>
      </c>
      <c r="H17">
        <v>9750</v>
      </c>
      <c r="I17" s="49">
        <v>47980.33</v>
      </c>
      <c r="J17" s="49">
        <v>4.9210594871794875</v>
      </c>
      <c r="K17" s="57">
        <v>-2497.3399999999965</v>
      </c>
      <c r="L17" s="47">
        <v>-4.9474153620798947E-2</v>
      </c>
    </row>
    <row r="18" spans="1:12" x14ac:dyDescent="0.25">
      <c r="A18" t="s">
        <v>38</v>
      </c>
      <c r="B18" t="s">
        <v>197</v>
      </c>
      <c r="C18" s="50">
        <v>44648</v>
      </c>
      <c r="D18" t="s">
        <v>315</v>
      </c>
      <c r="E18">
        <v>600</v>
      </c>
      <c r="F18" s="49">
        <v>33200.5</v>
      </c>
      <c r="G18" s="49">
        <v>55.334166666666668</v>
      </c>
      <c r="H18">
        <v>600</v>
      </c>
      <c r="I18" s="49">
        <v>33113.910000000003</v>
      </c>
      <c r="J18" s="49">
        <v>55.189850000000007</v>
      </c>
      <c r="K18" s="57">
        <v>-86.589999999996508</v>
      </c>
      <c r="L18" s="47">
        <v>-2.60809325160756E-3</v>
      </c>
    </row>
    <row r="19" spans="1:12" x14ac:dyDescent="0.25">
      <c r="A19" t="s">
        <v>38</v>
      </c>
      <c r="B19" t="s">
        <v>197</v>
      </c>
      <c r="C19" s="50">
        <v>44651</v>
      </c>
      <c r="D19" t="s">
        <v>146</v>
      </c>
      <c r="E19">
        <v>75</v>
      </c>
      <c r="F19" s="49">
        <v>246054</v>
      </c>
      <c r="G19" s="49">
        <v>3280.72</v>
      </c>
      <c r="H19">
        <v>75</v>
      </c>
      <c r="I19" s="49">
        <v>247577.98</v>
      </c>
      <c r="J19" s="49">
        <v>3301.0397333333335</v>
      </c>
      <c r="K19" s="57">
        <v>1523.9800000000105</v>
      </c>
      <c r="L19" s="47">
        <v>6.193681061880842E-3</v>
      </c>
    </row>
    <row r="20" spans="1:12" x14ac:dyDescent="0.25">
      <c r="A20" t="s">
        <v>38</v>
      </c>
      <c r="B20" t="s">
        <v>197</v>
      </c>
      <c r="C20" s="50">
        <v>44651</v>
      </c>
      <c r="D20" t="s">
        <v>316</v>
      </c>
      <c r="E20">
        <v>1800</v>
      </c>
      <c r="F20" s="49">
        <v>72133.61</v>
      </c>
      <c r="G20" s="49">
        <v>40.074227777777779</v>
      </c>
      <c r="H20">
        <v>1800</v>
      </c>
      <c r="I20" s="49">
        <v>70812.479999999996</v>
      </c>
      <c r="J20" s="49">
        <v>39.340266666666665</v>
      </c>
      <c r="K20" s="57">
        <v>-1321.1300000000047</v>
      </c>
      <c r="L20" s="47">
        <v>-1.831504065857795E-2</v>
      </c>
    </row>
    <row r="21" spans="1:12" x14ac:dyDescent="0.25">
      <c r="A21" t="s">
        <v>38</v>
      </c>
      <c r="B21" t="s">
        <v>197</v>
      </c>
      <c r="C21" s="50">
        <v>44651</v>
      </c>
      <c r="D21" t="s">
        <v>317</v>
      </c>
      <c r="E21">
        <v>1000</v>
      </c>
      <c r="F21" s="49">
        <v>64111.55</v>
      </c>
      <c r="G21" s="49">
        <v>64.111550000000008</v>
      </c>
      <c r="H21">
        <v>1000</v>
      </c>
      <c r="I21" s="49">
        <v>56913.3</v>
      </c>
      <c r="J21" s="49">
        <v>56.9133</v>
      </c>
      <c r="K21" s="57">
        <v>-7198.25</v>
      </c>
      <c r="L21" s="47">
        <v>-0.11227696101560496</v>
      </c>
    </row>
    <row r="22" spans="1:12" x14ac:dyDescent="0.25">
      <c r="A22" t="s">
        <v>38</v>
      </c>
      <c r="B22" t="s">
        <v>197</v>
      </c>
      <c r="C22" s="50">
        <v>44658</v>
      </c>
      <c r="D22" t="s">
        <v>318</v>
      </c>
      <c r="E22">
        <v>1500</v>
      </c>
      <c r="F22" s="49">
        <v>77727.930000000008</v>
      </c>
      <c r="G22" s="49">
        <v>51.818620000000003</v>
      </c>
      <c r="H22">
        <v>1500</v>
      </c>
      <c r="I22" s="49">
        <v>70281.95</v>
      </c>
      <c r="J22" s="49">
        <v>46.854633333333332</v>
      </c>
      <c r="K22" s="57">
        <v>-7445.9800000000105</v>
      </c>
      <c r="L22" s="47">
        <v>-9.5795423858579601E-2</v>
      </c>
    </row>
    <row r="23" spans="1:12" x14ac:dyDescent="0.25">
      <c r="A23" t="s">
        <v>38</v>
      </c>
      <c r="B23" t="s">
        <v>197</v>
      </c>
      <c r="C23" s="50">
        <v>44664</v>
      </c>
      <c r="D23" t="s">
        <v>319</v>
      </c>
      <c r="E23">
        <v>1000</v>
      </c>
      <c r="F23" s="49">
        <v>86850.18</v>
      </c>
      <c r="G23" s="49">
        <v>86.850179999999995</v>
      </c>
      <c r="H23">
        <v>1000</v>
      </c>
      <c r="I23" s="49">
        <v>92620.4</v>
      </c>
      <c r="J23" s="49">
        <v>92.620399999999989</v>
      </c>
      <c r="K23" s="57">
        <v>5770.2200000000012</v>
      </c>
      <c r="L23" s="47">
        <v>6.6438779977197465E-2</v>
      </c>
    </row>
    <row r="24" spans="1:12" x14ac:dyDescent="0.25">
      <c r="A24" t="s">
        <v>38</v>
      </c>
      <c r="B24" t="s">
        <v>197</v>
      </c>
      <c r="C24" s="50">
        <v>44672</v>
      </c>
      <c r="D24" t="s">
        <v>274</v>
      </c>
      <c r="E24">
        <v>2000</v>
      </c>
      <c r="F24" s="49">
        <v>56797.62</v>
      </c>
      <c r="G24" s="49">
        <v>28.398810000000001</v>
      </c>
      <c r="H24">
        <v>2000</v>
      </c>
      <c r="I24" s="49">
        <v>58613.69</v>
      </c>
      <c r="J24" s="49">
        <v>29.306845000000003</v>
      </c>
      <c r="K24" s="57">
        <v>1816.0699999999997</v>
      </c>
      <c r="L24" s="47">
        <v>3.1974403152808223E-2</v>
      </c>
    </row>
    <row r="25" spans="1:12" x14ac:dyDescent="0.25">
      <c r="A25" t="s">
        <v>38</v>
      </c>
      <c r="B25" t="s">
        <v>197</v>
      </c>
      <c r="C25" s="50">
        <v>44750</v>
      </c>
      <c r="D25" t="s">
        <v>320</v>
      </c>
      <c r="E25">
        <v>1500</v>
      </c>
      <c r="F25" s="49">
        <v>62318.69</v>
      </c>
      <c r="G25" s="49">
        <v>41.545793333333336</v>
      </c>
      <c r="H25">
        <v>1500</v>
      </c>
      <c r="I25" s="49">
        <v>59563.87</v>
      </c>
      <c r="J25" s="49">
        <v>39.709246666666665</v>
      </c>
      <c r="K25" s="57">
        <v>-2754.8199999999997</v>
      </c>
      <c r="L25" s="47">
        <v>-4.4205357975272037E-2</v>
      </c>
    </row>
    <row r="26" spans="1:12" x14ac:dyDescent="0.25">
      <c r="A26" t="s">
        <v>38</v>
      </c>
      <c r="B26" t="s">
        <v>197</v>
      </c>
      <c r="C26" s="50">
        <v>44756</v>
      </c>
      <c r="D26" t="s">
        <v>321</v>
      </c>
      <c r="E26">
        <v>2000</v>
      </c>
      <c r="F26" s="49">
        <v>50504.4</v>
      </c>
      <c r="G26" s="49">
        <v>25.252200000000002</v>
      </c>
      <c r="H26">
        <v>2000</v>
      </c>
      <c r="I26" s="49">
        <v>46112.58</v>
      </c>
      <c r="J26" s="49">
        <v>23.056290000000001</v>
      </c>
      <c r="K26" s="57">
        <v>-4391.82</v>
      </c>
      <c r="L26" s="47">
        <v>-8.6959156033929758E-2</v>
      </c>
    </row>
    <row r="27" spans="1:12" x14ac:dyDescent="0.25">
      <c r="A27" t="s">
        <v>38</v>
      </c>
      <c r="B27" t="s">
        <v>197</v>
      </c>
      <c r="C27" s="50">
        <v>44805</v>
      </c>
      <c r="D27" t="s">
        <v>222</v>
      </c>
      <c r="E27">
        <v>350</v>
      </c>
      <c r="F27" s="49">
        <v>39810.75</v>
      </c>
      <c r="G27" s="49">
        <v>113.745</v>
      </c>
      <c r="H27">
        <v>350</v>
      </c>
      <c r="I27" s="49">
        <v>34652.559999999998</v>
      </c>
      <c r="J27" s="49">
        <v>99.007314285714273</v>
      </c>
      <c r="K27" s="57">
        <v>-5158.1900000000023</v>
      </c>
      <c r="L27" s="47">
        <v>-0.12956776749998444</v>
      </c>
    </row>
    <row r="28" spans="1:12" x14ac:dyDescent="0.25">
      <c r="A28" t="s">
        <v>38</v>
      </c>
      <c r="B28" t="s">
        <v>197</v>
      </c>
      <c r="C28" s="50">
        <v>44805</v>
      </c>
      <c r="D28" t="s">
        <v>322</v>
      </c>
      <c r="E28">
        <v>570</v>
      </c>
      <c r="F28" s="49">
        <v>14252.85</v>
      </c>
      <c r="G28" s="49">
        <v>25.004999999999999</v>
      </c>
      <c r="H28">
        <v>570</v>
      </c>
      <c r="I28" s="49">
        <v>12242.68</v>
      </c>
      <c r="J28" s="49">
        <v>21.478385964912281</v>
      </c>
      <c r="K28" s="57">
        <v>-2010.17</v>
      </c>
      <c r="L28" s="47">
        <v>-0.1410363541326822</v>
      </c>
    </row>
    <row r="29" spans="1:12" x14ac:dyDescent="0.25">
      <c r="A29" t="s">
        <v>38</v>
      </c>
      <c r="B29" t="s">
        <v>197</v>
      </c>
      <c r="C29" s="50">
        <v>44805</v>
      </c>
      <c r="D29" t="s">
        <v>323</v>
      </c>
      <c r="E29">
        <v>180</v>
      </c>
      <c r="F29" s="49">
        <v>52921</v>
      </c>
      <c r="G29" s="49">
        <v>294.00555555555553</v>
      </c>
      <c r="H29">
        <v>180</v>
      </c>
      <c r="I29" s="49">
        <v>48936.26</v>
      </c>
      <c r="J29" s="49">
        <v>271.86811111111115</v>
      </c>
      <c r="K29" s="57">
        <v>-3984.739999999998</v>
      </c>
      <c r="L29" s="47">
        <v>-7.5296007256098516E-2</v>
      </c>
    </row>
    <row r="30" spans="1:12" x14ac:dyDescent="0.25">
      <c r="A30" t="s">
        <v>38</v>
      </c>
      <c r="B30" t="s">
        <v>197</v>
      </c>
      <c r="C30" s="50">
        <v>44806</v>
      </c>
      <c r="D30" t="s">
        <v>324</v>
      </c>
      <c r="E30">
        <v>200</v>
      </c>
      <c r="F30" s="49">
        <v>50736</v>
      </c>
      <c r="G30" s="49">
        <v>253.68</v>
      </c>
      <c r="H30">
        <v>200</v>
      </c>
      <c r="I30" s="49">
        <v>52084.03</v>
      </c>
      <c r="J30" s="49">
        <v>260.42014999999998</v>
      </c>
      <c r="K30" s="57">
        <v>1348.0299999999988</v>
      </c>
      <c r="L30" s="47">
        <v>2.6569497004099541E-2</v>
      </c>
    </row>
    <row r="31" spans="1:12" x14ac:dyDescent="0.25">
      <c r="A31" t="s">
        <v>38</v>
      </c>
      <c r="B31" t="s">
        <v>197</v>
      </c>
      <c r="C31" s="50">
        <v>44826</v>
      </c>
      <c r="D31" t="s">
        <v>325</v>
      </c>
      <c r="E31">
        <v>560</v>
      </c>
      <c r="F31" s="49">
        <v>67202.8</v>
      </c>
      <c r="G31" s="49">
        <v>120.00500000000001</v>
      </c>
      <c r="H31">
        <v>560</v>
      </c>
      <c r="I31" s="49">
        <v>63080.36</v>
      </c>
      <c r="J31" s="49">
        <v>112.6435</v>
      </c>
      <c r="K31" s="57">
        <v>-4122.4400000000023</v>
      </c>
      <c r="L31" s="47">
        <v>-6.1343277363443242E-2</v>
      </c>
    </row>
    <row r="32" spans="1:12" x14ac:dyDescent="0.25">
      <c r="A32" t="s">
        <v>38</v>
      </c>
      <c r="B32" t="s">
        <v>197</v>
      </c>
      <c r="C32" s="50">
        <v>44960</v>
      </c>
      <c r="D32" t="s">
        <v>326</v>
      </c>
      <c r="E32">
        <v>1200</v>
      </c>
      <c r="F32" s="49">
        <v>17885.599999999999</v>
      </c>
      <c r="G32" s="49">
        <v>14.904666666666666</v>
      </c>
      <c r="H32">
        <v>1200</v>
      </c>
      <c r="I32" s="49">
        <v>15381.86</v>
      </c>
      <c r="J32" s="49">
        <v>12.818216666666666</v>
      </c>
      <c r="K32" s="57">
        <v>-2503.739999999998</v>
      </c>
      <c r="L32" s="47">
        <v>-0.13998635774030502</v>
      </c>
    </row>
    <row r="33" spans="1:12" x14ac:dyDescent="0.25">
      <c r="A33" t="s">
        <v>38</v>
      </c>
      <c r="B33" t="s">
        <v>197</v>
      </c>
      <c r="C33" s="50">
        <v>44960</v>
      </c>
      <c r="D33" t="s">
        <v>327</v>
      </c>
      <c r="E33">
        <v>400</v>
      </c>
      <c r="F33" s="49">
        <v>24505.58</v>
      </c>
      <c r="G33" s="49">
        <v>61.263950000000001</v>
      </c>
      <c r="H33">
        <v>400</v>
      </c>
      <c r="I33" s="49">
        <v>26941.32</v>
      </c>
      <c r="J33" s="49">
        <v>67.353300000000004</v>
      </c>
      <c r="K33" s="57">
        <v>2435.739999999998</v>
      </c>
      <c r="L33" s="47">
        <v>9.939532139210748E-2</v>
      </c>
    </row>
    <row r="34" spans="1:12" x14ac:dyDescent="0.25">
      <c r="A34" t="s">
        <v>38</v>
      </c>
      <c r="B34" t="s">
        <v>197</v>
      </c>
      <c r="C34" s="50">
        <v>44971</v>
      </c>
      <c r="D34" t="s">
        <v>328</v>
      </c>
      <c r="E34">
        <v>3000</v>
      </c>
      <c r="F34" s="49">
        <v>52804.5</v>
      </c>
      <c r="G34" s="49">
        <v>17.601500000000001</v>
      </c>
      <c r="H34">
        <v>3000</v>
      </c>
      <c r="I34" s="49">
        <v>32896.36</v>
      </c>
      <c r="J34" s="49">
        <v>10.965453333333334</v>
      </c>
      <c r="K34" s="57">
        <v>-19908.14</v>
      </c>
      <c r="L34" s="47">
        <v>-0.37701597401736592</v>
      </c>
    </row>
    <row r="35" spans="1:12" x14ac:dyDescent="0.25">
      <c r="A35" t="s">
        <v>38</v>
      </c>
      <c r="B35" t="s">
        <v>197</v>
      </c>
      <c r="C35" s="50">
        <v>44972</v>
      </c>
      <c r="D35" t="s">
        <v>50</v>
      </c>
      <c r="E35">
        <v>1250</v>
      </c>
      <c r="F35" s="49">
        <v>285231.25</v>
      </c>
      <c r="G35" s="49">
        <v>228.185</v>
      </c>
      <c r="H35">
        <v>1250</v>
      </c>
      <c r="I35" s="49">
        <v>287599.48</v>
      </c>
      <c r="J35" s="49">
        <v>230.07958399999998</v>
      </c>
      <c r="K35" s="57">
        <v>2368.2299999999814</v>
      </c>
      <c r="L35" s="47">
        <v>8.3028419922430499E-3</v>
      </c>
    </row>
    <row r="36" spans="1:12" x14ac:dyDescent="0.25">
      <c r="A36" t="s">
        <v>38</v>
      </c>
      <c r="B36" t="s">
        <v>197</v>
      </c>
      <c r="C36" s="50">
        <v>44973</v>
      </c>
      <c r="D36" t="s">
        <v>329</v>
      </c>
      <c r="E36">
        <v>400</v>
      </c>
      <c r="F36" s="49">
        <v>28850</v>
      </c>
      <c r="G36" s="49">
        <v>72.125</v>
      </c>
      <c r="H36">
        <v>400</v>
      </c>
      <c r="I36" s="49">
        <v>27403.33</v>
      </c>
      <c r="J36" s="49">
        <v>68.508324999999999</v>
      </c>
      <c r="K36" s="57">
        <v>-1446.6699999999983</v>
      </c>
      <c r="L36" s="47">
        <v>-5.0144540727902955E-2</v>
      </c>
    </row>
    <row r="37" spans="1:12" x14ac:dyDescent="0.25">
      <c r="A37" t="s">
        <v>38</v>
      </c>
      <c r="B37" t="s">
        <v>197</v>
      </c>
      <c r="C37" s="50">
        <v>44978</v>
      </c>
      <c r="D37" t="s">
        <v>225</v>
      </c>
      <c r="E37">
        <v>2000</v>
      </c>
      <c r="F37" s="49">
        <v>20620</v>
      </c>
      <c r="G37" s="49">
        <v>10.31</v>
      </c>
      <c r="H37">
        <v>2000</v>
      </c>
      <c r="I37" s="49">
        <v>16993.849999999999</v>
      </c>
      <c r="J37" s="49">
        <v>8.4969249999999992</v>
      </c>
      <c r="K37" s="57">
        <v>-3626.1500000000015</v>
      </c>
      <c r="L37" s="47">
        <v>-0.17585596508244436</v>
      </c>
    </row>
    <row r="38" spans="1:12" x14ac:dyDescent="0.25">
      <c r="A38" t="s">
        <v>38</v>
      </c>
      <c r="B38" t="s">
        <v>197</v>
      </c>
      <c r="C38" s="50">
        <v>44979</v>
      </c>
      <c r="D38" t="s">
        <v>330</v>
      </c>
      <c r="E38">
        <v>1500</v>
      </c>
      <c r="F38" s="49">
        <v>51330.5</v>
      </c>
      <c r="G38" s="49">
        <v>34.220333333333336</v>
      </c>
      <c r="H38">
        <v>1500</v>
      </c>
      <c r="I38" s="49">
        <v>50362.97</v>
      </c>
      <c r="J38" s="49">
        <v>33.575313333333334</v>
      </c>
      <c r="K38" s="57">
        <v>-967.52999999999884</v>
      </c>
      <c r="L38" s="47">
        <v>-1.8849027381381507E-2</v>
      </c>
    </row>
    <row r="39" spans="1:12" x14ac:dyDescent="0.25">
      <c r="A39" t="s">
        <v>38</v>
      </c>
      <c r="B39" t="s">
        <v>197</v>
      </c>
      <c r="C39" s="50">
        <v>44980</v>
      </c>
      <c r="D39" t="s">
        <v>295</v>
      </c>
      <c r="E39">
        <v>5000</v>
      </c>
      <c r="F39" s="49">
        <v>20021.38</v>
      </c>
      <c r="G39" s="49">
        <v>4.0042759999999999</v>
      </c>
      <c r="H39">
        <v>5000</v>
      </c>
      <c r="I39" s="49">
        <v>17981.52</v>
      </c>
      <c r="J39" s="49">
        <v>3.5963039999999999</v>
      </c>
      <c r="K39" s="57">
        <v>-2039.8600000000006</v>
      </c>
      <c r="L39" s="47">
        <v>-0.1018840859121599</v>
      </c>
    </row>
    <row r="40" spans="1:12" x14ac:dyDescent="0.25">
      <c r="A40" t="s">
        <v>38</v>
      </c>
      <c r="B40" t="s">
        <v>197</v>
      </c>
      <c r="C40" s="50">
        <v>44981</v>
      </c>
      <c r="D40" t="s">
        <v>294</v>
      </c>
      <c r="E40">
        <v>1000</v>
      </c>
      <c r="F40" s="49">
        <v>21508.2</v>
      </c>
      <c r="G40" s="49">
        <v>21.508200000000002</v>
      </c>
      <c r="H40">
        <v>1000</v>
      </c>
      <c r="I40" s="49">
        <v>21858.26</v>
      </c>
      <c r="J40" s="49">
        <v>21.858259999999998</v>
      </c>
      <c r="K40" s="57">
        <v>350.05999999999767</v>
      </c>
      <c r="L40" s="47">
        <v>1.6275653006760007E-2</v>
      </c>
    </row>
  </sheetData>
  <conditionalFormatting sqref="K1:K11 K13:K1048576">
    <cfRule type="colorScale" priority="2">
      <colorScale>
        <cfvo type="min"/>
        <cfvo type="percentile" val="50"/>
        <cfvo type="max"/>
        <color rgb="FFF8696B"/>
        <color rgb="FFFFEB84"/>
        <color rgb="FF63BE7B"/>
      </colorScale>
    </cfRule>
  </conditionalFormatting>
  <conditionalFormatting sqref="K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CAAF-7B77-46C5-99A3-AF4FD4DCA1A5}">
  <dimension ref="A1:W18"/>
  <sheetViews>
    <sheetView workbookViewId="0">
      <selection activeCell="P33" sqref="P33"/>
    </sheetView>
  </sheetViews>
  <sheetFormatPr defaultRowHeight="15" x14ac:dyDescent="0.25"/>
  <cols>
    <col min="1" max="1" width="14.5703125" bestFit="1" customWidth="1"/>
    <col min="2" max="2" width="12.28515625" style="50" bestFit="1" customWidth="1"/>
    <col min="5" max="5" width="12.5703125" style="57" bestFit="1" customWidth="1"/>
    <col min="6" max="6" width="9" style="49" bestFit="1" customWidth="1"/>
    <col min="7" max="7" width="9.7109375" bestFit="1" customWidth="1"/>
    <col min="8" max="8" width="13.140625" style="57" bestFit="1" customWidth="1"/>
    <col min="9" max="9" width="9" style="49" bestFit="1" customWidth="1"/>
    <col min="10" max="10" width="9.7109375" style="57" bestFit="1" customWidth="1"/>
    <col min="11" max="11" width="6.85546875" style="47" bestFit="1" customWidth="1"/>
  </cols>
  <sheetData>
    <row r="1" spans="1:23" x14ac:dyDescent="0.25">
      <c r="A1" s="20" t="s">
        <v>141</v>
      </c>
      <c r="B1" s="51" t="s">
        <v>142</v>
      </c>
      <c r="C1" s="20" t="s">
        <v>10</v>
      </c>
      <c r="D1" s="20" t="s">
        <v>143</v>
      </c>
      <c r="E1" s="62" t="s">
        <v>144</v>
      </c>
      <c r="F1" s="48" t="s">
        <v>26</v>
      </c>
      <c r="G1" s="20" t="s">
        <v>143</v>
      </c>
      <c r="H1" s="62" t="s">
        <v>145</v>
      </c>
      <c r="I1" s="48" t="s">
        <v>26</v>
      </c>
      <c r="J1" s="56" t="s">
        <v>30</v>
      </c>
      <c r="K1" s="46" t="s">
        <v>169</v>
      </c>
      <c r="N1" s="46" t="s">
        <v>158</v>
      </c>
      <c r="O1" s="46" t="s">
        <v>159</v>
      </c>
      <c r="P1" s="46" t="s">
        <v>160</v>
      </c>
      <c r="Q1" s="46" t="s">
        <v>163</v>
      </c>
      <c r="R1" s="46" t="s">
        <v>164</v>
      </c>
      <c r="S1" s="46" t="s">
        <v>161</v>
      </c>
      <c r="T1" s="56" t="s">
        <v>258</v>
      </c>
      <c r="U1" s="55" t="s">
        <v>259</v>
      </c>
      <c r="V1" s="46" t="s">
        <v>260</v>
      </c>
      <c r="W1" s="46" t="s">
        <v>162</v>
      </c>
    </row>
    <row r="2" spans="1:23" x14ac:dyDescent="0.25">
      <c r="A2" t="s">
        <v>152</v>
      </c>
      <c r="B2" s="50">
        <v>45020</v>
      </c>
      <c r="C2" t="s">
        <v>294</v>
      </c>
      <c r="D2">
        <v>12</v>
      </c>
      <c r="E2" s="57">
        <v>4016.39</v>
      </c>
      <c r="F2" s="49">
        <v>3.3469916666666664</v>
      </c>
      <c r="G2">
        <v>12</v>
      </c>
      <c r="H2" s="57">
        <v>5161.74</v>
      </c>
      <c r="I2" s="49">
        <v>4.30145</v>
      </c>
      <c r="J2" s="57">
        <v>1145.3499999999999</v>
      </c>
      <c r="K2" s="47">
        <v>0.28516901994079269</v>
      </c>
      <c r="N2" s="63">
        <f>COUNTA(J$2:J$1048576)</f>
        <v>17</v>
      </c>
      <c r="O2" s="64">
        <f>COUNTIF(J$2:J$1048576,"&gt;0")/N2</f>
        <v>0.11764705882352941</v>
      </c>
      <c r="P2" s="64">
        <f>COUNTIF(J$2:J$1048576,"&lt;0")/COUNTA(J$2:J$1048576)</f>
        <v>0.88235294117647056</v>
      </c>
      <c r="Q2" s="64">
        <f>AVERAGEIF(K:K,"&gt;0")</f>
        <v>0.45626690964195021</v>
      </c>
      <c r="R2" s="64">
        <f>AVERAGEIF(K:K,"&lt;0")</f>
        <v>-0.43977137026258178</v>
      </c>
      <c r="S2" s="65">
        <f>Q2/ABS(R2)</f>
        <v>1.0375093525745416</v>
      </c>
      <c r="T2" s="66">
        <f>AVERAGEIF(J:J,"&gt;0")</f>
        <v>1818.0600000000002</v>
      </c>
      <c r="U2" s="68">
        <f>AVERAGEIF(J:J,"&lt;0")</f>
        <v>-5497.1453333333329</v>
      </c>
      <c r="V2" s="65">
        <f>T2/ABS(U2)</f>
        <v>0.33072802150158426</v>
      </c>
      <c r="W2" s="67">
        <f>SUM(J:J)</f>
        <v>-78821.06</v>
      </c>
    </row>
    <row r="3" spans="1:23" x14ac:dyDescent="0.25">
      <c r="A3" t="s">
        <v>152</v>
      </c>
      <c r="B3" s="50">
        <v>45020</v>
      </c>
      <c r="C3" t="s">
        <v>203</v>
      </c>
      <c r="D3">
        <v>40</v>
      </c>
      <c r="E3" s="57">
        <v>4032.96</v>
      </c>
      <c r="F3" s="49">
        <v>1.00824</v>
      </c>
      <c r="G3">
        <v>40</v>
      </c>
      <c r="H3" s="57">
        <v>3801.91</v>
      </c>
      <c r="I3" s="49">
        <v>0.95047749999999998</v>
      </c>
      <c r="J3" s="57">
        <v>-231.05000000000018</v>
      </c>
      <c r="K3" s="47">
        <v>-5.7290426882488345E-2</v>
      </c>
    </row>
    <row r="4" spans="1:23" x14ac:dyDescent="0.25">
      <c r="A4" t="s">
        <v>152</v>
      </c>
      <c r="B4" s="50">
        <v>45020</v>
      </c>
      <c r="C4" t="s">
        <v>295</v>
      </c>
      <c r="D4">
        <v>50</v>
      </c>
      <c r="E4" s="57">
        <v>4247.45</v>
      </c>
      <c r="F4" s="49">
        <v>0.84948999999999997</v>
      </c>
      <c r="G4">
        <v>50</v>
      </c>
      <c r="H4" s="57">
        <v>964.92</v>
      </c>
      <c r="I4" s="49">
        <v>0.19298400000000002</v>
      </c>
      <c r="J4" s="57">
        <v>-3282.5299999999997</v>
      </c>
      <c r="K4" s="47">
        <v>-0.77282369421652986</v>
      </c>
    </row>
    <row r="5" spans="1:23" x14ac:dyDescent="0.25">
      <c r="A5" t="s">
        <v>152</v>
      </c>
      <c r="B5" s="50">
        <v>44869</v>
      </c>
      <c r="C5" t="s">
        <v>296</v>
      </c>
      <c r="D5">
        <v>25</v>
      </c>
      <c r="E5" s="57">
        <v>13017.48</v>
      </c>
      <c r="F5" s="49">
        <v>5.2069920000000005</v>
      </c>
      <c r="G5">
        <v>25</v>
      </c>
      <c r="H5" s="57">
        <v>1254.21</v>
      </c>
      <c r="I5" s="49">
        <v>0.50168400000000002</v>
      </c>
      <c r="J5" s="57">
        <v>-11763.27</v>
      </c>
      <c r="K5" s="47">
        <v>-0.90365185888512989</v>
      </c>
    </row>
    <row r="6" spans="1:23" x14ac:dyDescent="0.25">
      <c r="A6" t="s">
        <v>152</v>
      </c>
      <c r="B6" s="50">
        <v>44805</v>
      </c>
      <c r="C6" t="s">
        <v>222</v>
      </c>
      <c r="D6">
        <v>8</v>
      </c>
      <c r="E6" s="57">
        <v>4759.59</v>
      </c>
      <c r="F6" s="49">
        <v>5.9494875</v>
      </c>
      <c r="G6">
        <v>8</v>
      </c>
      <c r="H6" s="57">
        <v>3000.32</v>
      </c>
      <c r="I6" s="49">
        <v>3.7504000000000004</v>
      </c>
      <c r="J6" s="57">
        <v>-1759.27</v>
      </c>
      <c r="K6" s="47">
        <v>-0.36962637538107268</v>
      </c>
    </row>
    <row r="7" spans="1:23" x14ac:dyDescent="0.25">
      <c r="A7" t="s">
        <v>152</v>
      </c>
      <c r="B7" s="50">
        <v>44530</v>
      </c>
      <c r="C7" t="s">
        <v>274</v>
      </c>
      <c r="D7">
        <v>40</v>
      </c>
      <c r="E7" s="57">
        <v>20000</v>
      </c>
      <c r="F7" s="49">
        <v>5</v>
      </c>
      <c r="G7">
        <v>40</v>
      </c>
      <c r="H7" s="57">
        <v>11373.01</v>
      </c>
      <c r="I7" s="49">
        <v>2.8432524999999997</v>
      </c>
      <c r="J7" s="57">
        <v>-8626.99</v>
      </c>
      <c r="K7" s="47">
        <v>-0.43134950000000005</v>
      </c>
    </row>
    <row r="8" spans="1:23" x14ac:dyDescent="0.25">
      <c r="A8" t="s">
        <v>152</v>
      </c>
      <c r="B8" s="50">
        <v>44543</v>
      </c>
      <c r="C8" t="s">
        <v>297</v>
      </c>
      <c r="D8">
        <v>7</v>
      </c>
      <c r="E8" s="57">
        <v>8227.6</v>
      </c>
      <c r="F8" s="49">
        <v>11.753714285714286</v>
      </c>
      <c r="G8">
        <v>7</v>
      </c>
      <c r="H8" s="57">
        <v>3707.37</v>
      </c>
      <c r="I8" s="49">
        <v>5.2962428571428575</v>
      </c>
      <c r="J8" s="57">
        <v>-4520.2300000000005</v>
      </c>
      <c r="K8" s="47">
        <v>-0.54939836647381979</v>
      </c>
    </row>
    <row r="9" spans="1:23" x14ac:dyDescent="0.25">
      <c r="A9" t="s">
        <v>152</v>
      </c>
      <c r="B9" s="50">
        <v>44545</v>
      </c>
      <c r="C9" t="s">
        <v>298</v>
      </c>
      <c r="D9">
        <v>60</v>
      </c>
      <c r="E9" s="57">
        <v>11129.82</v>
      </c>
      <c r="F9" s="49">
        <v>1.8549699999999998</v>
      </c>
      <c r="G9">
        <v>60</v>
      </c>
      <c r="H9" s="57">
        <v>4892.92</v>
      </c>
      <c r="I9" s="49">
        <v>0.81548666666666658</v>
      </c>
      <c r="J9" s="57">
        <v>-6236.9</v>
      </c>
      <c r="K9" s="47">
        <v>-0.56037743647246763</v>
      </c>
    </row>
    <row r="10" spans="1:23" x14ac:dyDescent="0.25">
      <c r="A10" t="s">
        <v>152</v>
      </c>
      <c r="B10" s="50">
        <v>44551</v>
      </c>
      <c r="C10" t="s">
        <v>55</v>
      </c>
      <c r="D10">
        <v>20</v>
      </c>
      <c r="E10" s="57">
        <v>2215.27</v>
      </c>
      <c r="F10" s="49">
        <v>1.1076349999999999</v>
      </c>
      <c r="G10">
        <v>20</v>
      </c>
      <c r="H10" s="57">
        <v>1966.52</v>
      </c>
      <c r="I10" s="49">
        <v>0.98325999999999991</v>
      </c>
      <c r="J10" s="57">
        <v>-248.75</v>
      </c>
      <c r="K10" s="47">
        <v>-0.11228879549671149</v>
      </c>
    </row>
    <row r="11" spans="1:23" x14ac:dyDescent="0.25">
      <c r="A11" t="s">
        <v>152</v>
      </c>
      <c r="B11" s="50">
        <v>44557</v>
      </c>
      <c r="C11" t="s">
        <v>79</v>
      </c>
      <c r="D11">
        <v>2</v>
      </c>
      <c r="E11" s="57">
        <v>42401.34</v>
      </c>
      <c r="F11" s="49">
        <v>212.0067</v>
      </c>
      <c r="G11">
        <v>2</v>
      </c>
      <c r="H11" s="57">
        <v>40759.31</v>
      </c>
      <c r="I11" s="49">
        <v>203.79655</v>
      </c>
      <c r="J11" s="57">
        <v>-1642.0299999999988</v>
      </c>
      <c r="K11" s="47">
        <v>-3.8725898756973243E-2</v>
      </c>
    </row>
    <row r="12" spans="1:23" x14ac:dyDescent="0.25">
      <c r="A12" t="s">
        <v>152</v>
      </c>
      <c r="B12" s="50">
        <v>44559</v>
      </c>
      <c r="C12" t="s">
        <v>299</v>
      </c>
      <c r="D12">
        <v>87</v>
      </c>
      <c r="E12" s="57">
        <v>3970.21</v>
      </c>
      <c r="F12" s="49">
        <v>0.45634597701149426</v>
      </c>
      <c r="G12">
        <v>87</v>
      </c>
      <c r="H12" s="57">
        <v>6460.9800000000005</v>
      </c>
      <c r="I12" s="49">
        <v>0.7426413793103448</v>
      </c>
      <c r="J12" s="57">
        <v>2490.7700000000004</v>
      </c>
      <c r="K12" s="47">
        <v>0.62736479934310774</v>
      </c>
    </row>
    <row r="13" spans="1:23" x14ac:dyDescent="0.25">
      <c r="A13" t="s">
        <v>152</v>
      </c>
      <c r="B13" s="50">
        <v>44566</v>
      </c>
      <c r="C13" t="s">
        <v>300</v>
      </c>
      <c r="D13">
        <v>10</v>
      </c>
      <c r="E13" s="57">
        <v>10499.21</v>
      </c>
      <c r="F13" s="49">
        <v>10.499209999999998</v>
      </c>
      <c r="G13">
        <v>10</v>
      </c>
      <c r="H13" s="57">
        <v>8001.53</v>
      </c>
      <c r="I13" s="49">
        <v>8.0015300000000007</v>
      </c>
      <c r="J13" s="57">
        <v>-2497.6799999999994</v>
      </c>
      <c r="K13" s="47">
        <v>-0.23789218426910194</v>
      </c>
    </row>
    <row r="14" spans="1:23" x14ac:dyDescent="0.25">
      <c r="A14" t="s">
        <v>152</v>
      </c>
      <c r="B14" s="50">
        <v>44557</v>
      </c>
      <c r="C14" t="s">
        <v>301</v>
      </c>
      <c r="D14">
        <v>10</v>
      </c>
      <c r="E14" s="57">
        <v>14173.609999999999</v>
      </c>
      <c r="F14" s="49">
        <v>14.173609999999998</v>
      </c>
      <c r="G14">
        <v>10</v>
      </c>
      <c r="H14" s="57">
        <v>8200.52</v>
      </c>
      <c r="I14" s="49">
        <v>8.2005200000000009</v>
      </c>
      <c r="J14" s="57">
        <v>-5973.0899999999983</v>
      </c>
      <c r="K14" s="47">
        <v>-0.42142333533940879</v>
      </c>
    </row>
    <row r="15" spans="1:23" x14ac:dyDescent="0.25">
      <c r="A15" t="s">
        <v>152</v>
      </c>
      <c r="B15" s="50">
        <v>44585</v>
      </c>
      <c r="C15" t="s">
        <v>302</v>
      </c>
      <c r="D15">
        <v>20</v>
      </c>
      <c r="E15" s="57">
        <v>21413.83</v>
      </c>
      <c r="F15" s="49">
        <v>10.706915000000002</v>
      </c>
      <c r="G15">
        <v>20</v>
      </c>
      <c r="H15" s="57">
        <v>13986.06</v>
      </c>
      <c r="I15" s="49">
        <v>6.9930300000000001</v>
      </c>
      <c r="J15" s="57">
        <v>-7427.7700000000023</v>
      </c>
      <c r="K15" s="47">
        <v>-0.34686788864953177</v>
      </c>
    </row>
    <row r="16" spans="1:23" x14ac:dyDescent="0.25">
      <c r="A16" t="s">
        <v>152</v>
      </c>
      <c r="B16" s="50">
        <v>44585</v>
      </c>
      <c r="C16" t="s">
        <v>303</v>
      </c>
      <c r="D16">
        <v>140</v>
      </c>
      <c r="E16" s="57">
        <v>25260.720000000001</v>
      </c>
      <c r="F16" s="49">
        <v>1.8043371428571431</v>
      </c>
      <c r="G16">
        <v>140</v>
      </c>
      <c r="H16" s="57">
        <v>8690.06</v>
      </c>
      <c r="I16" s="49">
        <v>0.62071857142857145</v>
      </c>
      <c r="J16" s="57">
        <v>-16570.660000000003</v>
      </c>
      <c r="K16" s="47">
        <v>-0.65598526091101128</v>
      </c>
    </row>
    <row r="17" spans="1:11" x14ac:dyDescent="0.25">
      <c r="A17" t="s">
        <v>152</v>
      </c>
      <c r="B17" s="50">
        <v>44610</v>
      </c>
      <c r="C17" t="s">
        <v>304</v>
      </c>
      <c r="D17">
        <v>50</v>
      </c>
      <c r="E17" s="57">
        <v>10528.33</v>
      </c>
      <c r="F17" s="49">
        <v>2.1056659999999998</v>
      </c>
      <c r="G17">
        <v>50</v>
      </c>
      <c r="H17" s="57">
        <v>247.43</v>
      </c>
      <c r="I17" s="49">
        <v>4.9486000000000002E-2</v>
      </c>
      <c r="J17" s="57">
        <v>-10280.9</v>
      </c>
      <c r="K17" s="47">
        <v>-0.97649864698389965</v>
      </c>
    </row>
    <row r="18" spans="1:11" x14ac:dyDescent="0.25">
      <c r="A18" t="s">
        <v>152</v>
      </c>
      <c r="B18" s="50">
        <v>44621</v>
      </c>
      <c r="C18" t="s">
        <v>305</v>
      </c>
      <c r="D18">
        <v>40</v>
      </c>
      <c r="E18" s="57">
        <v>8597.9699999999993</v>
      </c>
      <c r="F18" s="49">
        <v>2.1494924999999996</v>
      </c>
      <c r="G18">
        <v>40</v>
      </c>
      <c r="H18" s="57">
        <v>7201.91</v>
      </c>
      <c r="I18" s="49">
        <v>1.8004775000000002</v>
      </c>
      <c r="J18" s="57">
        <v>-1396.0599999999995</v>
      </c>
      <c r="K18" s="47">
        <v>-0.16237088522058091</v>
      </c>
    </row>
  </sheetData>
  <conditionalFormatting sqref="J1:J2">
    <cfRule type="colorScale" priority="3">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BC2E-F944-41F9-87F8-DD39DAD5FEB1}">
  <sheetPr filterMode="1">
    <tabColor rgb="FF597E94"/>
  </sheetPr>
  <dimension ref="A1:AU2014"/>
  <sheetViews>
    <sheetView zoomScaleNormal="100" workbookViewId="0">
      <pane ySplit="3" topLeftCell="A9" activePane="bottomLeft" state="frozen"/>
      <selection pane="bottomLeft" activeCell="E110" sqref="E110"/>
    </sheetView>
  </sheetViews>
  <sheetFormatPr defaultRowHeight="15" outlineLevelCol="1" x14ac:dyDescent="0.25"/>
  <cols>
    <col min="1" max="2" width="12.140625" style="42" bestFit="1" customWidth="1"/>
    <col min="3" max="3" width="10.140625" style="42" bestFit="1" customWidth="1"/>
    <col min="4" max="4" width="10.140625" style="42" customWidth="1"/>
    <col min="5" max="5" width="9.7109375" style="42" customWidth="1"/>
    <col min="6" max="6" width="11.28515625" style="42" bestFit="1" customWidth="1"/>
    <col min="7" max="7" width="12.28515625" style="42" bestFit="1" customWidth="1"/>
    <col min="8" max="8" width="9.7109375" style="43" bestFit="1" customWidth="1"/>
    <col min="9" max="9" width="12.28515625" style="42" customWidth="1"/>
    <col min="10" max="10" width="11.42578125" style="12" hidden="1" customWidth="1" outlineLevel="1"/>
    <col min="11" max="11" width="13.28515625" style="12" hidden="1" customWidth="1" outlineLevel="1"/>
    <col min="12" max="13" width="11.42578125" style="12" hidden="1" customWidth="1" outlineLevel="1"/>
    <col min="14" max="14" width="13.28515625" style="12" hidden="1" customWidth="1" outlineLevel="1"/>
    <col min="15" max="15" width="11.42578125" style="12" hidden="1" customWidth="1" outlineLevel="1"/>
    <col min="16" max="16" width="13.5703125" style="44" bestFit="1" customWidth="1" collapsed="1"/>
    <col min="17" max="17" width="11.28515625" style="12" bestFit="1" customWidth="1"/>
    <col min="18" max="18" width="11.5703125" style="12" bestFit="1" customWidth="1"/>
    <col min="19" max="19" width="10.5703125" style="12" customWidth="1" outlineLevel="1"/>
    <col min="20" max="20" width="11.5703125" style="12" customWidth="1" outlineLevel="1"/>
    <col min="21" max="21" width="11.28515625" style="12" customWidth="1" outlineLevel="1"/>
    <col min="22" max="22" width="11.5703125" style="12" customWidth="1" outlineLevel="1"/>
    <col min="23" max="23" width="9.140625" customWidth="1" outlineLevel="1"/>
    <col min="24" max="24" width="12.5703125" style="12" bestFit="1" customWidth="1"/>
    <col min="25" max="26" width="13.5703125" style="12" bestFit="1" customWidth="1"/>
    <col min="27" max="27" width="13.140625" style="12" bestFit="1" customWidth="1"/>
    <col min="28" max="28" width="13.140625" style="12" customWidth="1"/>
    <col min="29" max="29" width="15.42578125" style="12" bestFit="1" customWidth="1"/>
    <col min="30" max="30" width="9.140625" style="12"/>
    <col min="31" max="31" width="13.42578125" style="12" bestFit="1" customWidth="1"/>
    <col min="32" max="32" width="9.140625" style="12"/>
    <col min="33" max="33" width="11" style="12" bestFit="1" customWidth="1"/>
    <col min="34" max="47" width="9.140625" style="12"/>
  </cols>
  <sheetData>
    <row r="1" spans="1:33" x14ac:dyDescent="0.25">
      <c r="A1" s="1"/>
      <c r="B1" s="1"/>
      <c r="C1" s="1"/>
      <c r="D1" s="1"/>
      <c r="E1" s="1"/>
      <c r="F1" s="1"/>
      <c r="G1" s="1"/>
      <c r="H1" s="2"/>
      <c r="I1" s="1"/>
      <c r="J1" s="3"/>
      <c r="K1" s="4"/>
      <c r="L1" s="5"/>
      <c r="M1" s="6"/>
      <c r="N1" s="4"/>
      <c r="O1" s="4"/>
      <c r="P1" s="7"/>
      <c r="Q1" s="8">
        <f t="shared" ref="Q1:V1" si="0">AVERAGE(Q4:Q4930)</f>
        <v>1067.2885464355154</v>
      </c>
      <c r="R1" s="9">
        <f t="shared" si="0"/>
        <v>9.3798210232322685E-3</v>
      </c>
      <c r="S1" s="8">
        <f t="shared" si="0"/>
        <v>19289.497292113942</v>
      </c>
      <c r="T1" s="9">
        <f t="shared" si="0"/>
        <v>0.36316855470989001</v>
      </c>
      <c r="U1" s="8">
        <f t="shared" si="0"/>
        <v>-8726.9472755763927</v>
      </c>
      <c r="V1" s="10">
        <f t="shared" si="0"/>
        <v>-0.17916110768076743</v>
      </c>
      <c r="X1" s="11" t="s">
        <v>0</v>
      </c>
      <c r="Y1" s="11" t="s">
        <v>1</v>
      </c>
      <c r="Z1" s="11" t="s">
        <v>2</v>
      </c>
      <c r="AA1" s="11" t="s">
        <v>3</v>
      </c>
      <c r="AB1" s="11" t="s">
        <v>4</v>
      </c>
      <c r="AC1" s="11" t="s">
        <v>5</v>
      </c>
      <c r="AD1" s="12" t="s">
        <v>0</v>
      </c>
      <c r="AE1" s="12" t="s">
        <v>1</v>
      </c>
      <c r="AF1" s="12" t="s">
        <v>3</v>
      </c>
      <c r="AG1" s="12" t="s">
        <v>4</v>
      </c>
    </row>
    <row r="2" spans="1:33" x14ac:dyDescent="0.25">
      <c r="A2" s="13"/>
      <c r="B2" s="13"/>
      <c r="C2" s="13"/>
      <c r="D2" s="13"/>
      <c r="E2" s="14">
        <v>200</v>
      </c>
      <c r="F2" s="13" t="s">
        <v>6</v>
      </c>
      <c r="G2" s="13"/>
      <c r="H2" s="15"/>
      <c r="I2" s="13" t="s">
        <v>7</v>
      </c>
      <c r="J2" s="110" t="s">
        <v>8</v>
      </c>
      <c r="K2" s="111"/>
      <c r="L2" s="112"/>
      <c r="M2" s="110" t="s">
        <v>9</v>
      </c>
      <c r="N2" s="111"/>
      <c r="O2" s="112"/>
      <c r="P2" s="16" t="s">
        <v>10</v>
      </c>
      <c r="Q2" s="110" t="s">
        <v>11</v>
      </c>
      <c r="R2" s="113"/>
      <c r="S2" s="114" t="s">
        <v>12</v>
      </c>
      <c r="T2" s="112"/>
      <c r="U2" s="110" t="s">
        <v>13</v>
      </c>
      <c r="V2" s="111"/>
      <c r="X2" s="17" t="s">
        <v>14</v>
      </c>
      <c r="Y2" s="17" t="s">
        <v>14</v>
      </c>
      <c r="Z2" s="17" t="s">
        <v>14</v>
      </c>
      <c r="AA2" s="17" t="s">
        <v>14</v>
      </c>
      <c r="AB2" s="17" t="s">
        <v>14</v>
      </c>
      <c r="AC2" s="17"/>
      <c r="AD2" s="12">
        <f>COUNTIF(C4:C4999,"Y")</f>
        <v>54</v>
      </c>
      <c r="AE2" s="12">
        <f>COUNTIF(C4:C4999,"N")</f>
        <v>29</v>
      </c>
      <c r="AF2" s="12">
        <f>COUNTIF(B:B,"Y")</f>
        <v>82</v>
      </c>
      <c r="AG2" s="12">
        <f>COUNTIF(B:B,"N")</f>
        <v>52</v>
      </c>
    </row>
    <row r="3" spans="1:33" x14ac:dyDescent="0.25">
      <c r="A3" s="18" t="s">
        <v>15</v>
      </c>
      <c r="B3" s="18" t="s">
        <v>16</v>
      </c>
      <c r="C3" s="18" t="s">
        <v>17</v>
      </c>
      <c r="D3" s="18" t="s">
        <v>18</v>
      </c>
      <c r="E3" s="18" t="s">
        <v>19</v>
      </c>
      <c r="F3" s="18" t="s">
        <v>20</v>
      </c>
      <c r="G3" s="18" t="s">
        <v>21</v>
      </c>
      <c r="H3" s="19" t="s">
        <v>22</v>
      </c>
      <c r="I3" s="18" t="s">
        <v>23</v>
      </c>
      <c r="J3" s="20" t="s">
        <v>24</v>
      </c>
      <c r="K3" s="21" t="s">
        <v>25</v>
      </c>
      <c r="L3" s="22" t="s">
        <v>26</v>
      </c>
      <c r="M3" s="23" t="s">
        <v>24</v>
      </c>
      <c r="N3" s="21" t="s">
        <v>25</v>
      </c>
      <c r="O3" s="21" t="s">
        <v>26</v>
      </c>
      <c r="P3" s="21" t="s">
        <v>27</v>
      </c>
      <c r="Q3" s="20" t="s">
        <v>28</v>
      </c>
      <c r="R3" s="24" t="s">
        <v>29</v>
      </c>
      <c r="S3" s="23" t="s">
        <v>28</v>
      </c>
      <c r="T3" s="23" t="s">
        <v>29</v>
      </c>
      <c r="U3" s="20" t="s">
        <v>28</v>
      </c>
      <c r="V3" s="25" t="s">
        <v>29</v>
      </c>
      <c r="X3" s="26" t="s">
        <v>30</v>
      </c>
      <c r="Y3" s="26" t="s">
        <v>30</v>
      </c>
      <c r="Z3" s="26" t="s">
        <v>30</v>
      </c>
      <c r="AA3" s="26" t="s">
        <v>30</v>
      </c>
      <c r="AB3" s="26" t="s">
        <v>30</v>
      </c>
      <c r="AC3" s="26"/>
    </row>
    <row r="4" spans="1:33" hidden="1" x14ac:dyDescent="0.25">
      <c r="A4" s="27" t="s">
        <v>31</v>
      </c>
      <c r="B4" s="27" t="s">
        <v>32</v>
      </c>
      <c r="C4" s="27" t="s">
        <v>32</v>
      </c>
      <c r="D4" s="27" t="s">
        <v>32</v>
      </c>
      <c r="E4" s="27" t="s">
        <v>33</v>
      </c>
      <c r="F4" s="27" t="s">
        <v>34</v>
      </c>
      <c r="G4" s="27" t="s">
        <v>35</v>
      </c>
      <c r="H4" s="28"/>
      <c r="I4" s="27" t="s">
        <v>36</v>
      </c>
      <c r="J4" s="29">
        <v>370370</v>
      </c>
      <c r="K4" s="30">
        <v>339862.01</v>
      </c>
      <c r="L4" s="31">
        <v>0.91762834462834464</v>
      </c>
      <c r="M4" s="32">
        <v>370370</v>
      </c>
      <c r="N4" s="30">
        <v>348570.46</v>
      </c>
      <c r="O4" s="30">
        <v>0.94114118314118322</v>
      </c>
      <c r="P4" s="33" t="s">
        <v>37</v>
      </c>
      <c r="Q4" s="34">
        <v>8708.4500000000116</v>
      </c>
      <c r="R4" s="35">
        <v>2.49833276176071E-2</v>
      </c>
      <c r="S4" s="36">
        <v>8708.4500000000116</v>
      </c>
      <c r="T4" s="35">
        <v>2.49833276176071E-2</v>
      </c>
      <c r="U4" s="36"/>
      <c r="V4" s="37"/>
      <c r="X4" s="38">
        <f>Q4</f>
        <v>8708.4500000000116</v>
      </c>
      <c r="Y4" s="38">
        <f>0</f>
        <v>0</v>
      </c>
      <c r="Z4" s="38">
        <f>0</f>
        <v>0</v>
      </c>
      <c r="AA4" s="38">
        <v>0</v>
      </c>
      <c r="AB4" s="38">
        <v>0</v>
      </c>
      <c r="AC4" s="38"/>
    </row>
    <row r="5" spans="1:33" hidden="1" x14ac:dyDescent="0.25">
      <c r="A5" s="27" t="s">
        <v>31</v>
      </c>
      <c r="B5" s="27" t="s">
        <v>32</v>
      </c>
      <c r="C5" s="27" t="s">
        <v>32</v>
      </c>
      <c r="D5" s="27" t="s">
        <v>32</v>
      </c>
      <c r="E5" s="27" t="s">
        <v>33</v>
      </c>
      <c r="F5" s="27" t="s">
        <v>34</v>
      </c>
      <c r="G5" s="27" t="s">
        <v>35</v>
      </c>
      <c r="H5" s="28"/>
      <c r="I5" s="27" t="s">
        <v>38</v>
      </c>
      <c r="J5" s="29">
        <v>216450</v>
      </c>
      <c r="K5" s="30">
        <v>228813.87</v>
      </c>
      <c r="L5" s="31">
        <v>1.0571211365211366</v>
      </c>
      <c r="M5" s="32">
        <v>216450</v>
      </c>
      <c r="N5" s="30">
        <v>230501.65</v>
      </c>
      <c r="O5" s="30">
        <v>1.0649186879186878</v>
      </c>
      <c r="P5" s="39" t="s">
        <v>39</v>
      </c>
      <c r="Q5" s="34">
        <v>1687.7799999999988</v>
      </c>
      <c r="R5" s="35">
        <v>7.3222035503867277E-3</v>
      </c>
      <c r="S5" s="36">
        <v>1687.7799999999988</v>
      </c>
      <c r="T5" s="35">
        <v>7.3222035503867277E-3</v>
      </c>
      <c r="U5" s="36"/>
      <c r="V5" s="37"/>
      <c r="X5" s="38">
        <f t="shared" ref="X5:X36" si="1">IF(C5="Y",X4+Q5,X4+0)</f>
        <v>10396.23000000001</v>
      </c>
      <c r="Y5" s="38">
        <f>IF(C5="N",Y4+Q5,Y4+0)</f>
        <v>0</v>
      </c>
      <c r="Z5" s="38">
        <f>IF(D5="N",Z4+R5,Z4+0)</f>
        <v>0</v>
      </c>
      <c r="AA5" s="40">
        <f t="shared" ref="AA5:AA36" si="2">IF(B5="Y",AA4+Q5,AA4+0)</f>
        <v>1687.7799999999988</v>
      </c>
      <c r="AB5" s="40">
        <f t="shared" ref="AB5:AB36" si="3">IF(B5="N",AB4+Q5,AB4+0)</f>
        <v>0</v>
      </c>
      <c r="AC5" s="40"/>
    </row>
    <row r="6" spans="1:33" hidden="1" x14ac:dyDescent="0.25">
      <c r="A6" s="27" t="s">
        <v>40</v>
      </c>
      <c r="B6" s="27" t="s">
        <v>32</v>
      </c>
      <c r="C6" s="27" t="s">
        <v>32</v>
      </c>
      <c r="D6" s="27" t="s">
        <v>32</v>
      </c>
      <c r="E6" s="27" t="s">
        <v>33</v>
      </c>
      <c r="F6" s="27" t="s">
        <v>41</v>
      </c>
      <c r="G6" s="27" t="s">
        <v>42</v>
      </c>
      <c r="H6" s="28">
        <v>37</v>
      </c>
      <c r="I6" s="27" t="s">
        <v>38</v>
      </c>
      <c r="J6" s="29">
        <v>30</v>
      </c>
      <c r="K6" s="30">
        <v>5684.32</v>
      </c>
      <c r="L6" s="31">
        <v>1.8947733333333332</v>
      </c>
      <c r="M6" s="32">
        <v>30</v>
      </c>
      <c r="N6" s="30">
        <v>20408.47</v>
      </c>
      <c r="O6" s="30">
        <v>6.8028233333333334</v>
      </c>
      <c r="P6" s="39" t="s">
        <v>43</v>
      </c>
      <c r="Q6" s="34">
        <v>14724.150000000001</v>
      </c>
      <c r="R6" s="35">
        <v>2.5903098347735529</v>
      </c>
      <c r="S6" s="36">
        <v>14724.150000000001</v>
      </c>
      <c r="T6" s="35">
        <v>2.5903098347735529</v>
      </c>
      <c r="U6" s="36" t="s">
        <v>44</v>
      </c>
      <c r="V6" s="37" t="s">
        <v>44</v>
      </c>
      <c r="X6" s="38">
        <f t="shared" si="1"/>
        <v>25120.380000000012</v>
      </c>
      <c r="Y6" s="38">
        <f t="shared" ref="Y6:Y37" si="4">IF(C6="N",Y5+Q6,Y5+0)</f>
        <v>0</v>
      </c>
      <c r="Z6" s="38">
        <f>IF(C7="C",Z5+Q7,Z5+0)</f>
        <v>0</v>
      </c>
      <c r="AA6" s="40">
        <f t="shared" si="2"/>
        <v>16411.93</v>
      </c>
      <c r="AB6" s="40">
        <f t="shared" si="3"/>
        <v>0</v>
      </c>
      <c r="AC6" s="40"/>
    </row>
    <row r="7" spans="1:33" hidden="1" x14ac:dyDescent="0.25">
      <c r="A7" s="27" t="s">
        <v>40</v>
      </c>
      <c r="B7" s="27" t="s">
        <v>45</v>
      </c>
      <c r="C7" s="27" t="s">
        <v>45</v>
      </c>
      <c r="D7" s="27" t="s">
        <v>32</v>
      </c>
      <c r="E7" s="27" t="s">
        <v>46</v>
      </c>
      <c r="F7" s="27" t="s">
        <v>47</v>
      </c>
      <c r="G7" s="27" t="s">
        <v>42</v>
      </c>
      <c r="H7" s="28">
        <v>1</v>
      </c>
      <c r="I7" s="27" t="s">
        <v>36</v>
      </c>
      <c r="J7" s="29">
        <v>55</v>
      </c>
      <c r="K7" s="30">
        <v>4404.13</v>
      </c>
      <c r="L7" s="31">
        <v>0.80075090909090918</v>
      </c>
      <c r="M7" s="32">
        <v>55</v>
      </c>
      <c r="N7" s="30">
        <v>6979.07</v>
      </c>
      <c r="O7" s="30">
        <v>1.268921818181818</v>
      </c>
      <c r="P7" s="39" t="s">
        <v>48</v>
      </c>
      <c r="Q7" s="34">
        <v>2574.9399999999996</v>
      </c>
      <c r="R7" s="35">
        <v>0.58466484867612867</v>
      </c>
      <c r="S7" s="36">
        <v>2574.9399999999996</v>
      </c>
      <c r="T7" s="35">
        <v>0.58466484867612867</v>
      </c>
      <c r="U7" s="36" t="s">
        <v>44</v>
      </c>
      <c r="V7" s="37" t="s">
        <v>44</v>
      </c>
      <c r="X7" s="38">
        <f t="shared" si="1"/>
        <v>25120.380000000012</v>
      </c>
      <c r="Y7" s="38">
        <f t="shared" si="4"/>
        <v>2574.9399999999996</v>
      </c>
      <c r="Z7" s="38">
        <f t="shared" ref="Z7:Z38" si="5">IF(C7="C",Z6+Q7,Z6+0)</f>
        <v>0</v>
      </c>
      <c r="AA7" s="40">
        <f t="shared" si="2"/>
        <v>16411.93</v>
      </c>
      <c r="AB7" s="40">
        <f t="shared" si="3"/>
        <v>2574.9399999999996</v>
      </c>
      <c r="AC7" s="40"/>
    </row>
    <row r="8" spans="1:33" hidden="1" x14ac:dyDescent="0.25">
      <c r="A8" s="27" t="s">
        <v>40</v>
      </c>
      <c r="B8" s="27" t="s">
        <v>32</v>
      </c>
      <c r="C8" s="27" t="s">
        <v>45</v>
      </c>
      <c r="D8" s="27" t="s">
        <v>32</v>
      </c>
      <c r="E8" s="27" t="s">
        <v>46</v>
      </c>
      <c r="F8" s="27" t="s">
        <v>49</v>
      </c>
      <c r="G8" s="27" t="s">
        <v>42</v>
      </c>
      <c r="H8" s="28">
        <v>14</v>
      </c>
      <c r="I8" s="27" t="s">
        <v>36</v>
      </c>
      <c r="J8" s="29">
        <v>13</v>
      </c>
      <c r="K8" s="30">
        <v>7283.9</v>
      </c>
      <c r="L8" s="31">
        <v>5.6029999999999998</v>
      </c>
      <c r="M8" s="32">
        <v>40</v>
      </c>
      <c r="N8" s="30">
        <v>0</v>
      </c>
      <c r="O8" s="30">
        <v>0</v>
      </c>
      <c r="P8" s="39" t="s">
        <v>50</v>
      </c>
      <c r="Q8" s="34">
        <v>-7283.9</v>
      </c>
      <c r="R8" s="35">
        <v>-1</v>
      </c>
      <c r="S8" s="36" t="s">
        <v>44</v>
      </c>
      <c r="T8" s="35" t="s">
        <v>44</v>
      </c>
      <c r="U8" s="36">
        <v>-7283.9</v>
      </c>
      <c r="V8" s="37">
        <v>-1</v>
      </c>
      <c r="X8" s="38">
        <f t="shared" si="1"/>
        <v>25120.380000000012</v>
      </c>
      <c r="Y8" s="38">
        <f t="shared" si="4"/>
        <v>-4708.96</v>
      </c>
      <c r="Z8" s="38">
        <f t="shared" si="5"/>
        <v>0</v>
      </c>
      <c r="AA8" s="40">
        <f t="shared" si="2"/>
        <v>9128.0300000000007</v>
      </c>
      <c r="AB8" s="40">
        <f t="shared" si="3"/>
        <v>2574.9399999999996</v>
      </c>
      <c r="AC8" s="40"/>
    </row>
    <row r="9" spans="1:33" x14ac:dyDescent="0.25">
      <c r="A9" s="27" t="s">
        <v>40</v>
      </c>
      <c r="B9" s="27" t="s">
        <v>32</v>
      </c>
      <c r="C9" s="27" t="s">
        <v>32</v>
      </c>
      <c r="D9" s="27" t="s">
        <v>32</v>
      </c>
      <c r="E9" s="27" t="s">
        <v>46</v>
      </c>
      <c r="F9" s="27" t="s">
        <v>41</v>
      </c>
      <c r="G9" s="27" t="s">
        <v>51</v>
      </c>
      <c r="H9" s="28"/>
      <c r="I9" s="27" t="s">
        <v>38</v>
      </c>
      <c r="J9" s="29">
        <v>6</v>
      </c>
      <c r="K9" s="30">
        <v>389954.22</v>
      </c>
      <c r="L9" s="31">
        <v>64.992369999999994</v>
      </c>
      <c r="M9" s="32">
        <v>6</v>
      </c>
      <c r="N9" s="30">
        <v>405105.78</v>
      </c>
      <c r="O9" s="30">
        <v>67.517630000000011</v>
      </c>
      <c r="P9" s="39" t="s">
        <v>52</v>
      </c>
      <c r="Q9" s="34">
        <v>15151.560000000056</v>
      </c>
      <c r="R9" s="35">
        <v>3.8854714791905838E-2</v>
      </c>
      <c r="S9" s="36">
        <v>15151.560000000056</v>
      </c>
      <c r="T9" s="35">
        <v>3.8854714791905838E-2</v>
      </c>
      <c r="U9" s="36"/>
      <c r="V9" s="37"/>
      <c r="X9" s="38">
        <f t="shared" si="1"/>
        <v>40271.940000000068</v>
      </c>
      <c r="Y9" s="38">
        <f t="shared" si="4"/>
        <v>-4708.96</v>
      </c>
      <c r="Z9" s="38">
        <f t="shared" si="5"/>
        <v>0</v>
      </c>
      <c r="AA9" s="40">
        <f t="shared" si="2"/>
        <v>24279.590000000055</v>
      </c>
      <c r="AB9" s="40">
        <f t="shared" si="3"/>
        <v>2574.9399999999996</v>
      </c>
      <c r="AC9" s="40"/>
    </row>
    <row r="10" spans="1:33" hidden="1" x14ac:dyDescent="0.25">
      <c r="A10" s="27" t="s">
        <v>31</v>
      </c>
      <c r="B10" s="27" t="s">
        <v>32</v>
      </c>
      <c r="C10" s="27" t="s">
        <v>32</v>
      </c>
      <c r="D10" s="27" t="s">
        <v>32</v>
      </c>
      <c r="E10" s="27" t="s">
        <v>46</v>
      </c>
      <c r="F10" s="27" t="s">
        <v>49</v>
      </c>
      <c r="G10" s="27" t="s">
        <v>42</v>
      </c>
      <c r="H10" s="28">
        <v>31</v>
      </c>
      <c r="I10" s="27" t="s">
        <v>36</v>
      </c>
      <c r="J10" s="29">
        <v>11</v>
      </c>
      <c r="K10" s="30">
        <v>2016.07</v>
      </c>
      <c r="L10" s="31">
        <v>1.8327909090909091</v>
      </c>
      <c r="M10" s="32">
        <v>11</v>
      </c>
      <c r="N10" s="30">
        <v>0</v>
      </c>
      <c r="O10" s="30">
        <v>0</v>
      </c>
      <c r="P10" s="39" t="s">
        <v>53</v>
      </c>
      <c r="Q10" s="34">
        <v>-2016.07</v>
      </c>
      <c r="R10" s="35">
        <v>-1</v>
      </c>
      <c r="S10" s="36" t="s">
        <v>44</v>
      </c>
      <c r="T10" s="35" t="s">
        <v>44</v>
      </c>
      <c r="U10" s="36">
        <v>-2016.07</v>
      </c>
      <c r="V10" s="37">
        <v>-1</v>
      </c>
      <c r="X10" s="38">
        <f t="shared" si="1"/>
        <v>38255.870000000068</v>
      </c>
      <c r="Y10" s="38">
        <f t="shared" si="4"/>
        <v>-4708.96</v>
      </c>
      <c r="Z10" s="38">
        <f t="shared" si="5"/>
        <v>0</v>
      </c>
      <c r="AA10" s="40">
        <f t="shared" si="2"/>
        <v>22263.520000000055</v>
      </c>
      <c r="AB10" s="40">
        <f t="shared" si="3"/>
        <v>2574.9399999999996</v>
      </c>
      <c r="AC10" s="40"/>
    </row>
    <row r="11" spans="1:33" hidden="1" x14ac:dyDescent="0.25">
      <c r="A11" s="27" t="s">
        <v>40</v>
      </c>
      <c r="B11" s="27" t="s">
        <v>32</v>
      </c>
      <c r="C11" s="27" t="s">
        <v>32</v>
      </c>
      <c r="D11" s="27" t="s">
        <v>32</v>
      </c>
      <c r="E11" s="27" t="s">
        <v>54</v>
      </c>
      <c r="F11" s="27" t="s">
        <v>47</v>
      </c>
      <c r="G11" s="27" t="s">
        <v>42</v>
      </c>
      <c r="H11" s="28">
        <v>28</v>
      </c>
      <c r="I11" s="27" t="s">
        <v>38</v>
      </c>
      <c r="J11" s="29">
        <v>35</v>
      </c>
      <c r="K11" s="30">
        <v>5804.1200000000008</v>
      </c>
      <c r="L11" s="31">
        <v>1.6583200000000002</v>
      </c>
      <c r="M11" s="32">
        <v>35</v>
      </c>
      <c r="N11" s="30">
        <v>0</v>
      </c>
      <c r="O11" s="30">
        <v>0</v>
      </c>
      <c r="P11" s="39" t="s">
        <v>55</v>
      </c>
      <c r="Q11" s="34">
        <v>-5804.1200000000008</v>
      </c>
      <c r="R11" s="35">
        <v>-1</v>
      </c>
      <c r="S11" s="36" t="s">
        <v>44</v>
      </c>
      <c r="T11" s="35" t="s">
        <v>44</v>
      </c>
      <c r="U11" s="36">
        <v>-5804.1200000000008</v>
      </c>
      <c r="V11" s="37">
        <v>-1</v>
      </c>
      <c r="X11" s="38">
        <f t="shared" si="1"/>
        <v>32451.750000000065</v>
      </c>
      <c r="Y11" s="38">
        <f t="shared" si="4"/>
        <v>-4708.96</v>
      </c>
      <c r="Z11" s="38">
        <f t="shared" si="5"/>
        <v>0</v>
      </c>
      <c r="AA11" s="40">
        <f t="shared" si="2"/>
        <v>16459.400000000052</v>
      </c>
      <c r="AB11" s="40">
        <f t="shared" si="3"/>
        <v>2574.9399999999996</v>
      </c>
      <c r="AC11" s="40"/>
    </row>
    <row r="12" spans="1:33" hidden="1" x14ac:dyDescent="0.25">
      <c r="A12" s="27" t="s">
        <v>40</v>
      </c>
      <c r="B12" s="27" t="s">
        <v>45</v>
      </c>
      <c r="C12" s="27" t="s">
        <v>45</v>
      </c>
      <c r="D12" s="27" t="s">
        <v>32</v>
      </c>
      <c r="E12" s="27" t="s">
        <v>46</v>
      </c>
      <c r="F12" s="27" t="s">
        <v>49</v>
      </c>
      <c r="G12" s="27" t="s">
        <v>56</v>
      </c>
      <c r="H12" s="28"/>
      <c r="I12" s="27" t="s">
        <v>36</v>
      </c>
      <c r="J12" s="29">
        <v>1000</v>
      </c>
      <c r="K12" s="30">
        <v>160170</v>
      </c>
      <c r="L12" s="31">
        <v>160.16999999999999</v>
      </c>
      <c r="M12" s="32">
        <v>1000</v>
      </c>
      <c r="N12" s="30">
        <v>159653.57999999999</v>
      </c>
      <c r="O12" s="30">
        <v>159.65357999999998</v>
      </c>
      <c r="P12" s="41" t="s">
        <v>57</v>
      </c>
      <c r="Q12" s="34">
        <v>-516.42000000001281</v>
      </c>
      <c r="R12" s="35">
        <v>-3.2241992882562952E-3</v>
      </c>
      <c r="S12" s="36" t="s">
        <v>44</v>
      </c>
      <c r="T12" s="35" t="s">
        <v>44</v>
      </c>
      <c r="U12" s="36">
        <v>-516.42000000001281</v>
      </c>
      <c r="V12" s="37">
        <v>-3.2241992882562952E-3</v>
      </c>
      <c r="X12" s="38">
        <f t="shared" si="1"/>
        <v>32451.750000000065</v>
      </c>
      <c r="Y12" s="38">
        <f t="shared" si="4"/>
        <v>-5225.3800000000128</v>
      </c>
      <c r="Z12" s="38">
        <f t="shared" si="5"/>
        <v>0</v>
      </c>
      <c r="AA12" s="40">
        <f t="shared" si="2"/>
        <v>16459.400000000052</v>
      </c>
      <c r="AB12" s="40">
        <f t="shared" si="3"/>
        <v>2058.5199999999868</v>
      </c>
      <c r="AC12" s="40"/>
    </row>
    <row r="13" spans="1:33" hidden="1" x14ac:dyDescent="0.25">
      <c r="A13" s="27" t="s">
        <v>31</v>
      </c>
      <c r="B13" s="27" t="s">
        <v>45</v>
      </c>
      <c r="C13" s="27" t="s">
        <v>45</v>
      </c>
      <c r="D13" s="27" t="s">
        <v>32</v>
      </c>
      <c r="E13" s="27" t="s">
        <v>46</v>
      </c>
      <c r="F13" s="27" t="s">
        <v>47</v>
      </c>
      <c r="G13" s="27" t="s">
        <v>42</v>
      </c>
      <c r="H13" s="28">
        <v>0</v>
      </c>
      <c r="I13" s="27" t="s">
        <v>36</v>
      </c>
      <c r="J13" s="29">
        <v>40</v>
      </c>
      <c r="K13" s="30">
        <v>4202.76</v>
      </c>
      <c r="L13" s="31">
        <v>1.0506900000000001</v>
      </c>
      <c r="M13" s="32">
        <v>40</v>
      </c>
      <c r="N13" s="30">
        <v>0</v>
      </c>
      <c r="O13" s="30">
        <v>0</v>
      </c>
      <c r="P13" s="39" t="s">
        <v>48</v>
      </c>
      <c r="Q13" s="34">
        <v>-4202.76</v>
      </c>
      <c r="R13" s="35">
        <v>-1</v>
      </c>
      <c r="S13" s="36" t="s">
        <v>44</v>
      </c>
      <c r="T13" s="35" t="s">
        <v>44</v>
      </c>
      <c r="U13" s="36">
        <v>-4202.76</v>
      </c>
      <c r="V13" s="37">
        <v>-1</v>
      </c>
      <c r="X13" s="38">
        <f t="shared" si="1"/>
        <v>32451.750000000065</v>
      </c>
      <c r="Y13" s="38">
        <f t="shared" si="4"/>
        <v>-9428.140000000014</v>
      </c>
      <c r="Z13" s="38">
        <f t="shared" si="5"/>
        <v>0</v>
      </c>
      <c r="AA13" s="40">
        <f t="shared" si="2"/>
        <v>16459.400000000052</v>
      </c>
      <c r="AB13" s="40">
        <f t="shared" si="3"/>
        <v>-2144.2400000000134</v>
      </c>
      <c r="AC13" s="40"/>
    </row>
    <row r="14" spans="1:33" hidden="1" x14ac:dyDescent="0.25">
      <c r="A14" s="27" t="s">
        <v>31</v>
      </c>
      <c r="B14" s="27" t="s">
        <v>45</v>
      </c>
      <c r="C14" s="27" t="s">
        <v>45</v>
      </c>
      <c r="D14" s="27" t="s">
        <v>32</v>
      </c>
      <c r="E14" s="27" t="s">
        <v>46</v>
      </c>
      <c r="F14" s="27" t="s">
        <v>47</v>
      </c>
      <c r="G14" s="27" t="s">
        <v>42</v>
      </c>
      <c r="H14" s="28">
        <v>2</v>
      </c>
      <c r="I14" s="27" t="s">
        <v>36</v>
      </c>
      <c r="J14" s="29">
        <v>65</v>
      </c>
      <c r="K14" s="30">
        <v>3977.79</v>
      </c>
      <c r="L14" s="31">
        <v>0.61196769230769232</v>
      </c>
      <c r="M14" s="32">
        <v>40</v>
      </c>
      <c r="N14" s="30">
        <v>0</v>
      </c>
      <c r="O14" s="30">
        <v>0</v>
      </c>
      <c r="P14" s="39" t="s">
        <v>48</v>
      </c>
      <c r="Q14" s="34">
        <v>-3977.79</v>
      </c>
      <c r="R14" s="35">
        <v>-1</v>
      </c>
      <c r="S14" s="36" t="s">
        <v>44</v>
      </c>
      <c r="T14" s="35" t="s">
        <v>44</v>
      </c>
      <c r="U14" s="36">
        <v>-3977.79</v>
      </c>
      <c r="V14" s="37">
        <v>-1</v>
      </c>
      <c r="X14" s="38">
        <f t="shared" si="1"/>
        <v>32451.750000000065</v>
      </c>
      <c r="Y14" s="38">
        <f t="shared" si="4"/>
        <v>-13405.930000000015</v>
      </c>
      <c r="Z14" s="38">
        <f t="shared" si="5"/>
        <v>0</v>
      </c>
      <c r="AA14" s="40">
        <f t="shared" si="2"/>
        <v>16459.400000000052</v>
      </c>
      <c r="AB14" s="40">
        <f t="shared" si="3"/>
        <v>-6122.0300000000134</v>
      </c>
      <c r="AC14" s="40"/>
    </row>
    <row r="15" spans="1:33" hidden="1" x14ac:dyDescent="0.25">
      <c r="A15" s="27" t="s">
        <v>40</v>
      </c>
      <c r="B15" s="27" t="s">
        <v>32</v>
      </c>
      <c r="C15" s="27" t="s">
        <v>32</v>
      </c>
      <c r="D15" s="27" t="s">
        <v>32</v>
      </c>
      <c r="E15" s="27" t="s">
        <v>46</v>
      </c>
      <c r="F15" s="27" t="s">
        <v>49</v>
      </c>
      <c r="G15" s="27" t="s">
        <v>42</v>
      </c>
      <c r="H15" s="28">
        <v>18</v>
      </c>
      <c r="I15" s="27" t="s">
        <v>38</v>
      </c>
      <c r="J15" s="29">
        <v>70</v>
      </c>
      <c r="K15" s="30">
        <v>6381.34</v>
      </c>
      <c r="L15" s="31">
        <v>0.9116200000000001</v>
      </c>
      <c r="M15" s="32">
        <v>70</v>
      </c>
      <c r="N15" s="30">
        <v>31903.38</v>
      </c>
      <c r="O15" s="30">
        <v>4.5576257142857148</v>
      </c>
      <c r="P15" s="39" t="s">
        <v>58</v>
      </c>
      <c r="Q15" s="34">
        <v>25522.04</v>
      </c>
      <c r="R15" s="35">
        <v>3.9994797330968104</v>
      </c>
      <c r="S15" s="36">
        <v>25522.04</v>
      </c>
      <c r="T15" s="35">
        <v>3.9994797330968104</v>
      </c>
      <c r="U15" s="36" t="s">
        <v>44</v>
      </c>
      <c r="V15" s="37" t="s">
        <v>44</v>
      </c>
      <c r="X15" s="38">
        <f t="shared" si="1"/>
        <v>57973.790000000066</v>
      </c>
      <c r="Y15" s="38">
        <f t="shared" si="4"/>
        <v>-13405.930000000015</v>
      </c>
      <c r="Z15" s="38">
        <f t="shared" si="5"/>
        <v>0</v>
      </c>
      <c r="AA15" s="40">
        <f t="shared" si="2"/>
        <v>41981.440000000053</v>
      </c>
      <c r="AB15" s="40">
        <f t="shared" si="3"/>
        <v>-6122.0300000000134</v>
      </c>
      <c r="AC15" s="40"/>
    </row>
    <row r="16" spans="1:33" hidden="1" x14ac:dyDescent="0.25">
      <c r="A16" s="27" t="s">
        <v>40</v>
      </c>
      <c r="B16" s="27" t="s">
        <v>32</v>
      </c>
      <c r="C16" s="27" t="s">
        <v>32</v>
      </c>
      <c r="D16" s="27" t="s">
        <v>32</v>
      </c>
      <c r="E16" s="27" t="s">
        <v>54</v>
      </c>
      <c r="F16" s="27" t="s">
        <v>49</v>
      </c>
      <c r="G16" s="27" t="s">
        <v>56</v>
      </c>
      <c r="H16" s="28"/>
      <c r="I16" s="27" t="s">
        <v>38</v>
      </c>
      <c r="J16" s="29">
        <v>4000</v>
      </c>
      <c r="K16" s="30">
        <v>132020</v>
      </c>
      <c r="L16" s="31">
        <v>33.005000000000003</v>
      </c>
      <c r="M16" s="32">
        <v>4000</v>
      </c>
      <c r="N16" s="30">
        <v>144446.06</v>
      </c>
      <c r="O16" s="30">
        <v>36.111514999999997</v>
      </c>
      <c r="P16" s="41" t="s">
        <v>59</v>
      </c>
      <c r="Q16" s="34">
        <v>12426.059999999998</v>
      </c>
      <c r="R16" s="35">
        <v>9.4122557188304631E-2</v>
      </c>
      <c r="S16" s="36">
        <v>12426.059999999998</v>
      </c>
      <c r="T16" s="35">
        <v>9.4122557188304631E-2</v>
      </c>
      <c r="U16" s="36" t="s">
        <v>44</v>
      </c>
      <c r="V16" s="37" t="s">
        <v>44</v>
      </c>
      <c r="X16" s="38">
        <f t="shared" si="1"/>
        <v>70399.850000000064</v>
      </c>
      <c r="Y16" s="38">
        <f t="shared" si="4"/>
        <v>-13405.930000000015</v>
      </c>
      <c r="Z16" s="38">
        <f t="shared" si="5"/>
        <v>0</v>
      </c>
      <c r="AA16" s="40">
        <f t="shared" si="2"/>
        <v>54407.500000000051</v>
      </c>
      <c r="AB16" s="40">
        <f t="shared" si="3"/>
        <v>-6122.0300000000134</v>
      </c>
      <c r="AC16" s="40"/>
    </row>
    <row r="17" spans="1:29" hidden="1" x14ac:dyDescent="0.25">
      <c r="A17" s="27" t="s">
        <v>40</v>
      </c>
      <c r="B17" s="27" t="s">
        <v>32</v>
      </c>
      <c r="C17" s="27" t="s">
        <v>32</v>
      </c>
      <c r="D17" s="27" t="s">
        <v>32</v>
      </c>
      <c r="E17" s="27" t="s">
        <v>46</v>
      </c>
      <c r="F17" s="27" t="s">
        <v>49</v>
      </c>
      <c r="G17" s="27" t="s">
        <v>56</v>
      </c>
      <c r="H17" s="28"/>
      <c r="I17" s="27" t="s">
        <v>38</v>
      </c>
      <c r="J17" s="29">
        <v>2700</v>
      </c>
      <c r="K17" s="30">
        <v>125883.44</v>
      </c>
      <c r="L17" s="31">
        <v>46.623496296296295</v>
      </c>
      <c r="M17" s="32">
        <v>2700</v>
      </c>
      <c r="N17" s="30">
        <v>130262.86</v>
      </c>
      <c r="O17" s="30">
        <v>48.245503703703704</v>
      </c>
      <c r="P17" s="41" t="s">
        <v>60</v>
      </c>
      <c r="Q17" s="34">
        <v>4379.4199999999983</v>
      </c>
      <c r="R17" s="35">
        <v>3.4789484621646855E-2</v>
      </c>
      <c r="S17" s="36">
        <v>4379.4199999999983</v>
      </c>
      <c r="T17" s="35">
        <v>3.4789484621646855E-2</v>
      </c>
      <c r="U17" s="36" t="s">
        <v>44</v>
      </c>
      <c r="V17" s="37" t="s">
        <v>44</v>
      </c>
      <c r="X17" s="38">
        <f t="shared" si="1"/>
        <v>74779.270000000062</v>
      </c>
      <c r="Y17" s="38">
        <f t="shared" si="4"/>
        <v>-13405.930000000015</v>
      </c>
      <c r="Z17" s="38">
        <f t="shared" si="5"/>
        <v>0</v>
      </c>
      <c r="AA17" s="40">
        <f t="shared" si="2"/>
        <v>58786.920000000049</v>
      </c>
      <c r="AB17" s="40">
        <f t="shared" si="3"/>
        <v>-6122.0300000000134</v>
      </c>
      <c r="AC17" s="40"/>
    </row>
    <row r="18" spans="1:29" hidden="1" x14ac:dyDescent="0.25">
      <c r="A18" s="27" t="s">
        <v>31</v>
      </c>
      <c r="B18" s="27" t="s">
        <v>45</v>
      </c>
      <c r="C18" s="27" t="s">
        <v>32</v>
      </c>
      <c r="D18" s="27" t="s">
        <v>32</v>
      </c>
      <c r="E18" s="27" t="s">
        <v>33</v>
      </c>
      <c r="F18" s="27" t="s">
        <v>34</v>
      </c>
      <c r="G18" s="27" t="s">
        <v>35</v>
      </c>
      <c r="H18" s="28"/>
      <c r="I18" s="27" t="s">
        <v>38</v>
      </c>
      <c r="J18" s="29">
        <v>1.2438488799999998</v>
      </c>
      <c r="K18" s="30">
        <v>1243848.8799999999</v>
      </c>
      <c r="L18" s="31">
        <v>1.2438488799999998</v>
      </c>
      <c r="M18" s="32">
        <v>1000000</v>
      </c>
      <c r="N18" s="30">
        <v>1243855.1200000001</v>
      </c>
      <c r="O18" s="30">
        <v>5.0166614261502715E-6</v>
      </c>
      <c r="P18" s="39" t="s">
        <v>61</v>
      </c>
      <c r="Q18" s="34">
        <v>6.2400000002235174</v>
      </c>
      <c r="R18" s="35">
        <v>5.0166614261502715E-6</v>
      </c>
      <c r="S18" s="34">
        <v>6.2400000002235174</v>
      </c>
      <c r="T18" s="35">
        <v>5.0166614261502715E-6</v>
      </c>
      <c r="U18" s="36"/>
      <c r="V18" s="37"/>
      <c r="X18" s="38">
        <f t="shared" si="1"/>
        <v>74785.510000000286</v>
      </c>
      <c r="Y18" s="38">
        <f t="shared" si="4"/>
        <v>-13405.930000000015</v>
      </c>
      <c r="Z18" s="38">
        <f t="shared" si="5"/>
        <v>0</v>
      </c>
      <c r="AA18" s="40">
        <f t="shared" si="2"/>
        <v>58786.920000000049</v>
      </c>
      <c r="AB18" s="40">
        <f t="shared" si="3"/>
        <v>-6115.7899999997899</v>
      </c>
      <c r="AC18" s="40"/>
    </row>
    <row r="19" spans="1:29" hidden="1" x14ac:dyDescent="0.25">
      <c r="A19" s="27" t="s">
        <v>40</v>
      </c>
      <c r="B19" s="27" t="s">
        <v>45</v>
      </c>
      <c r="C19" s="27" t="s">
        <v>32</v>
      </c>
      <c r="D19" s="27" t="s">
        <v>32</v>
      </c>
      <c r="E19" s="27" t="s">
        <v>46</v>
      </c>
      <c r="F19" s="27" t="s">
        <v>49</v>
      </c>
      <c r="G19" s="27" t="s">
        <v>56</v>
      </c>
      <c r="H19" s="28"/>
      <c r="I19" s="27" t="s">
        <v>36</v>
      </c>
      <c r="J19" s="29">
        <v>1500</v>
      </c>
      <c r="K19" s="30">
        <v>142365.6</v>
      </c>
      <c r="L19" s="31">
        <v>94.91040000000001</v>
      </c>
      <c r="M19" s="32">
        <v>1500</v>
      </c>
      <c r="N19" s="30">
        <v>139028.76999999999</v>
      </c>
      <c r="O19" s="30">
        <v>92.685846666666663</v>
      </c>
      <c r="P19" s="41" t="s">
        <v>62</v>
      </c>
      <c r="Q19" s="34">
        <v>-3336.8300000000163</v>
      </c>
      <c r="R19" s="35">
        <v>-2.3438457042993674E-2</v>
      </c>
      <c r="S19" s="36" t="s">
        <v>44</v>
      </c>
      <c r="T19" s="35" t="s">
        <v>44</v>
      </c>
      <c r="U19" s="36">
        <v>-3336.8300000000163</v>
      </c>
      <c r="V19" s="37">
        <v>-2.3438457042993674E-2</v>
      </c>
      <c r="X19" s="38">
        <f t="shared" si="1"/>
        <v>71448.68000000027</v>
      </c>
      <c r="Y19" s="38">
        <f t="shared" si="4"/>
        <v>-13405.930000000015</v>
      </c>
      <c r="Z19" s="38">
        <f t="shared" si="5"/>
        <v>0</v>
      </c>
      <c r="AA19" s="40">
        <f t="shared" si="2"/>
        <v>58786.920000000049</v>
      </c>
      <c r="AB19" s="40">
        <f t="shared" si="3"/>
        <v>-9452.6199999998062</v>
      </c>
      <c r="AC19" s="40"/>
    </row>
    <row r="20" spans="1:29" hidden="1" x14ac:dyDescent="0.25">
      <c r="A20" s="27" t="s">
        <v>40</v>
      </c>
      <c r="B20" s="27" t="s">
        <v>45</v>
      </c>
      <c r="C20" s="27" t="s">
        <v>32</v>
      </c>
      <c r="D20" s="27" t="s">
        <v>32</v>
      </c>
      <c r="E20" s="27" t="s">
        <v>54</v>
      </c>
      <c r="F20" s="27" t="s">
        <v>49</v>
      </c>
      <c r="G20" s="27" t="s">
        <v>56</v>
      </c>
      <c r="H20" s="28"/>
      <c r="I20" s="27" t="s">
        <v>36</v>
      </c>
      <c r="J20" s="29">
        <v>3000</v>
      </c>
      <c r="K20" s="30">
        <v>49674.3</v>
      </c>
      <c r="L20" s="31">
        <v>16.5581</v>
      </c>
      <c r="M20" s="32">
        <v>3000</v>
      </c>
      <c r="N20" s="30">
        <v>56539.33</v>
      </c>
      <c r="O20" s="30">
        <v>18.846443333333333</v>
      </c>
      <c r="P20" s="39" t="s">
        <v>63</v>
      </c>
      <c r="Q20" s="34">
        <v>6865.0299999999988</v>
      </c>
      <c r="R20" s="35">
        <v>0.13820084027354188</v>
      </c>
      <c r="S20" s="34">
        <v>6865.0299999999988</v>
      </c>
      <c r="T20" s="35">
        <v>0.13820084027354188</v>
      </c>
      <c r="U20" s="36"/>
      <c r="V20" s="37"/>
      <c r="X20" s="38">
        <f t="shared" si="1"/>
        <v>78313.710000000268</v>
      </c>
      <c r="Y20" s="38">
        <f t="shared" si="4"/>
        <v>-13405.930000000015</v>
      </c>
      <c r="Z20" s="38">
        <f t="shared" si="5"/>
        <v>0</v>
      </c>
      <c r="AA20" s="40">
        <f t="shared" si="2"/>
        <v>58786.920000000049</v>
      </c>
      <c r="AB20" s="40">
        <f t="shared" si="3"/>
        <v>-2587.5899999998073</v>
      </c>
      <c r="AC20" s="40"/>
    </row>
    <row r="21" spans="1:29" hidden="1" x14ac:dyDescent="0.25">
      <c r="A21" s="27" t="s">
        <v>40</v>
      </c>
      <c r="B21" s="27" t="s">
        <v>32</v>
      </c>
      <c r="C21" s="27" t="s">
        <v>32</v>
      </c>
      <c r="D21" s="27" t="s">
        <v>32</v>
      </c>
      <c r="E21" s="27" t="s">
        <v>46</v>
      </c>
      <c r="F21" s="27" t="s">
        <v>49</v>
      </c>
      <c r="G21" s="27" t="s">
        <v>42</v>
      </c>
      <c r="H21" s="28">
        <v>24</v>
      </c>
      <c r="I21" s="27" t="s">
        <v>38</v>
      </c>
      <c r="J21" s="29">
        <v>4</v>
      </c>
      <c r="K21" s="30">
        <v>6399.36</v>
      </c>
      <c r="L21" s="31">
        <v>15.998399999999998</v>
      </c>
      <c r="M21" s="32">
        <v>100</v>
      </c>
      <c r="N21" s="30">
        <v>0</v>
      </c>
      <c r="O21" s="30">
        <v>0</v>
      </c>
      <c r="P21" s="39" t="s">
        <v>64</v>
      </c>
      <c r="Q21" s="34">
        <v>-6399.36</v>
      </c>
      <c r="R21" s="35">
        <v>-1</v>
      </c>
      <c r="S21" s="36" t="s">
        <v>44</v>
      </c>
      <c r="T21" s="35" t="s">
        <v>44</v>
      </c>
      <c r="U21" s="36">
        <v>-6399.36</v>
      </c>
      <c r="V21" s="37">
        <v>-1</v>
      </c>
      <c r="X21" s="38">
        <f t="shared" si="1"/>
        <v>71914.350000000268</v>
      </c>
      <c r="Y21" s="38">
        <f t="shared" si="4"/>
        <v>-13405.930000000015</v>
      </c>
      <c r="Z21" s="38">
        <f t="shared" si="5"/>
        <v>0</v>
      </c>
      <c r="AA21" s="40">
        <f t="shared" si="2"/>
        <v>52387.560000000049</v>
      </c>
      <c r="AB21" s="40">
        <f t="shared" si="3"/>
        <v>-2587.5899999998073</v>
      </c>
      <c r="AC21" s="40"/>
    </row>
    <row r="22" spans="1:29" hidden="1" x14ac:dyDescent="0.25">
      <c r="A22" s="27" t="s">
        <v>31</v>
      </c>
      <c r="B22" s="27" t="s">
        <v>32</v>
      </c>
      <c r="C22" s="27" t="s">
        <v>32</v>
      </c>
      <c r="D22" s="27" t="s">
        <v>32</v>
      </c>
      <c r="E22" s="27" t="s">
        <v>46</v>
      </c>
      <c r="F22" s="27" t="s">
        <v>49</v>
      </c>
      <c r="G22" s="27" t="s">
        <v>42</v>
      </c>
      <c r="H22" s="28">
        <v>31</v>
      </c>
      <c r="I22" s="27" t="s">
        <v>36</v>
      </c>
      <c r="J22" s="29">
        <v>25</v>
      </c>
      <c r="K22" s="30">
        <v>6248.73</v>
      </c>
      <c r="L22" s="31">
        <v>2.499492</v>
      </c>
      <c r="M22" s="32">
        <v>25</v>
      </c>
      <c r="N22" s="30">
        <v>0</v>
      </c>
      <c r="O22" s="30">
        <v>0</v>
      </c>
      <c r="P22" s="39" t="s">
        <v>65</v>
      </c>
      <c r="Q22" s="34">
        <v>-6248.73</v>
      </c>
      <c r="R22" s="35">
        <v>-1</v>
      </c>
      <c r="S22" s="36"/>
      <c r="T22" s="35"/>
      <c r="U22" s="36">
        <v>-6248.73</v>
      </c>
      <c r="V22" s="37">
        <v>-1</v>
      </c>
      <c r="X22" s="38">
        <f t="shared" si="1"/>
        <v>65665.620000000272</v>
      </c>
      <c r="Y22" s="38">
        <f t="shared" si="4"/>
        <v>-13405.930000000015</v>
      </c>
      <c r="Z22" s="38">
        <f t="shared" si="5"/>
        <v>0</v>
      </c>
      <c r="AA22" s="40">
        <f t="shared" si="2"/>
        <v>46138.830000000045</v>
      </c>
      <c r="AB22" s="40">
        <f t="shared" si="3"/>
        <v>-2587.5899999998073</v>
      </c>
      <c r="AC22" s="40"/>
    </row>
    <row r="23" spans="1:29" hidden="1" x14ac:dyDescent="0.25">
      <c r="A23" s="27" t="s">
        <v>40</v>
      </c>
      <c r="B23" s="27" t="s">
        <v>32</v>
      </c>
      <c r="C23" s="27" t="s">
        <v>32</v>
      </c>
      <c r="D23" s="27" t="s">
        <v>45</v>
      </c>
      <c r="E23" s="27" t="s">
        <v>46</v>
      </c>
      <c r="F23" s="27" t="s">
        <v>49</v>
      </c>
      <c r="G23" s="27" t="s">
        <v>42</v>
      </c>
      <c r="H23" s="28">
        <v>31</v>
      </c>
      <c r="I23" s="27" t="s">
        <v>36</v>
      </c>
      <c r="J23" s="29">
        <v>25</v>
      </c>
      <c r="K23" s="30">
        <v>6285.04</v>
      </c>
      <c r="L23" s="31">
        <v>2.5140159999999998</v>
      </c>
      <c r="M23" s="32">
        <v>25</v>
      </c>
      <c r="N23" s="30">
        <v>0</v>
      </c>
      <c r="O23" s="30">
        <v>0</v>
      </c>
      <c r="P23" s="39" t="s">
        <v>62</v>
      </c>
      <c r="Q23" s="34">
        <v>-6285.04</v>
      </c>
      <c r="R23" s="35">
        <v>-1</v>
      </c>
      <c r="S23" s="36"/>
      <c r="T23" s="35"/>
      <c r="U23" s="34">
        <v>-6285.04</v>
      </c>
      <c r="V23" s="37">
        <v>-1</v>
      </c>
      <c r="X23" s="38">
        <f t="shared" si="1"/>
        <v>59380.580000000271</v>
      </c>
      <c r="Y23" s="38">
        <f t="shared" si="4"/>
        <v>-13405.930000000015</v>
      </c>
      <c r="Z23" s="38">
        <f t="shared" si="5"/>
        <v>0</v>
      </c>
      <c r="AA23" s="40">
        <f t="shared" si="2"/>
        <v>39853.790000000045</v>
      </c>
      <c r="AB23" s="40">
        <f t="shared" si="3"/>
        <v>-2587.5899999998073</v>
      </c>
      <c r="AC23" s="40"/>
    </row>
    <row r="24" spans="1:29" hidden="1" x14ac:dyDescent="0.25">
      <c r="A24" s="27" t="s">
        <v>40</v>
      </c>
      <c r="B24" s="27" t="s">
        <v>32</v>
      </c>
      <c r="C24" s="27" t="s">
        <v>32</v>
      </c>
      <c r="D24" s="27" t="s">
        <v>32</v>
      </c>
      <c r="E24" s="27" t="s">
        <v>46</v>
      </c>
      <c r="F24" s="27" t="s">
        <v>49</v>
      </c>
      <c r="G24" s="27" t="s">
        <v>42</v>
      </c>
      <c r="H24" s="28">
        <v>22</v>
      </c>
      <c r="I24" s="27" t="s">
        <v>36</v>
      </c>
      <c r="J24" s="29">
        <v>80</v>
      </c>
      <c r="K24" s="30">
        <v>8703.07</v>
      </c>
      <c r="L24" s="31">
        <v>1.08788375</v>
      </c>
      <c r="M24" s="32">
        <v>100</v>
      </c>
      <c r="N24" s="30">
        <v>0</v>
      </c>
      <c r="O24" s="30">
        <v>0</v>
      </c>
      <c r="P24" s="39" t="s">
        <v>66</v>
      </c>
      <c r="Q24" s="34">
        <v>-8703.07</v>
      </c>
      <c r="R24" s="35">
        <v>-1</v>
      </c>
      <c r="S24" s="36" t="s">
        <v>44</v>
      </c>
      <c r="T24" s="35" t="s">
        <v>44</v>
      </c>
      <c r="U24" s="36">
        <v>-8703.07</v>
      </c>
      <c r="V24" s="37">
        <v>-1</v>
      </c>
      <c r="X24" s="38">
        <f t="shared" si="1"/>
        <v>50677.510000000271</v>
      </c>
      <c r="Y24" s="38">
        <f t="shared" si="4"/>
        <v>-13405.930000000015</v>
      </c>
      <c r="Z24" s="38">
        <f t="shared" si="5"/>
        <v>0</v>
      </c>
      <c r="AA24" s="40">
        <f t="shared" si="2"/>
        <v>31150.720000000045</v>
      </c>
      <c r="AB24" s="40">
        <f t="shared" si="3"/>
        <v>-2587.5899999998073</v>
      </c>
      <c r="AC24" s="40"/>
    </row>
    <row r="25" spans="1:29" hidden="1" x14ac:dyDescent="0.25">
      <c r="A25" s="27" t="s">
        <v>40</v>
      </c>
      <c r="B25" s="27" t="s">
        <v>32</v>
      </c>
      <c r="C25" s="27" t="s">
        <v>32</v>
      </c>
      <c r="D25" s="27" t="s">
        <v>32</v>
      </c>
      <c r="E25" s="27" t="s">
        <v>67</v>
      </c>
      <c r="F25" s="27" t="s">
        <v>49</v>
      </c>
      <c r="G25" s="27" t="s">
        <v>42</v>
      </c>
      <c r="H25" s="28">
        <v>35</v>
      </c>
      <c r="I25" s="27" t="s">
        <v>36</v>
      </c>
      <c r="J25" s="29">
        <v>105</v>
      </c>
      <c r="K25" s="30">
        <v>6043.4</v>
      </c>
      <c r="L25" s="31">
        <v>0.57556190476190472</v>
      </c>
      <c r="M25" s="32">
        <v>105</v>
      </c>
      <c r="N25" s="30">
        <v>23860.949999999997</v>
      </c>
      <c r="O25" s="30">
        <v>2.184533476190476</v>
      </c>
      <c r="P25" s="39" t="s">
        <v>68</v>
      </c>
      <c r="Q25" s="34">
        <v>17817.549999999996</v>
      </c>
      <c r="R25" s="35">
        <v>2.7954796141244995</v>
      </c>
      <c r="S25" s="34">
        <v>17817.549999999996</v>
      </c>
      <c r="T25" s="35">
        <v>2.7954796141244995</v>
      </c>
      <c r="U25" s="36"/>
      <c r="V25" s="37"/>
      <c r="X25" s="38">
        <f t="shared" si="1"/>
        <v>68495.06000000026</v>
      </c>
      <c r="Y25" s="38">
        <f t="shared" si="4"/>
        <v>-13405.930000000015</v>
      </c>
      <c r="Z25" s="38">
        <f t="shared" si="5"/>
        <v>0</v>
      </c>
      <c r="AA25" s="40">
        <f t="shared" si="2"/>
        <v>48968.27000000004</v>
      </c>
      <c r="AB25" s="40">
        <f t="shared" si="3"/>
        <v>-2587.5899999998073</v>
      </c>
      <c r="AC25" s="40"/>
    </row>
    <row r="26" spans="1:29" hidden="1" x14ac:dyDescent="0.25">
      <c r="A26" s="27" t="s">
        <v>40</v>
      </c>
      <c r="B26" s="27" t="s">
        <v>45</v>
      </c>
      <c r="C26" s="27" t="s">
        <v>45</v>
      </c>
      <c r="D26" s="27" t="s">
        <v>32</v>
      </c>
      <c r="E26" s="27" t="s">
        <v>33</v>
      </c>
      <c r="F26" s="27" t="s">
        <v>69</v>
      </c>
      <c r="G26" s="27" t="s">
        <v>70</v>
      </c>
      <c r="H26" s="28"/>
      <c r="I26" s="27" t="s">
        <v>38</v>
      </c>
      <c r="J26" s="29">
        <v>1500</v>
      </c>
      <c r="K26" s="30">
        <v>160461.22</v>
      </c>
      <c r="L26" s="31">
        <v>106.97414666666667</v>
      </c>
      <c r="M26" s="32">
        <v>1500</v>
      </c>
      <c r="N26" s="30">
        <v>155122.21</v>
      </c>
      <c r="O26" s="30">
        <v>103.41480666666666</v>
      </c>
      <c r="P26" s="39" t="s">
        <v>71</v>
      </c>
      <c r="Q26" s="34">
        <v>-5339.0100000000093</v>
      </c>
      <c r="R26" s="35">
        <v>-3.3272899208917947E-2</v>
      </c>
      <c r="S26" s="36" t="s">
        <v>44</v>
      </c>
      <c r="T26" s="35" t="s">
        <v>44</v>
      </c>
      <c r="U26" s="36">
        <v>-5339.0100000000093</v>
      </c>
      <c r="V26" s="37">
        <v>-3.3272899208917947E-2</v>
      </c>
      <c r="X26" s="38">
        <f t="shared" si="1"/>
        <v>68495.06000000026</v>
      </c>
      <c r="Y26" s="38">
        <f t="shared" si="4"/>
        <v>-18744.940000000024</v>
      </c>
      <c r="Z26" s="38">
        <f t="shared" si="5"/>
        <v>0</v>
      </c>
      <c r="AA26" s="40">
        <f t="shared" si="2"/>
        <v>48968.27000000004</v>
      </c>
      <c r="AB26" s="40">
        <f t="shared" si="3"/>
        <v>-7926.5999999998166</v>
      </c>
      <c r="AC26" s="40"/>
    </row>
    <row r="27" spans="1:29" hidden="1" x14ac:dyDescent="0.25">
      <c r="A27" s="27" t="s">
        <v>40</v>
      </c>
      <c r="B27" s="27" t="s">
        <v>32</v>
      </c>
      <c r="C27" s="27" t="s">
        <v>32</v>
      </c>
      <c r="D27" s="27" t="s">
        <v>32</v>
      </c>
      <c r="E27" s="27" t="s">
        <v>33</v>
      </c>
      <c r="F27" s="27" t="s">
        <v>49</v>
      </c>
      <c r="G27" s="27" t="s">
        <v>56</v>
      </c>
      <c r="H27" s="28"/>
      <c r="I27" s="27" t="s">
        <v>38</v>
      </c>
      <c r="J27" s="29">
        <v>16666</v>
      </c>
      <c r="K27" s="30">
        <v>179076.17</v>
      </c>
      <c r="L27" s="31">
        <v>10.745000000000001</v>
      </c>
      <c r="M27" s="32">
        <v>16666</v>
      </c>
      <c r="N27" s="30">
        <v>168908.35</v>
      </c>
      <c r="O27" s="30">
        <v>10.13490639625585</v>
      </c>
      <c r="P27" s="41" t="s">
        <v>72</v>
      </c>
      <c r="Q27" s="34">
        <v>-10167.820000000007</v>
      </c>
      <c r="R27" s="35">
        <v>-5.6779302349385816E-2</v>
      </c>
      <c r="S27" s="36" t="s">
        <v>44</v>
      </c>
      <c r="T27" s="35" t="s">
        <v>44</v>
      </c>
      <c r="U27" s="36">
        <v>-10167.820000000007</v>
      </c>
      <c r="V27" s="37">
        <v>-5.6779302349385816E-2</v>
      </c>
      <c r="X27" s="38">
        <f t="shared" si="1"/>
        <v>58327.240000000253</v>
      </c>
      <c r="Y27" s="38">
        <f t="shared" si="4"/>
        <v>-18744.940000000024</v>
      </c>
      <c r="Z27" s="38">
        <f t="shared" si="5"/>
        <v>0</v>
      </c>
      <c r="AA27" s="40">
        <f t="shared" si="2"/>
        <v>38800.450000000033</v>
      </c>
      <c r="AB27" s="40">
        <f t="shared" si="3"/>
        <v>-7926.5999999998166</v>
      </c>
      <c r="AC27" s="40"/>
    </row>
    <row r="28" spans="1:29" hidden="1" x14ac:dyDescent="0.25">
      <c r="A28" s="27" t="s">
        <v>40</v>
      </c>
      <c r="B28" s="27" t="s">
        <v>32</v>
      </c>
      <c r="C28" s="27" t="s">
        <v>32</v>
      </c>
      <c r="D28" s="27" t="s">
        <v>32</v>
      </c>
      <c r="E28" s="27" t="s">
        <v>33</v>
      </c>
      <c r="F28" s="27" t="s">
        <v>49</v>
      </c>
      <c r="G28" s="27" t="s">
        <v>56</v>
      </c>
      <c r="H28" s="28"/>
      <c r="I28" s="27" t="s">
        <v>38</v>
      </c>
      <c r="J28" s="29">
        <v>13000</v>
      </c>
      <c r="K28" s="30">
        <v>95193.13</v>
      </c>
      <c r="L28" s="31">
        <v>7.322548461538462</v>
      </c>
      <c r="M28" s="32">
        <v>13000</v>
      </c>
      <c r="N28" s="30">
        <v>89282.28</v>
      </c>
      <c r="O28" s="30">
        <v>6.8678676923076925</v>
      </c>
      <c r="P28" s="41" t="s">
        <v>73</v>
      </c>
      <c r="Q28" s="34">
        <v>-5910.8500000000058</v>
      </c>
      <c r="R28" s="35">
        <v>-6.2093241392524895E-2</v>
      </c>
      <c r="S28" s="36" t="s">
        <v>44</v>
      </c>
      <c r="T28" s="35" t="s">
        <v>44</v>
      </c>
      <c r="U28" s="36">
        <v>-5910.8500000000058</v>
      </c>
      <c r="V28" s="37">
        <v>-6.2093241392524895E-2</v>
      </c>
      <c r="X28" s="38">
        <f t="shared" si="1"/>
        <v>52416.390000000247</v>
      </c>
      <c r="Y28" s="38">
        <f t="shared" si="4"/>
        <v>-18744.940000000024</v>
      </c>
      <c r="Z28" s="38">
        <f t="shared" si="5"/>
        <v>0</v>
      </c>
      <c r="AA28" s="40">
        <f t="shared" si="2"/>
        <v>32889.600000000028</v>
      </c>
      <c r="AB28" s="40">
        <f t="shared" si="3"/>
        <v>-7926.5999999998166</v>
      </c>
      <c r="AC28" s="40"/>
    </row>
    <row r="29" spans="1:29" hidden="1" x14ac:dyDescent="0.25">
      <c r="A29" s="27" t="s">
        <v>40</v>
      </c>
      <c r="B29" s="27" t="s">
        <v>32</v>
      </c>
      <c r="C29" s="27" t="s">
        <v>32</v>
      </c>
      <c r="D29" s="27" t="s">
        <v>32</v>
      </c>
      <c r="E29" s="27" t="s">
        <v>33</v>
      </c>
      <c r="F29" s="27" t="s">
        <v>49</v>
      </c>
      <c r="G29" s="27" t="s">
        <v>56</v>
      </c>
      <c r="H29" s="28"/>
      <c r="I29" s="27" t="s">
        <v>36</v>
      </c>
      <c r="J29" s="29">
        <v>5000</v>
      </c>
      <c r="K29" s="30">
        <v>225682.47</v>
      </c>
      <c r="L29" s="31">
        <v>45.136493999999999</v>
      </c>
      <c r="M29" s="32">
        <v>5000</v>
      </c>
      <c r="N29" s="30">
        <v>183884.9</v>
      </c>
      <c r="O29" s="30">
        <v>36.776980000000002</v>
      </c>
      <c r="P29" s="39" t="s">
        <v>74</v>
      </c>
      <c r="Q29" s="34">
        <v>41797.570000000007</v>
      </c>
      <c r="R29" s="35">
        <v>0.18520521332472117</v>
      </c>
      <c r="S29" s="36">
        <v>41797.570000000007</v>
      </c>
      <c r="T29" s="35">
        <v>0.18520521332472117</v>
      </c>
      <c r="U29" s="36"/>
      <c r="V29" s="37"/>
      <c r="X29" s="38">
        <f t="shared" si="1"/>
        <v>94213.960000000254</v>
      </c>
      <c r="Y29" s="38">
        <f t="shared" si="4"/>
        <v>-18744.940000000024</v>
      </c>
      <c r="Z29" s="38">
        <f t="shared" si="5"/>
        <v>0</v>
      </c>
      <c r="AA29" s="40">
        <f t="shared" si="2"/>
        <v>74687.170000000042</v>
      </c>
      <c r="AB29" s="40">
        <f t="shared" si="3"/>
        <v>-7926.5999999998166</v>
      </c>
      <c r="AC29" s="40"/>
    </row>
    <row r="30" spans="1:29" hidden="1" x14ac:dyDescent="0.25">
      <c r="A30" s="27" t="s">
        <v>40</v>
      </c>
      <c r="B30" s="27" t="s">
        <v>32</v>
      </c>
      <c r="C30" s="27" t="s">
        <v>32</v>
      </c>
      <c r="D30" s="27" t="s">
        <v>32</v>
      </c>
      <c r="E30" s="27" t="s">
        <v>46</v>
      </c>
      <c r="F30" s="27" t="s">
        <v>49</v>
      </c>
      <c r="G30" s="27" t="s">
        <v>56</v>
      </c>
      <c r="H30" s="28"/>
      <c r="I30" s="27" t="s">
        <v>38</v>
      </c>
      <c r="J30" s="29">
        <v>3000</v>
      </c>
      <c r="K30" s="30">
        <v>155715</v>
      </c>
      <c r="L30" s="31">
        <v>51.905000000000001</v>
      </c>
      <c r="M30" s="32">
        <v>3000</v>
      </c>
      <c r="N30" s="30">
        <v>158756.79999999999</v>
      </c>
      <c r="O30" s="30">
        <v>52.918933333333328</v>
      </c>
      <c r="P30" s="41" t="s">
        <v>75</v>
      </c>
      <c r="Q30" s="34">
        <v>3041.7999999999884</v>
      </c>
      <c r="R30" s="35">
        <v>1.9534405805477831E-2</v>
      </c>
      <c r="S30" s="36">
        <v>3041.7999999999884</v>
      </c>
      <c r="T30" s="35">
        <v>1.9534405805477831E-2</v>
      </c>
      <c r="U30" s="36" t="s">
        <v>44</v>
      </c>
      <c r="V30" s="37" t="s">
        <v>44</v>
      </c>
      <c r="X30" s="38">
        <f t="shared" si="1"/>
        <v>97255.760000000242</v>
      </c>
      <c r="Y30" s="38">
        <f t="shared" si="4"/>
        <v>-18744.940000000024</v>
      </c>
      <c r="Z30" s="38">
        <f t="shared" si="5"/>
        <v>0</v>
      </c>
      <c r="AA30" s="40">
        <f t="shared" si="2"/>
        <v>77728.97000000003</v>
      </c>
      <c r="AB30" s="40">
        <f t="shared" si="3"/>
        <v>-7926.5999999998166</v>
      </c>
      <c r="AC30" s="40"/>
    </row>
    <row r="31" spans="1:29" hidden="1" x14ac:dyDescent="0.25">
      <c r="A31" s="27" t="s">
        <v>31</v>
      </c>
      <c r="B31" s="27" t="s">
        <v>45</v>
      </c>
      <c r="C31" s="27" t="s">
        <v>32</v>
      </c>
      <c r="D31" s="27" t="s">
        <v>32</v>
      </c>
      <c r="E31" s="27" t="s">
        <v>33</v>
      </c>
      <c r="F31" s="27" t="s">
        <v>49</v>
      </c>
      <c r="G31" s="27" t="s">
        <v>56</v>
      </c>
      <c r="H31" s="28"/>
      <c r="I31" s="27" t="s">
        <v>38</v>
      </c>
      <c r="J31" s="29">
        <v>4000</v>
      </c>
      <c r="K31" s="30">
        <v>335600</v>
      </c>
      <c r="L31" s="31">
        <v>83.9</v>
      </c>
      <c r="M31" s="32">
        <v>4000</v>
      </c>
      <c r="N31" s="30">
        <v>324543.78000000003</v>
      </c>
      <c r="O31" s="30">
        <v>81.135945000000007</v>
      </c>
      <c r="P31" s="41" t="s">
        <v>76</v>
      </c>
      <c r="Q31" s="34">
        <v>-11056.219999999972</v>
      </c>
      <c r="R31" s="35">
        <v>-3.2944636471990453E-2</v>
      </c>
      <c r="S31" s="36" t="s">
        <v>44</v>
      </c>
      <c r="T31" s="35" t="s">
        <v>44</v>
      </c>
      <c r="U31" s="36">
        <v>-11056.219999999972</v>
      </c>
      <c r="V31" s="37">
        <v>-3.2944636471990453E-2</v>
      </c>
      <c r="X31" s="38">
        <f t="shared" si="1"/>
        <v>86199.54000000027</v>
      </c>
      <c r="Y31" s="38">
        <f t="shared" si="4"/>
        <v>-18744.940000000024</v>
      </c>
      <c r="Z31" s="38">
        <f t="shared" si="5"/>
        <v>0</v>
      </c>
      <c r="AA31" s="40">
        <f t="shared" si="2"/>
        <v>77728.97000000003</v>
      </c>
      <c r="AB31" s="40">
        <f t="shared" si="3"/>
        <v>-18982.819999999789</v>
      </c>
      <c r="AC31" s="40"/>
    </row>
    <row r="32" spans="1:29" hidden="1" x14ac:dyDescent="0.25">
      <c r="A32" s="27" t="s">
        <v>40</v>
      </c>
      <c r="B32" s="27" t="s">
        <v>32</v>
      </c>
      <c r="C32" s="27" t="s">
        <v>32</v>
      </c>
      <c r="D32" s="27" t="s">
        <v>32</v>
      </c>
      <c r="E32" s="27" t="s">
        <v>33</v>
      </c>
      <c r="F32" s="27" t="s">
        <v>34</v>
      </c>
      <c r="G32" s="27" t="s">
        <v>35</v>
      </c>
      <c r="H32" s="28"/>
      <c r="I32" s="27" t="s">
        <v>36</v>
      </c>
      <c r="J32" s="29">
        <v>1500000</v>
      </c>
      <c r="K32" s="30">
        <v>1655321.89</v>
      </c>
      <c r="L32" s="31">
        <v>1.1035479266666666</v>
      </c>
      <c r="M32" s="32">
        <v>1000000</v>
      </c>
      <c r="N32" s="30">
        <v>1619276.91</v>
      </c>
      <c r="O32" s="30">
        <v>1.61927691</v>
      </c>
      <c r="P32" s="39" t="s">
        <v>39</v>
      </c>
      <c r="Q32" s="34">
        <v>36044.979999999981</v>
      </c>
      <c r="R32" s="35">
        <v>2.1775208929303763E-2</v>
      </c>
      <c r="S32" s="36"/>
      <c r="T32" s="35"/>
      <c r="U32" s="36"/>
      <c r="V32" s="37"/>
      <c r="X32" s="38">
        <f t="shared" si="1"/>
        <v>122244.52000000025</v>
      </c>
      <c r="Y32" s="38">
        <f t="shared" si="4"/>
        <v>-18744.940000000024</v>
      </c>
      <c r="Z32" s="38">
        <f t="shared" si="5"/>
        <v>0</v>
      </c>
      <c r="AA32" s="40">
        <f t="shared" si="2"/>
        <v>113773.95000000001</v>
      </c>
      <c r="AB32" s="40">
        <f t="shared" si="3"/>
        <v>-18982.819999999789</v>
      </c>
      <c r="AC32" s="40"/>
    </row>
    <row r="33" spans="1:29" hidden="1" x14ac:dyDescent="0.25">
      <c r="A33" s="27" t="s">
        <v>40</v>
      </c>
      <c r="B33" s="27" t="s">
        <v>32</v>
      </c>
      <c r="C33" s="27" t="s">
        <v>32</v>
      </c>
      <c r="D33" s="27" t="s">
        <v>32</v>
      </c>
      <c r="E33" s="27" t="s">
        <v>46</v>
      </c>
      <c r="F33" s="27" t="s">
        <v>49</v>
      </c>
      <c r="G33" s="27" t="s">
        <v>42</v>
      </c>
      <c r="H33" s="28">
        <v>15</v>
      </c>
      <c r="I33" s="27" t="s">
        <v>36</v>
      </c>
      <c r="J33" s="29">
        <v>40</v>
      </c>
      <c r="K33" s="30">
        <v>6627.56</v>
      </c>
      <c r="L33" s="31">
        <v>1.6568900000000002</v>
      </c>
      <c r="M33" s="32">
        <v>40</v>
      </c>
      <c r="N33" s="30">
        <v>9599.06</v>
      </c>
      <c r="O33" s="30">
        <v>2.3997649999999999</v>
      </c>
      <c r="P33" s="39" t="s">
        <v>77</v>
      </c>
      <c r="Q33" s="34">
        <v>2971.4999999999991</v>
      </c>
      <c r="R33" s="35">
        <v>0.44835505072756771</v>
      </c>
      <c r="S33" s="36">
        <v>2971.4999999999991</v>
      </c>
      <c r="T33" s="35">
        <v>0.44835505072756771</v>
      </c>
      <c r="U33" s="36" t="s">
        <v>44</v>
      </c>
      <c r="V33" s="37" t="s">
        <v>44</v>
      </c>
      <c r="X33" s="38">
        <f t="shared" si="1"/>
        <v>125216.02000000025</v>
      </c>
      <c r="Y33" s="38">
        <f t="shared" si="4"/>
        <v>-18744.940000000024</v>
      </c>
      <c r="Z33" s="38">
        <f t="shared" si="5"/>
        <v>0</v>
      </c>
      <c r="AA33" s="40">
        <f t="shared" si="2"/>
        <v>116745.45000000001</v>
      </c>
      <c r="AB33" s="40">
        <f t="shared" si="3"/>
        <v>-18982.819999999789</v>
      </c>
      <c r="AC33" s="40"/>
    </row>
    <row r="34" spans="1:29" hidden="1" x14ac:dyDescent="0.25">
      <c r="A34" s="27" t="s">
        <v>40</v>
      </c>
      <c r="B34" s="27" t="s">
        <v>32</v>
      </c>
      <c r="C34" s="27" t="s">
        <v>32</v>
      </c>
      <c r="D34" s="27" t="s">
        <v>32</v>
      </c>
      <c r="E34" s="27" t="s">
        <v>46</v>
      </c>
      <c r="F34" s="27" t="s">
        <v>49</v>
      </c>
      <c r="G34" s="27" t="s">
        <v>56</v>
      </c>
      <c r="H34" s="28"/>
      <c r="I34" s="27" t="s">
        <v>36</v>
      </c>
      <c r="J34" s="29">
        <v>1800</v>
      </c>
      <c r="K34" s="30">
        <v>209221.07</v>
      </c>
      <c r="L34" s="31">
        <v>116.23392777777778</v>
      </c>
      <c r="M34" s="32">
        <v>1800</v>
      </c>
      <c r="N34" s="30">
        <v>207345.81</v>
      </c>
      <c r="O34" s="30">
        <v>115.19211666666666</v>
      </c>
      <c r="P34" s="39" t="s">
        <v>78</v>
      </c>
      <c r="Q34" s="34">
        <v>1875.2600000000093</v>
      </c>
      <c r="R34" s="35">
        <v>8.9999999999999993E-3</v>
      </c>
      <c r="S34" s="34">
        <v>1875.2600000000093</v>
      </c>
      <c r="T34" s="35">
        <v>-8.9630552028053794E-3</v>
      </c>
      <c r="U34" s="36"/>
      <c r="V34" s="37"/>
      <c r="X34" s="38">
        <f t="shared" si="1"/>
        <v>127091.28000000026</v>
      </c>
      <c r="Y34" s="38">
        <f t="shared" si="4"/>
        <v>-18744.940000000024</v>
      </c>
      <c r="Z34" s="38">
        <f t="shared" si="5"/>
        <v>0</v>
      </c>
      <c r="AA34" s="40">
        <f t="shared" si="2"/>
        <v>118620.71000000002</v>
      </c>
      <c r="AB34" s="40">
        <f t="shared" si="3"/>
        <v>-18982.819999999789</v>
      </c>
      <c r="AC34" s="40"/>
    </row>
    <row r="35" spans="1:29" hidden="1" x14ac:dyDescent="0.25">
      <c r="A35" s="27" t="s">
        <v>31</v>
      </c>
      <c r="B35" s="27" t="s">
        <v>45</v>
      </c>
      <c r="C35" s="27" t="s">
        <v>45</v>
      </c>
      <c r="D35" s="27" t="s">
        <v>32</v>
      </c>
      <c r="E35" s="27" t="s">
        <v>33</v>
      </c>
      <c r="F35" s="27" t="s">
        <v>49</v>
      </c>
      <c r="G35" s="27" t="s">
        <v>56</v>
      </c>
      <c r="H35" s="28"/>
      <c r="I35" s="27" t="s">
        <v>36</v>
      </c>
      <c r="J35" s="29">
        <v>2666</v>
      </c>
      <c r="K35" s="30">
        <v>439890</v>
      </c>
      <c r="L35" s="31">
        <v>165</v>
      </c>
      <c r="M35" s="32">
        <v>2666</v>
      </c>
      <c r="N35" s="30">
        <v>443868.76</v>
      </c>
      <c r="O35" s="30">
        <v>166.49240810202551</v>
      </c>
      <c r="P35" s="39" t="s">
        <v>79</v>
      </c>
      <c r="Q35" s="34">
        <v>-3978.7600000000093</v>
      </c>
      <c r="R35" s="35">
        <v>9.0448975880333786E-3</v>
      </c>
      <c r="S35" s="36" t="s">
        <v>44</v>
      </c>
      <c r="T35" s="35" t="s">
        <v>44</v>
      </c>
      <c r="U35" s="36">
        <v>-3978.7600000000093</v>
      </c>
      <c r="V35" s="37">
        <v>9.0448975880333786E-3</v>
      </c>
      <c r="X35" s="38">
        <f t="shared" si="1"/>
        <v>127091.28000000026</v>
      </c>
      <c r="Y35" s="38">
        <f t="shared" si="4"/>
        <v>-22723.700000000033</v>
      </c>
      <c r="Z35" s="38">
        <f t="shared" si="5"/>
        <v>0</v>
      </c>
      <c r="AA35" s="40">
        <f t="shared" si="2"/>
        <v>118620.71000000002</v>
      </c>
      <c r="AB35" s="40">
        <f t="shared" si="3"/>
        <v>-22961.579999999798</v>
      </c>
      <c r="AC35" s="40"/>
    </row>
    <row r="36" spans="1:29" hidden="1" x14ac:dyDescent="0.25">
      <c r="A36" s="27" t="s">
        <v>31</v>
      </c>
      <c r="B36" s="27" t="s">
        <v>32</v>
      </c>
      <c r="C36" s="27" t="s">
        <v>32</v>
      </c>
      <c r="D36" s="27" t="s">
        <v>32</v>
      </c>
      <c r="E36" s="27" t="s">
        <v>46</v>
      </c>
      <c r="F36" s="27" t="s">
        <v>49</v>
      </c>
      <c r="G36" s="27" t="s">
        <v>56</v>
      </c>
      <c r="H36" s="28"/>
      <c r="I36" s="27" t="s">
        <v>38</v>
      </c>
      <c r="J36" s="29">
        <v>7400</v>
      </c>
      <c r="K36" s="30">
        <v>495762.3</v>
      </c>
      <c r="L36" s="31">
        <v>66.994905405405405</v>
      </c>
      <c r="M36" s="32">
        <v>7400</v>
      </c>
      <c r="N36" s="30">
        <v>498028.62</v>
      </c>
      <c r="O36" s="30">
        <v>67.301164864864859</v>
      </c>
      <c r="P36" s="39" t="s">
        <v>80</v>
      </c>
      <c r="Q36" s="34">
        <v>2266.320000000007</v>
      </c>
      <c r="R36" s="35">
        <v>4.5713843105858638E-3</v>
      </c>
      <c r="S36" s="36">
        <v>2266.320000000007</v>
      </c>
      <c r="T36" s="35">
        <v>4.5713843105858638E-3</v>
      </c>
      <c r="U36" s="36" t="s">
        <v>44</v>
      </c>
      <c r="V36" s="37" t="s">
        <v>44</v>
      </c>
      <c r="X36" s="38">
        <f t="shared" si="1"/>
        <v>129357.60000000027</v>
      </c>
      <c r="Y36" s="38">
        <f t="shared" si="4"/>
        <v>-22723.700000000033</v>
      </c>
      <c r="Z36" s="38">
        <f t="shared" si="5"/>
        <v>0</v>
      </c>
      <c r="AA36" s="40">
        <f t="shared" si="2"/>
        <v>120887.03000000003</v>
      </c>
      <c r="AB36" s="40">
        <f t="shared" si="3"/>
        <v>-22961.579999999798</v>
      </c>
      <c r="AC36" s="40"/>
    </row>
    <row r="37" spans="1:29" hidden="1" x14ac:dyDescent="0.25">
      <c r="A37" s="27" t="s">
        <v>40</v>
      </c>
      <c r="B37" s="27" t="s">
        <v>32</v>
      </c>
      <c r="C37" s="27" t="s">
        <v>32</v>
      </c>
      <c r="D37" s="27" t="s">
        <v>32</v>
      </c>
      <c r="E37" s="27" t="s">
        <v>54</v>
      </c>
      <c r="F37" s="27" t="s">
        <v>41</v>
      </c>
      <c r="G37" s="27" t="s">
        <v>70</v>
      </c>
      <c r="H37" s="28"/>
      <c r="I37" s="27" t="s">
        <v>38</v>
      </c>
      <c r="J37" s="29">
        <v>21400</v>
      </c>
      <c r="K37" s="30">
        <v>136425</v>
      </c>
      <c r="L37" s="31">
        <v>6.375</v>
      </c>
      <c r="M37" s="32">
        <v>21400</v>
      </c>
      <c r="N37" s="30">
        <v>133510.04999999999</v>
      </c>
      <c r="O37" s="30">
        <v>6.23878738317757</v>
      </c>
      <c r="P37" s="39" t="s">
        <v>81</v>
      </c>
      <c r="Q37" s="34">
        <v>-2914.9500000000116</v>
      </c>
      <c r="R37" s="35">
        <v>-2.1366684991753728E-2</v>
      </c>
      <c r="S37" s="36" t="s">
        <v>44</v>
      </c>
      <c r="T37" s="35" t="s">
        <v>44</v>
      </c>
      <c r="U37" s="36">
        <v>-2914.9500000000116</v>
      </c>
      <c r="V37" s="37">
        <v>-2.1366684991753728E-2</v>
      </c>
      <c r="X37" s="38">
        <f t="shared" ref="X37:X68" si="6">IF(C37="Y",X36+Q37,X36+0)</f>
        <v>126442.65000000026</v>
      </c>
      <c r="Y37" s="38">
        <f t="shared" si="4"/>
        <v>-22723.700000000033</v>
      </c>
      <c r="Z37" s="38">
        <f t="shared" si="5"/>
        <v>0</v>
      </c>
      <c r="AA37" s="40">
        <f t="shared" ref="AA37:AA68" si="7">IF(B37="Y",AA36+Q37,AA36+0)</f>
        <v>117972.08000000002</v>
      </c>
      <c r="AB37" s="40">
        <f t="shared" ref="AB37:AB68" si="8">IF(B37="N",AB36+Q37,AB36+0)</f>
        <v>-22961.579999999798</v>
      </c>
      <c r="AC37" s="40"/>
    </row>
    <row r="38" spans="1:29" hidden="1" x14ac:dyDescent="0.25">
      <c r="A38" s="27" t="s">
        <v>40</v>
      </c>
      <c r="B38" s="27" t="s">
        <v>32</v>
      </c>
      <c r="C38" s="27" t="s">
        <v>32</v>
      </c>
      <c r="D38" s="27" t="s">
        <v>45</v>
      </c>
      <c r="E38" s="27" t="s">
        <v>46</v>
      </c>
      <c r="F38" s="27" t="s">
        <v>49</v>
      </c>
      <c r="G38" s="27" t="s">
        <v>56</v>
      </c>
      <c r="H38" s="28"/>
      <c r="I38" s="27" t="s">
        <v>36</v>
      </c>
      <c r="J38" s="29">
        <v>3000</v>
      </c>
      <c r="K38" s="30">
        <v>354859.7</v>
      </c>
      <c r="L38" s="31">
        <v>118.28656666666667</v>
      </c>
      <c r="M38" s="32">
        <v>3000</v>
      </c>
      <c r="N38" s="30">
        <v>348031.03</v>
      </c>
      <c r="O38" s="30">
        <v>116.01034333333334</v>
      </c>
      <c r="P38" s="41" t="s">
        <v>62</v>
      </c>
      <c r="Q38" s="34">
        <v>-6828.6699999999837</v>
      </c>
      <c r="R38" s="35">
        <v>-1.9243295307976652E-2</v>
      </c>
      <c r="S38" s="36" t="s">
        <v>44</v>
      </c>
      <c r="T38" s="35" t="s">
        <v>44</v>
      </c>
      <c r="U38" s="36">
        <v>-6828.6699999999837</v>
      </c>
      <c r="V38" s="37">
        <v>-1.9243295307976652E-2</v>
      </c>
      <c r="X38" s="38">
        <f t="shared" si="6"/>
        <v>119613.98000000027</v>
      </c>
      <c r="Y38" s="38">
        <f t="shared" ref="Y38:Y69" si="9">IF(C38="N",Y37+Q38,Y37+0)</f>
        <v>-22723.700000000033</v>
      </c>
      <c r="Z38" s="38">
        <f t="shared" si="5"/>
        <v>0</v>
      </c>
      <c r="AA38" s="40">
        <f t="shared" si="7"/>
        <v>111143.41000000003</v>
      </c>
      <c r="AB38" s="40">
        <f t="shared" si="8"/>
        <v>-22961.579999999798</v>
      </c>
      <c r="AC38" s="40"/>
    </row>
    <row r="39" spans="1:29" hidden="1" x14ac:dyDescent="0.25">
      <c r="A39" s="27" t="s">
        <v>40</v>
      </c>
      <c r="B39" s="27" t="s">
        <v>32</v>
      </c>
      <c r="C39" s="27" t="s">
        <v>32</v>
      </c>
      <c r="D39" s="27" t="s">
        <v>32</v>
      </c>
      <c r="E39" s="27" t="s">
        <v>46</v>
      </c>
      <c r="F39" s="27" t="s">
        <v>49</v>
      </c>
      <c r="G39" s="27" t="s">
        <v>56</v>
      </c>
      <c r="H39" s="28"/>
      <c r="I39" s="27" t="s">
        <v>38</v>
      </c>
      <c r="J39" s="29">
        <v>1200</v>
      </c>
      <c r="K39" s="30">
        <v>80734.820000000007</v>
      </c>
      <c r="L39" s="31">
        <v>67.279016666666678</v>
      </c>
      <c r="M39" s="32">
        <v>1200</v>
      </c>
      <c r="N39" s="30">
        <v>76161.59</v>
      </c>
      <c r="O39" s="30">
        <v>63.467991666666663</v>
      </c>
      <c r="P39" s="39" t="s">
        <v>82</v>
      </c>
      <c r="Q39" s="34">
        <v>-4573.2300000000105</v>
      </c>
      <c r="R39" s="35">
        <v>-5.6645075817348914E-2</v>
      </c>
      <c r="S39" s="36"/>
      <c r="T39" s="35"/>
      <c r="U39" s="36">
        <v>-4573.2300000000105</v>
      </c>
      <c r="V39" s="37">
        <v>-5.6645075817348914E-2</v>
      </c>
      <c r="X39" s="38">
        <f t="shared" si="6"/>
        <v>115040.75000000026</v>
      </c>
      <c r="Y39" s="38">
        <f t="shared" si="9"/>
        <v>-22723.700000000033</v>
      </c>
      <c r="Z39" s="38">
        <f t="shared" ref="Z39:Z70" si="10">IF(C39="C",Z38+Q39,Z38+0)</f>
        <v>0</v>
      </c>
      <c r="AA39" s="40">
        <f t="shared" si="7"/>
        <v>106570.18000000002</v>
      </c>
      <c r="AB39" s="40">
        <f t="shared" si="8"/>
        <v>-22961.579999999798</v>
      </c>
      <c r="AC39" s="40"/>
    </row>
    <row r="40" spans="1:29" hidden="1" x14ac:dyDescent="0.25">
      <c r="A40" s="27" t="s">
        <v>40</v>
      </c>
      <c r="B40" s="27" t="s">
        <v>45</v>
      </c>
      <c r="C40" s="27" t="s">
        <v>32</v>
      </c>
      <c r="D40" s="27" t="s">
        <v>32</v>
      </c>
      <c r="E40" s="27" t="s">
        <v>46</v>
      </c>
      <c r="F40" s="27" t="s">
        <v>49</v>
      </c>
      <c r="G40" s="27" t="s">
        <v>56</v>
      </c>
      <c r="H40" s="28"/>
      <c r="I40" s="27" t="s">
        <v>36</v>
      </c>
      <c r="J40" s="29">
        <v>1000</v>
      </c>
      <c r="K40" s="30">
        <v>309772.51</v>
      </c>
      <c r="L40" s="31">
        <v>309.77251000000001</v>
      </c>
      <c r="M40" s="32">
        <v>1000</v>
      </c>
      <c r="N40" s="30">
        <v>313780.01</v>
      </c>
      <c r="O40" s="30">
        <v>313.78001</v>
      </c>
      <c r="P40" s="39" t="s">
        <v>83</v>
      </c>
      <c r="Q40" s="34">
        <v>-4007.5</v>
      </c>
      <c r="R40" s="35">
        <v>1.2936912962354189E-2</v>
      </c>
      <c r="S40" s="36"/>
      <c r="T40" s="35"/>
      <c r="U40" s="34">
        <v>-4007.5</v>
      </c>
      <c r="V40" s="37">
        <v>1.2936912962354189E-2</v>
      </c>
      <c r="X40" s="38">
        <f t="shared" si="6"/>
        <v>111033.25000000026</v>
      </c>
      <c r="Y40" s="38">
        <f t="shared" si="9"/>
        <v>-22723.700000000033</v>
      </c>
      <c r="Z40" s="38">
        <f t="shared" si="10"/>
        <v>0</v>
      </c>
      <c r="AA40" s="40">
        <f t="shared" si="7"/>
        <v>106570.18000000002</v>
      </c>
      <c r="AB40" s="40">
        <f t="shared" si="8"/>
        <v>-26969.079999999798</v>
      </c>
      <c r="AC40" s="40"/>
    </row>
    <row r="41" spans="1:29" hidden="1" x14ac:dyDescent="0.25">
      <c r="A41" s="27" t="s">
        <v>31</v>
      </c>
      <c r="B41" s="27" t="s">
        <v>45</v>
      </c>
      <c r="C41" s="27" t="s">
        <v>45</v>
      </c>
      <c r="D41" s="27" t="s">
        <v>32</v>
      </c>
      <c r="E41" s="27" t="s">
        <v>84</v>
      </c>
      <c r="F41" s="27" t="s">
        <v>49</v>
      </c>
      <c r="G41" s="27" t="s">
        <v>56</v>
      </c>
      <c r="H41" s="28"/>
      <c r="I41" s="27" t="s">
        <v>38</v>
      </c>
      <c r="J41" s="29">
        <v>1900</v>
      </c>
      <c r="K41" s="30">
        <v>210520</v>
      </c>
      <c r="L41" s="31">
        <v>110.8</v>
      </c>
      <c r="M41" s="32">
        <v>1900</v>
      </c>
      <c r="N41" s="30">
        <v>204590.09</v>
      </c>
      <c r="O41" s="30">
        <v>107.6789947368421</v>
      </c>
      <c r="P41" s="39" t="s">
        <v>85</v>
      </c>
      <c r="Q41" s="34">
        <v>-5929.9100000000035</v>
      </c>
      <c r="R41" s="35">
        <v>-2.8167917537526153E-2</v>
      </c>
      <c r="S41" s="36" t="s">
        <v>44</v>
      </c>
      <c r="T41" s="35" t="s">
        <v>44</v>
      </c>
      <c r="U41" s="36">
        <v>-5929.9100000000035</v>
      </c>
      <c r="V41" s="37">
        <v>-2.8167917537526153E-2</v>
      </c>
      <c r="X41" s="38">
        <f t="shared" si="6"/>
        <v>111033.25000000026</v>
      </c>
      <c r="Y41" s="38">
        <f t="shared" si="9"/>
        <v>-28653.610000000037</v>
      </c>
      <c r="Z41" s="38">
        <f t="shared" si="10"/>
        <v>0</v>
      </c>
      <c r="AA41" s="40">
        <f t="shared" si="7"/>
        <v>106570.18000000002</v>
      </c>
      <c r="AB41" s="40">
        <f t="shared" si="8"/>
        <v>-32898.989999999802</v>
      </c>
      <c r="AC41" s="40"/>
    </row>
    <row r="42" spans="1:29" hidden="1" x14ac:dyDescent="0.25">
      <c r="A42" s="27" t="s">
        <v>40</v>
      </c>
      <c r="B42" s="27" t="s">
        <v>45</v>
      </c>
      <c r="C42" s="27" t="s">
        <v>45</v>
      </c>
      <c r="D42" s="27" t="s">
        <v>32</v>
      </c>
      <c r="E42" s="27" t="s">
        <v>46</v>
      </c>
      <c r="F42" s="27" t="s">
        <v>47</v>
      </c>
      <c r="G42" s="27" t="s">
        <v>42</v>
      </c>
      <c r="H42" s="28">
        <v>4</v>
      </c>
      <c r="I42" s="27" t="s">
        <v>36</v>
      </c>
      <c r="J42" s="29">
        <v>20</v>
      </c>
      <c r="K42" s="30">
        <v>3920.58</v>
      </c>
      <c r="L42" s="31">
        <v>1.9602899999999999</v>
      </c>
      <c r="M42" s="32">
        <v>20</v>
      </c>
      <c r="N42" s="30">
        <v>0</v>
      </c>
      <c r="O42" s="30">
        <v>0</v>
      </c>
      <c r="P42" s="39" t="s">
        <v>48</v>
      </c>
      <c r="Q42" s="34">
        <v>-3920.58</v>
      </c>
      <c r="R42" s="35">
        <v>-1</v>
      </c>
      <c r="S42" s="36"/>
      <c r="T42" s="35"/>
      <c r="U42" s="36">
        <v>-3920.58</v>
      </c>
      <c r="V42" s="37">
        <v>-1</v>
      </c>
      <c r="X42" s="38">
        <f t="shared" si="6"/>
        <v>111033.25000000026</v>
      </c>
      <c r="Y42" s="38">
        <f t="shared" si="9"/>
        <v>-32574.190000000039</v>
      </c>
      <c r="Z42" s="38">
        <f t="shared" si="10"/>
        <v>0</v>
      </c>
      <c r="AA42" s="40">
        <f t="shared" si="7"/>
        <v>106570.18000000002</v>
      </c>
      <c r="AB42" s="40">
        <f t="shared" si="8"/>
        <v>-36819.569999999803</v>
      </c>
      <c r="AC42" s="40"/>
    </row>
    <row r="43" spans="1:29" x14ac:dyDescent="0.25">
      <c r="A43" s="27" t="s">
        <v>40</v>
      </c>
      <c r="B43" s="27" t="s">
        <v>32</v>
      </c>
      <c r="C43" s="27" t="s">
        <v>32</v>
      </c>
      <c r="D43" s="27" t="s">
        <v>45</v>
      </c>
      <c r="E43" s="27" t="s">
        <v>33</v>
      </c>
      <c r="F43" s="27" t="s">
        <v>41</v>
      </c>
      <c r="G43" s="27" t="s">
        <v>51</v>
      </c>
      <c r="H43" s="28"/>
      <c r="I43" s="27" t="s">
        <v>38</v>
      </c>
      <c r="J43" s="29">
        <v>42</v>
      </c>
      <c r="K43" s="30">
        <v>257299</v>
      </c>
      <c r="L43" s="31">
        <v>612.61666666666667</v>
      </c>
      <c r="M43" s="32">
        <v>42</v>
      </c>
      <c r="N43" s="30">
        <v>247302.7</v>
      </c>
      <c r="O43" s="30">
        <v>588.81595238095235</v>
      </c>
      <c r="P43" s="39" t="s">
        <v>86</v>
      </c>
      <c r="Q43" s="34">
        <v>-9996.2999999999884</v>
      </c>
      <c r="R43" s="35">
        <v>-3.8850908864783831E-2</v>
      </c>
      <c r="S43" s="36" t="s">
        <v>44</v>
      </c>
      <c r="T43" s="35" t="s">
        <v>44</v>
      </c>
      <c r="U43" s="36">
        <v>-9996.2999999999884</v>
      </c>
      <c r="V43" s="37">
        <v>-3.8850908864783831E-2</v>
      </c>
      <c r="X43" s="38">
        <f t="shared" si="6"/>
        <v>101036.95000000027</v>
      </c>
      <c r="Y43" s="38">
        <f t="shared" si="9"/>
        <v>-32574.190000000039</v>
      </c>
      <c r="Z43" s="38">
        <f t="shared" si="10"/>
        <v>0</v>
      </c>
      <c r="AA43" s="40">
        <f t="shared" si="7"/>
        <v>96573.880000000034</v>
      </c>
      <c r="AB43" s="40">
        <f t="shared" si="8"/>
        <v>-36819.569999999803</v>
      </c>
      <c r="AC43" s="40"/>
    </row>
    <row r="44" spans="1:29" hidden="1" x14ac:dyDescent="0.25">
      <c r="A44" s="27" t="s">
        <v>31</v>
      </c>
      <c r="B44" s="27" t="s">
        <v>45</v>
      </c>
      <c r="C44" s="27" t="s">
        <v>32</v>
      </c>
      <c r="D44" s="27" t="s">
        <v>45</v>
      </c>
      <c r="E44" s="27" t="s">
        <v>46</v>
      </c>
      <c r="F44" s="27" t="s">
        <v>49</v>
      </c>
      <c r="G44" s="27" t="s">
        <v>56</v>
      </c>
      <c r="H44" s="28"/>
      <c r="I44" s="27" t="s">
        <v>38</v>
      </c>
      <c r="J44" s="29">
        <v>5900</v>
      </c>
      <c r="K44" s="30">
        <v>387659.5</v>
      </c>
      <c r="L44" s="31">
        <v>65.704999999999998</v>
      </c>
      <c r="M44" s="32">
        <v>5900</v>
      </c>
      <c r="N44" s="30">
        <v>376330.3</v>
      </c>
      <c r="O44" s="30">
        <v>63.784796610169487</v>
      </c>
      <c r="P44" s="39" t="s">
        <v>80</v>
      </c>
      <c r="Q44" s="34">
        <v>-11329.200000000012</v>
      </c>
      <c r="R44" s="35">
        <v>-2.9224615932280828E-2</v>
      </c>
      <c r="S44" s="36" t="s">
        <v>44</v>
      </c>
      <c r="T44" s="35" t="s">
        <v>44</v>
      </c>
      <c r="U44" s="36">
        <v>-11329.200000000012</v>
      </c>
      <c r="V44" s="37">
        <v>-2.9224615932280828E-2</v>
      </c>
      <c r="X44" s="38">
        <f t="shared" si="6"/>
        <v>89707.750000000262</v>
      </c>
      <c r="Y44" s="38">
        <f t="shared" si="9"/>
        <v>-32574.190000000039</v>
      </c>
      <c r="Z44" s="38">
        <f t="shared" si="10"/>
        <v>0</v>
      </c>
      <c r="AA44" s="40">
        <f t="shared" si="7"/>
        <v>96573.880000000034</v>
      </c>
      <c r="AB44" s="40">
        <f t="shared" si="8"/>
        <v>-48148.769999999815</v>
      </c>
      <c r="AC44" s="40"/>
    </row>
    <row r="45" spans="1:29" x14ac:dyDescent="0.25">
      <c r="A45" s="27" t="s">
        <v>31</v>
      </c>
      <c r="B45" s="27" t="s">
        <v>32</v>
      </c>
      <c r="C45" s="27" t="s">
        <v>45</v>
      </c>
      <c r="D45" s="27" t="s">
        <v>32</v>
      </c>
      <c r="E45" s="27" t="s">
        <v>67</v>
      </c>
      <c r="F45" s="27" t="s">
        <v>41</v>
      </c>
      <c r="G45" s="27" t="s">
        <v>51</v>
      </c>
      <c r="H45" s="28"/>
      <c r="I45" s="27" t="s">
        <v>38</v>
      </c>
      <c r="J45" s="29">
        <v>5</v>
      </c>
      <c r="K45" s="30">
        <v>174761.85</v>
      </c>
      <c r="L45" s="31">
        <v>3.4952370000000004</v>
      </c>
      <c r="M45" s="32">
        <v>5</v>
      </c>
      <c r="N45" s="30">
        <v>167988.15</v>
      </c>
      <c r="O45" s="30">
        <v>3.3597630000000001</v>
      </c>
      <c r="P45" s="39" t="s">
        <v>87</v>
      </c>
      <c r="Q45" s="34">
        <v>-6773.7000000000116</v>
      </c>
      <c r="R45" s="35">
        <v>-3.8759603426033858E-2</v>
      </c>
      <c r="S45" s="36"/>
      <c r="T45" s="35"/>
      <c r="U45" s="36">
        <v>-6773.7000000000116</v>
      </c>
      <c r="V45" s="37">
        <v>-3.8759603426033858E-2</v>
      </c>
      <c r="X45" s="38">
        <f t="shared" si="6"/>
        <v>89707.750000000262</v>
      </c>
      <c r="Y45" s="38">
        <f t="shared" si="9"/>
        <v>-39347.89000000005</v>
      </c>
      <c r="Z45" s="38">
        <f t="shared" si="10"/>
        <v>0</v>
      </c>
      <c r="AA45" s="40">
        <f t="shared" si="7"/>
        <v>89800.180000000022</v>
      </c>
      <c r="AB45" s="40">
        <f t="shared" si="8"/>
        <v>-48148.769999999815</v>
      </c>
      <c r="AC45" s="40"/>
    </row>
    <row r="46" spans="1:29" x14ac:dyDescent="0.25">
      <c r="A46" s="27" t="s">
        <v>31</v>
      </c>
      <c r="B46" s="27" t="s">
        <v>45</v>
      </c>
      <c r="C46" s="27" t="s">
        <v>45</v>
      </c>
      <c r="D46" s="27" t="s">
        <v>32</v>
      </c>
      <c r="E46" s="27" t="s">
        <v>46</v>
      </c>
      <c r="F46" s="27" t="s">
        <v>47</v>
      </c>
      <c r="G46" s="27" t="s">
        <v>51</v>
      </c>
      <c r="H46" s="28"/>
      <c r="I46" s="27" t="s">
        <v>38</v>
      </c>
      <c r="J46" s="29">
        <v>3</v>
      </c>
      <c r="K46" s="30">
        <v>463409.04</v>
      </c>
      <c r="L46" s="31">
        <v>30893.935999999998</v>
      </c>
      <c r="M46" s="32">
        <v>3</v>
      </c>
      <c r="N46" s="30">
        <v>478465.95</v>
      </c>
      <c r="O46" s="30">
        <v>31897.73</v>
      </c>
      <c r="P46" s="39" t="s">
        <v>88</v>
      </c>
      <c r="Q46" s="34">
        <v>15056.910000000033</v>
      </c>
      <c r="R46" s="35">
        <v>3.2491619067250017E-2</v>
      </c>
      <c r="S46" s="36">
        <v>15056.910000000033</v>
      </c>
      <c r="T46" s="35">
        <v>3.2491619067250017E-2</v>
      </c>
      <c r="U46" s="36" t="s">
        <v>44</v>
      </c>
      <c r="V46" s="37" t="s">
        <v>44</v>
      </c>
      <c r="X46" s="38">
        <f t="shared" si="6"/>
        <v>89707.750000000262</v>
      </c>
      <c r="Y46" s="38">
        <f t="shared" si="9"/>
        <v>-24290.980000000018</v>
      </c>
      <c r="Z46" s="38">
        <f t="shared" si="10"/>
        <v>0</v>
      </c>
      <c r="AA46" s="40">
        <f t="shared" si="7"/>
        <v>89800.180000000022</v>
      </c>
      <c r="AB46" s="40">
        <f t="shared" si="8"/>
        <v>-33091.859999999782</v>
      </c>
      <c r="AC46" s="40"/>
    </row>
    <row r="47" spans="1:29" hidden="1" x14ac:dyDescent="0.25">
      <c r="A47" s="27" t="s">
        <v>40</v>
      </c>
      <c r="B47" s="27" t="s">
        <v>32</v>
      </c>
      <c r="C47" s="27" t="s">
        <v>32</v>
      </c>
      <c r="D47" s="27" t="s">
        <v>32</v>
      </c>
      <c r="E47" s="27" t="s">
        <v>33</v>
      </c>
      <c r="F47" s="27" t="s">
        <v>34</v>
      </c>
      <c r="G47" s="27" t="s">
        <v>35</v>
      </c>
      <c r="H47" s="28"/>
      <c r="I47" s="27" t="s">
        <v>38</v>
      </c>
      <c r="J47" s="29">
        <v>685000</v>
      </c>
      <c r="K47" s="30">
        <v>732807.11</v>
      </c>
      <c r="L47" s="31">
        <v>1.069791401459854</v>
      </c>
      <c r="M47" s="32">
        <v>685000</v>
      </c>
      <c r="N47" s="30">
        <v>733984.35</v>
      </c>
      <c r="O47" s="30">
        <v>1.07151</v>
      </c>
      <c r="P47" s="39" t="s">
        <v>39</v>
      </c>
      <c r="Q47" s="34">
        <v>1177.2399999999907</v>
      </c>
      <c r="R47" s="35">
        <v>1.603903407477272E-3</v>
      </c>
      <c r="S47" s="36">
        <v>1177.2399999999907</v>
      </c>
      <c r="T47" s="35">
        <v>1.603903407477272E-3</v>
      </c>
      <c r="U47" s="36" t="s">
        <v>44</v>
      </c>
      <c r="V47" s="37" t="s">
        <v>44</v>
      </c>
      <c r="X47" s="38">
        <f t="shared" si="6"/>
        <v>90884.990000000253</v>
      </c>
      <c r="Y47" s="38">
        <f t="shared" si="9"/>
        <v>-24290.980000000018</v>
      </c>
      <c r="Z47" s="38">
        <f t="shared" si="10"/>
        <v>0</v>
      </c>
      <c r="AA47" s="40">
        <f t="shared" si="7"/>
        <v>90977.420000000013</v>
      </c>
      <c r="AB47" s="40">
        <f t="shared" si="8"/>
        <v>-33091.859999999782</v>
      </c>
      <c r="AC47" s="40"/>
    </row>
    <row r="48" spans="1:29" hidden="1" x14ac:dyDescent="0.25">
      <c r="A48" s="27" t="s">
        <v>40</v>
      </c>
      <c r="B48" s="27" t="s">
        <v>32</v>
      </c>
      <c r="C48" s="27" t="s">
        <v>45</v>
      </c>
      <c r="D48" s="27" t="s">
        <v>45</v>
      </c>
      <c r="E48" s="27" t="s">
        <v>46</v>
      </c>
      <c r="F48" s="27" t="s">
        <v>49</v>
      </c>
      <c r="G48" s="27" t="s">
        <v>56</v>
      </c>
      <c r="H48" s="28"/>
      <c r="I48" s="27" t="s">
        <v>36</v>
      </c>
      <c r="J48" s="29">
        <v>580</v>
      </c>
      <c r="K48" s="30">
        <v>127408.33</v>
      </c>
      <c r="L48" s="31">
        <v>219.66953448275862</v>
      </c>
      <c r="M48" s="32">
        <v>580</v>
      </c>
      <c r="N48" s="30">
        <v>133434.78</v>
      </c>
      <c r="O48" s="30">
        <v>230.05996551724138</v>
      </c>
      <c r="P48" s="39" t="s">
        <v>79</v>
      </c>
      <c r="Q48" s="34">
        <v>-6026.4499999999971</v>
      </c>
      <c r="R48" s="35">
        <v>-4.7300282485454398E-2</v>
      </c>
      <c r="S48" s="36" t="s">
        <v>44</v>
      </c>
      <c r="T48" s="35" t="s">
        <v>44</v>
      </c>
      <c r="U48" s="36">
        <v>-6026.4499999999971</v>
      </c>
      <c r="V48" s="37">
        <v>4.7300282485454447E-2</v>
      </c>
      <c r="X48" s="38">
        <f t="shared" si="6"/>
        <v>90884.990000000253</v>
      </c>
      <c r="Y48" s="38">
        <f t="shared" si="9"/>
        <v>-30317.430000000015</v>
      </c>
      <c r="Z48" s="38">
        <f t="shared" si="10"/>
        <v>0</v>
      </c>
      <c r="AA48" s="40">
        <f t="shared" si="7"/>
        <v>84950.970000000016</v>
      </c>
      <c r="AB48" s="40">
        <f t="shared" si="8"/>
        <v>-33091.859999999782</v>
      </c>
      <c r="AC48" s="40"/>
    </row>
    <row r="49" spans="1:29" hidden="1" x14ac:dyDescent="0.25">
      <c r="A49" s="27" t="s">
        <v>40</v>
      </c>
      <c r="B49" s="27" t="s">
        <v>32</v>
      </c>
      <c r="C49" s="27" t="s">
        <v>89</v>
      </c>
      <c r="D49" s="27" t="s">
        <v>32</v>
      </c>
      <c r="E49" s="27" t="s">
        <v>46</v>
      </c>
      <c r="F49" s="27" t="s">
        <v>49</v>
      </c>
      <c r="G49" s="27" t="s">
        <v>56</v>
      </c>
      <c r="H49" s="28"/>
      <c r="I49" s="27" t="s">
        <v>38</v>
      </c>
      <c r="J49" s="29">
        <v>2500</v>
      </c>
      <c r="K49" s="30">
        <v>243462.5</v>
      </c>
      <c r="L49" s="31">
        <v>97.385000000000005</v>
      </c>
      <c r="M49" s="32">
        <v>2500</v>
      </c>
      <c r="N49" s="30">
        <v>243292.99</v>
      </c>
      <c r="O49" s="30">
        <v>97.317195999999996</v>
      </c>
      <c r="P49" s="39" t="s">
        <v>90</v>
      </c>
      <c r="Q49" s="34">
        <v>-169.51000000000931</v>
      </c>
      <c r="R49" s="35">
        <v>-6.9624685526528229E-4</v>
      </c>
      <c r="S49" s="36" t="s">
        <v>44</v>
      </c>
      <c r="T49" s="35" t="s">
        <v>44</v>
      </c>
      <c r="U49" s="36">
        <v>-169.51000000000931</v>
      </c>
      <c r="V49" s="37">
        <v>-6.9624685526528229E-4</v>
      </c>
      <c r="X49" s="38">
        <f t="shared" si="6"/>
        <v>90884.990000000253</v>
      </c>
      <c r="Y49" s="38">
        <f t="shared" si="9"/>
        <v>-30317.430000000015</v>
      </c>
      <c r="Z49" s="38">
        <f t="shared" si="10"/>
        <v>-169.51000000000931</v>
      </c>
      <c r="AA49" s="40">
        <f t="shared" si="7"/>
        <v>84781.46</v>
      </c>
      <c r="AB49" s="40">
        <f t="shared" si="8"/>
        <v>-33091.859999999782</v>
      </c>
      <c r="AC49" s="40"/>
    </row>
    <row r="50" spans="1:29" hidden="1" x14ac:dyDescent="0.25">
      <c r="A50" s="27" t="s">
        <v>40</v>
      </c>
      <c r="B50" s="27" t="s">
        <v>32</v>
      </c>
      <c r="C50" s="27" t="s">
        <v>32</v>
      </c>
      <c r="D50" s="27" t="s">
        <v>32</v>
      </c>
      <c r="E50" s="27" t="s">
        <v>46</v>
      </c>
      <c r="F50" s="27" t="s">
        <v>49</v>
      </c>
      <c r="G50" s="27" t="s">
        <v>56</v>
      </c>
      <c r="H50" s="28"/>
      <c r="I50" s="27" t="s">
        <v>36</v>
      </c>
      <c r="J50" s="29">
        <v>9400</v>
      </c>
      <c r="K50" s="30">
        <v>176095.57</v>
      </c>
      <c r="L50" s="31">
        <v>18.733571276595747</v>
      </c>
      <c r="M50" s="32">
        <v>9400</v>
      </c>
      <c r="N50" s="30">
        <v>170698.4</v>
      </c>
      <c r="O50" s="30">
        <v>18.159404255319149</v>
      </c>
      <c r="P50" s="39" t="s">
        <v>91</v>
      </c>
      <c r="Q50" s="34">
        <v>5397.1700000000128</v>
      </c>
      <c r="R50" s="35">
        <v>3.0649095829043356E-2</v>
      </c>
      <c r="S50" s="36">
        <v>5397.1700000000128</v>
      </c>
      <c r="T50" s="35">
        <v>3.0649095829043356E-2</v>
      </c>
      <c r="U50" s="36" t="s">
        <v>44</v>
      </c>
      <c r="V50" s="37" t="s">
        <v>44</v>
      </c>
      <c r="X50" s="38">
        <f t="shared" si="6"/>
        <v>96282.160000000265</v>
      </c>
      <c r="Y50" s="38">
        <f t="shared" si="9"/>
        <v>-30317.430000000015</v>
      </c>
      <c r="Z50" s="38">
        <f t="shared" si="10"/>
        <v>-169.51000000000931</v>
      </c>
      <c r="AA50" s="40">
        <f t="shared" si="7"/>
        <v>90178.630000000019</v>
      </c>
      <c r="AB50" s="40">
        <f t="shared" si="8"/>
        <v>-33091.859999999782</v>
      </c>
      <c r="AC50" s="40"/>
    </row>
    <row r="51" spans="1:29" hidden="1" x14ac:dyDescent="0.25">
      <c r="A51" s="27" t="s">
        <v>31</v>
      </c>
      <c r="B51" s="27" t="s">
        <v>45</v>
      </c>
      <c r="C51" s="27" t="s">
        <v>45</v>
      </c>
      <c r="D51" s="27" t="s">
        <v>45</v>
      </c>
      <c r="E51" s="27" t="s">
        <v>46</v>
      </c>
      <c r="F51" s="27" t="s">
        <v>34</v>
      </c>
      <c r="G51" s="27" t="s">
        <v>35</v>
      </c>
      <c r="H51" s="28"/>
      <c r="I51" s="27" t="s">
        <v>38</v>
      </c>
      <c r="J51" s="29">
        <v>780000</v>
      </c>
      <c r="K51" s="30">
        <v>9137713.3300000001</v>
      </c>
      <c r="L51" s="31">
        <v>11.71501708974359</v>
      </c>
      <c r="M51" s="32">
        <v>780000</v>
      </c>
      <c r="N51" s="30">
        <v>9070214.6300000008</v>
      </c>
      <c r="O51" s="30">
        <v>11.628480294871796</v>
      </c>
      <c r="P51" s="39" t="s">
        <v>92</v>
      </c>
      <c r="Q51" s="34">
        <v>-6249.8796296295604</v>
      </c>
      <c r="R51" s="35">
        <v>-6.8905531837779228E-4</v>
      </c>
      <c r="S51" s="36" t="s">
        <v>44</v>
      </c>
      <c r="T51" s="35" t="s">
        <v>44</v>
      </c>
      <c r="U51" s="36">
        <v>-6249.8796296295604</v>
      </c>
      <c r="V51" s="37">
        <v>-6.8905531837779228E-4</v>
      </c>
      <c r="X51" s="38">
        <f t="shared" si="6"/>
        <v>96282.160000000265</v>
      </c>
      <c r="Y51" s="38">
        <f t="shared" si="9"/>
        <v>-36567.309629629577</v>
      </c>
      <c r="Z51" s="38">
        <f t="shared" si="10"/>
        <v>-169.51000000000931</v>
      </c>
      <c r="AA51" s="40">
        <f t="shared" si="7"/>
        <v>90178.630000000019</v>
      </c>
      <c r="AB51" s="40">
        <f t="shared" si="8"/>
        <v>-39341.739629629345</v>
      </c>
      <c r="AC51" s="40"/>
    </row>
    <row r="52" spans="1:29" hidden="1" x14ac:dyDescent="0.25">
      <c r="A52" s="27" t="s">
        <v>40</v>
      </c>
      <c r="B52" s="27" t="s">
        <v>32</v>
      </c>
      <c r="C52" s="27" t="s">
        <v>45</v>
      </c>
      <c r="D52" s="27" t="s">
        <v>32</v>
      </c>
      <c r="E52" s="27" t="s">
        <v>46</v>
      </c>
      <c r="F52" s="27" t="s">
        <v>34</v>
      </c>
      <c r="G52" s="27" t="s">
        <v>35</v>
      </c>
      <c r="H52" s="28"/>
      <c r="I52" s="27" t="s">
        <v>38</v>
      </c>
      <c r="J52" s="29">
        <v>660000</v>
      </c>
      <c r="K52" s="30">
        <v>7199361.46</v>
      </c>
      <c r="L52" s="31">
        <v>10.908123424242424</v>
      </c>
      <c r="M52" s="32">
        <v>660000</v>
      </c>
      <c r="N52" s="30">
        <v>7102218.71</v>
      </c>
      <c r="O52" s="30">
        <v>10.76093743939394</v>
      </c>
      <c r="P52" s="39" t="s">
        <v>93</v>
      </c>
      <c r="Q52" s="34">
        <v>-8905.5418812101143</v>
      </c>
      <c r="R52" s="35">
        <v>-1.25390983365114E-3</v>
      </c>
      <c r="S52" s="36" t="s">
        <v>44</v>
      </c>
      <c r="T52" s="35" t="s">
        <v>44</v>
      </c>
      <c r="U52" s="36">
        <v>-8905.5418812101143</v>
      </c>
      <c r="V52" s="37">
        <v>-1.25390983365114E-3</v>
      </c>
      <c r="X52" s="38">
        <f t="shared" si="6"/>
        <v>96282.160000000265</v>
      </c>
      <c r="Y52" s="38">
        <f t="shared" si="9"/>
        <v>-45472.85151083969</v>
      </c>
      <c r="Z52" s="38">
        <f t="shared" si="10"/>
        <v>-169.51000000000931</v>
      </c>
      <c r="AA52" s="40">
        <f t="shared" si="7"/>
        <v>81273.088118789907</v>
      </c>
      <c r="AB52" s="40">
        <f t="shared" si="8"/>
        <v>-39341.739629629345</v>
      </c>
      <c r="AC52" s="40"/>
    </row>
    <row r="53" spans="1:29" hidden="1" x14ac:dyDescent="0.25">
      <c r="A53" s="27" t="s">
        <v>40</v>
      </c>
      <c r="B53" s="27" t="s">
        <v>32</v>
      </c>
      <c r="C53" s="27" t="s">
        <v>89</v>
      </c>
      <c r="D53" s="27" t="s">
        <v>32</v>
      </c>
      <c r="E53" s="27" t="s">
        <v>46</v>
      </c>
      <c r="F53" s="27" t="s">
        <v>49</v>
      </c>
      <c r="G53" s="27" t="s">
        <v>56</v>
      </c>
      <c r="H53" s="28"/>
      <c r="I53" s="27" t="s">
        <v>36</v>
      </c>
      <c r="J53" s="29">
        <v>82</v>
      </c>
      <c r="K53" s="30">
        <v>106393.14</v>
      </c>
      <c r="L53" s="31">
        <v>1297.4773170731708</v>
      </c>
      <c r="M53" s="32">
        <v>82</v>
      </c>
      <c r="N53" s="30">
        <v>101452.58</v>
      </c>
      <c r="O53" s="30">
        <v>1237.2265853658537</v>
      </c>
      <c r="P53" s="39" t="s">
        <v>94</v>
      </c>
      <c r="Q53" s="34">
        <v>4940.5599999999977</v>
      </c>
      <c r="R53" s="35">
        <v>-4.6436828539885185E-2</v>
      </c>
      <c r="S53" s="36">
        <v>4940.5599999999977</v>
      </c>
      <c r="T53" s="35">
        <v>-4.6436828539885185E-2</v>
      </c>
      <c r="U53" s="36" t="s">
        <v>44</v>
      </c>
      <c r="V53" s="37" t="s">
        <v>44</v>
      </c>
      <c r="X53" s="38">
        <f t="shared" si="6"/>
        <v>96282.160000000265</v>
      </c>
      <c r="Y53" s="38">
        <f t="shared" si="9"/>
        <v>-45472.85151083969</v>
      </c>
      <c r="Z53" s="38">
        <f t="shared" si="10"/>
        <v>4771.0499999999884</v>
      </c>
      <c r="AA53" s="40">
        <f t="shared" si="7"/>
        <v>86213.648118789904</v>
      </c>
      <c r="AB53" s="40">
        <f t="shared" si="8"/>
        <v>-39341.739629629345</v>
      </c>
      <c r="AC53" s="40"/>
    </row>
    <row r="54" spans="1:29" x14ac:dyDescent="0.25">
      <c r="A54" s="27" t="s">
        <v>40</v>
      </c>
      <c r="B54" s="27" t="s">
        <v>32</v>
      </c>
      <c r="C54" s="27" t="s">
        <v>32</v>
      </c>
      <c r="D54" s="27" t="s">
        <v>32</v>
      </c>
      <c r="E54" s="27" t="s">
        <v>46</v>
      </c>
      <c r="F54" s="27" t="s">
        <v>34</v>
      </c>
      <c r="G54" s="27" t="s">
        <v>51</v>
      </c>
      <c r="H54" s="28"/>
      <c r="I54" s="27" t="s">
        <v>38</v>
      </c>
      <c r="J54" s="29">
        <v>9</v>
      </c>
      <c r="K54" s="30">
        <v>913429.98</v>
      </c>
      <c r="L54" s="31">
        <v>101.49222</v>
      </c>
      <c r="M54" s="32">
        <v>9</v>
      </c>
      <c r="N54" s="30">
        <v>930310.02</v>
      </c>
      <c r="O54" s="30">
        <v>103.36778</v>
      </c>
      <c r="P54" s="39" t="s">
        <v>95</v>
      </c>
      <c r="Q54" s="34">
        <v>16880.040000000037</v>
      </c>
      <c r="R54" s="35">
        <v>1.8479840129617748E-2</v>
      </c>
      <c r="S54" s="36">
        <v>16880.040000000037</v>
      </c>
      <c r="T54" s="35">
        <v>1.8479840129617748E-2</v>
      </c>
      <c r="U54" s="36" t="s">
        <v>44</v>
      </c>
      <c r="V54" s="37" t="s">
        <v>44</v>
      </c>
      <c r="X54" s="38">
        <f t="shared" si="6"/>
        <v>113162.2000000003</v>
      </c>
      <c r="Y54" s="38">
        <f t="shared" si="9"/>
        <v>-45472.85151083969</v>
      </c>
      <c r="Z54" s="38">
        <f t="shared" si="10"/>
        <v>4771.0499999999884</v>
      </c>
      <c r="AA54" s="40">
        <f t="shared" si="7"/>
        <v>103093.68811878994</v>
      </c>
      <c r="AB54" s="40">
        <f t="shared" si="8"/>
        <v>-39341.739629629345</v>
      </c>
      <c r="AC54" s="40"/>
    </row>
    <row r="55" spans="1:29" hidden="1" x14ac:dyDescent="0.25">
      <c r="A55" s="27" t="s">
        <v>40</v>
      </c>
      <c r="B55" s="27" t="s">
        <v>45</v>
      </c>
      <c r="C55" s="27" t="s">
        <v>32</v>
      </c>
      <c r="D55" s="27" t="s">
        <v>32</v>
      </c>
      <c r="E55" s="27" t="s">
        <v>46</v>
      </c>
      <c r="F55" s="27" t="s">
        <v>49</v>
      </c>
      <c r="G55" s="27" t="s">
        <v>42</v>
      </c>
      <c r="H55" s="28">
        <v>9</v>
      </c>
      <c r="I55" s="27" t="s">
        <v>36</v>
      </c>
      <c r="J55" s="29">
        <v>50</v>
      </c>
      <c r="K55" s="30">
        <v>5249.04</v>
      </c>
      <c r="L55" s="31">
        <v>1.0498080000000001</v>
      </c>
      <c r="M55" s="32">
        <v>50</v>
      </c>
      <c r="N55" s="30">
        <v>0</v>
      </c>
      <c r="O55" s="30">
        <v>0</v>
      </c>
      <c r="P55" s="39" t="s">
        <v>96</v>
      </c>
      <c r="Q55" s="34">
        <v>-5249.04</v>
      </c>
      <c r="R55" s="35">
        <v>-1</v>
      </c>
      <c r="S55" s="36"/>
      <c r="T55" s="35"/>
      <c r="U55" s="36">
        <v>-5249.04</v>
      </c>
      <c r="V55" s="37">
        <v>-1</v>
      </c>
      <c r="X55" s="38">
        <f t="shared" si="6"/>
        <v>107913.16000000031</v>
      </c>
      <c r="Y55" s="38">
        <f t="shared" si="9"/>
        <v>-45472.85151083969</v>
      </c>
      <c r="Z55" s="38">
        <f t="shared" si="10"/>
        <v>4771.0499999999884</v>
      </c>
      <c r="AA55" s="40">
        <f t="shared" si="7"/>
        <v>103093.68811878994</v>
      </c>
      <c r="AB55" s="40">
        <f t="shared" si="8"/>
        <v>-44590.779629629345</v>
      </c>
      <c r="AC55" s="40"/>
    </row>
    <row r="56" spans="1:29" hidden="1" x14ac:dyDescent="0.25">
      <c r="A56" s="27" t="s">
        <v>40</v>
      </c>
      <c r="B56" s="27" t="s">
        <v>32</v>
      </c>
      <c r="C56" s="27" t="s">
        <v>32</v>
      </c>
      <c r="D56" s="27" t="s">
        <v>32</v>
      </c>
      <c r="E56" s="27" t="s">
        <v>46</v>
      </c>
      <c r="F56" s="27" t="s">
        <v>41</v>
      </c>
      <c r="G56" s="27" t="s">
        <v>42</v>
      </c>
      <c r="H56" s="28">
        <v>50</v>
      </c>
      <c r="I56" s="27" t="s">
        <v>36</v>
      </c>
      <c r="J56" s="29">
        <v>180</v>
      </c>
      <c r="K56" s="30">
        <v>7960.02</v>
      </c>
      <c r="L56" s="31">
        <v>0.44222333333333341</v>
      </c>
      <c r="M56" s="32">
        <v>180</v>
      </c>
      <c r="N56" s="30">
        <v>8109.39</v>
      </c>
      <c r="O56" s="30">
        <v>0.45052166666666671</v>
      </c>
      <c r="P56" s="39" t="s">
        <v>97</v>
      </c>
      <c r="Q56" s="34">
        <v>149.36999999999989</v>
      </c>
      <c r="R56" s="35">
        <v>1.8765028228572202E-2</v>
      </c>
      <c r="S56" s="36"/>
      <c r="T56" s="35"/>
      <c r="U56" s="36"/>
      <c r="V56" s="37"/>
      <c r="X56" s="38">
        <f t="shared" si="6"/>
        <v>108062.5300000003</v>
      </c>
      <c r="Y56" s="38">
        <f t="shared" si="9"/>
        <v>-45472.85151083969</v>
      </c>
      <c r="Z56" s="38">
        <f t="shared" si="10"/>
        <v>4771.0499999999884</v>
      </c>
      <c r="AA56" s="40">
        <f t="shared" si="7"/>
        <v>103243.05811878994</v>
      </c>
      <c r="AB56" s="40">
        <f t="shared" si="8"/>
        <v>-44590.779629629345</v>
      </c>
      <c r="AC56" s="40"/>
    </row>
    <row r="57" spans="1:29" hidden="1" x14ac:dyDescent="0.25">
      <c r="A57" s="27" t="s">
        <v>40</v>
      </c>
      <c r="B57" s="27" t="s">
        <v>32</v>
      </c>
      <c r="C57" s="27" t="s">
        <v>89</v>
      </c>
      <c r="D57" s="27" t="s">
        <v>32</v>
      </c>
      <c r="E57" s="27" t="s">
        <v>46</v>
      </c>
      <c r="F57" s="27" t="s">
        <v>49</v>
      </c>
      <c r="G57" s="27" t="s">
        <v>56</v>
      </c>
      <c r="H57" s="28"/>
      <c r="I57" s="27" t="s">
        <v>36</v>
      </c>
      <c r="J57" s="29">
        <v>9000</v>
      </c>
      <c r="K57" s="30">
        <v>512049.6</v>
      </c>
      <c r="L57" s="31">
        <v>56.894399999999997</v>
      </c>
      <c r="M57" s="32">
        <v>9000</v>
      </c>
      <c r="N57" s="30">
        <v>517625</v>
      </c>
      <c r="O57" s="30">
        <v>57.513888888888886</v>
      </c>
      <c r="P57" s="39" t="s">
        <v>98</v>
      </c>
      <c r="Q57" s="34">
        <v>-5575.4000000000233</v>
      </c>
      <c r="R57" s="35">
        <v>-1.0888398311413573E-2</v>
      </c>
      <c r="S57" s="36" t="s">
        <v>44</v>
      </c>
      <c r="T57" s="35" t="s">
        <v>44</v>
      </c>
      <c r="U57" s="36">
        <v>-5575.4000000000233</v>
      </c>
      <c r="V57" s="37">
        <v>-1.0888398311413573E-2</v>
      </c>
      <c r="X57" s="38">
        <f t="shared" si="6"/>
        <v>108062.5300000003</v>
      </c>
      <c r="Y57" s="38">
        <f t="shared" si="9"/>
        <v>-45472.85151083969</v>
      </c>
      <c r="Z57" s="38">
        <f t="shared" si="10"/>
        <v>-804.35000000003492</v>
      </c>
      <c r="AA57" s="40">
        <f t="shared" si="7"/>
        <v>97667.658118789914</v>
      </c>
      <c r="AB57" s="40">
        <f t="shared" si="8"/>
        <v>-44590.779629629345</v>
      </c>
      <c r="AC57" s="40"/>
    </row>
    <row r="58" spans="1:29" hidden="1" x14ac:dyDescent="0.25">
      <c r="A58" s="27" t="s">
        <v>40</v>
      </c>
      <c r="B58" s="27" t="s">
        <v>45</v>
      </c>
      <c r="C58" s="27" t="s">
        <v>89</v>
      </c>
      <c r="D58" s="27" t="s">
        <v>45</v>
      </c>
      <c r="E58" s="27" t="s">
        <v>46</v>
      </c>
      <c r="F58" s="27" t="s">
        <v>49</v>
      </c>
      <c r="G58" s="27" t="s">
        <v>42</v>
      </c>
      <c r="H58" s="28">
        <v>35</v>
      </c>
      <c r="I58" s="27" t="s">
        <v>36</v>
      </c>
      <c r="J58" s="29">
        <v>15</v>
      </c>
      <c r="K58" s="30">
        <v>4199.24</v>
      </c>
      <c r="L58" s="31">
        <v>2.7994933333333329</v>
      </c>
      <c r="M58" s="32">
        <v>15</v>
      </c>
      <c r="N58" s="30">
        <v>0</v>
      </c>
      <c r="O58" s="30">
        <v>0</v>
      </c>
      <c r="P58" s="39" t="s">
        <v>62</v>
      </c>
      <c r="Q58" s="34">
        <v>-4199.24</v>
      </c>
      <c r="R58" s="35">
        <v>-1</v>
      </c>
      <c r="S58" s="36" t="s">
        <v>44</v>
      </c>
      <c r="T58" s="35" t="s">
        <v>44</v>
      </c>
      <c r="U58" s="36">
        <v>-4199.24</v>
      </c>
      <c r="V58" s="37">
        <v>-1</v>
      </c>
      <c r="X58" s="38">
        <f t="shared" si="6"/>
        <v>108062.5300000003</v>
      </c>
      <c r="Y58" s="38">
        <f t="shared" si="9"/>
        <v>-45472.85151083969</v>
      </c>
      <c r="Z58" s="38">
        <f t="shared" si="10"/>
        <v>-5003.5900000000347</v>
      </c>
      <c r="AA58" s="40">
        <f t="shared" si="7"/>
        <v>97667.658118789914</v>
      </c>
      <c r="AB58" s="40">
        <f t="shared" si="8"/>
        <v>-48790.019629629343</v>
      </c>
      <c r="AC58" s="40"/>
    </row>
    <row r="59" spans="1:29" hidden="1" x14ac:dyDescent="0.25">
      <c r="A59" s="27" t="s">
        <v>40</v>
      </c>
      <c r="B59" s="27" t="s">
        <v>32</v>
      </c>
      <c r="C59" s="27" t="s">
        <v>32</v>
      </c>
      <c r="D59" s="27" t="s">
        <v>32</v>
      </c>
      <c r="E59" s="27" t="s">
        <v>46</v>
      </c>
      <c r="F59" s="27" t="s">
        <v>49</v>
      </c>
      <c r="G59" s="27" t="s">
        <v>42</v>
      </c>
      <c r="H59" s="28">
        <v>25</v>
      </c>
      <c r="I59" s="27" t="s">
        <v>38</v>
      </c>
      <c r="J59" s="29">
        <v>75</v>
      </c>
      <c r="K59" s="30">
        <v>8171.05</v>
      </c>
      <c r="L59" s="31">
        <v>1.0894733333333333</v>
      </c>
      <c r="M59" s="32">
        <v>75</v>
      </c>
      <c r="N59" s="30">
        <v>0</v>
      </c>
      <c r="O59" s="30">
        <v>0</v>
      </c>
      <c r="P59" s="39" t="s">
        <v>99</v>
      </c>
      <c r="Q59" s="34">
        <v>-8171.05</v>
      </c>
      <c r="R59" s="35">
        <v>-1</v>
      </c>
      <c r="S59" s="36" t="s">
        <v>44</v>
      </c>
      <c r="T59" s="35" t="s">
        <v>44</v>
      </c>
      <c r="U59" s="36">
        <v>-8171.05</v>
      </c>
      <c r="V59" s="37">
        <v>-1</v>
      </c>
      <c r="X59" s="38">
        <f t="shared" si="6"/>
        <v>99891.480000000302</v>
      </c>
      <c r="Y59" s="38">
        <f t="shared" si="9"/>
        <v>-45472.85151083969</v>
      </c>
      <c r="Z59" s="38">
        <f t="shared" si="10"/>
        <v>-5003.5900000000347</v>
      </c>
      <c r="AA59" s="40">
        <f t="shared" si="7"/>
        <v>89496.608118789911</v>
      </c>
      <c r="AB59" s="40">
        <f t="shared" si="8"/>
        <v>-48790.019629629343</v>
      </c>
      <c r="AC59" s="40"/>
    </row>
    <row r="60" spans="1:29" x14ac:dyDescent="0.25">
      <c r="A60" s="27" t="s">
        <v>40</v>
      </c>
      <c r="B60" s="27" t="s">
        <v>32</v>
      </c>
      <c r="C60" s="27" t="s">
        <v>32</v>
      </c>
      <c r="D60" s="27" t="s">
        <v>32</v>
      </c>
      <c r="E60" s="27" t="s">
        <v>33</v>
      </c>
      <c r="F60" s="27" t="s">
        <v>34</v>
      </c>
      <c r="G60" s="27" t="s">
        <v>51</v>
      </c>
      <c r="H60" s="28"/>
      <c r="I60" s="27" t="s">
        <v>38</v>
      </c>
      <c r="J60" s="29">
        <v>9</v>
      </c>
      <c r="K60" s="30">
        <v>928999.98</v>
      </c>
      <c r="L60" s="31">
        <v>103.22221999999999</v>
      </c>
      <c r="M60" s="32">
        <v>1000</v>
      </c>
      <c r="N60" s="30">
        <v>915510.02</v>
      </c>
      <c r="O60" s="30">
        <v>101.72333555555556</v>
      </c>
      <c r="P60" s="39" t="s">
        <v>95</v>
      </c>
      <c r="Q60" s="34">
        <v>-13489.959999999963</v>
      </c>
      <c r="R60" s="35">
        <v>-1.4520947567727456E-2</v>
      </c>
      <c r="S60" s="36" t="s">
        <v>44</v>
      </c>
      <c r="T60" s="35" t="s">
        <v>44</v>
      </c>
      <c r="U60" s="36">
        <v>-13489.959999999963</v>
      </c>
      <c r="V60" s="37">
        <v>-1.4520947567727456E-2</v>
      </c>
      <c r="X60" s="38">
        <f t="shared" si="6"/>
        <v>86401.520000000339</v>
      </c>
      <c r="Y60" s="38">
        <f t="shared" si="9"/>
        <v>-45472.85151083969</v>
      </c>
      <c r="Z60" s="38">
        <f t="shared" si="10"/>
        <v>-5003.5900000000347</v>
      </c>
      <c r="AA60" s="40">
        <f t="shared" si="7"/>
        <v>76006.648118789948</v>
      </c>
      <c r="AB60" s="40">
        <f t="shared" si="8"/>
        <v>-48790.019629629343</v>
      </c>
      <c r="AC60" s="40"/>
    </row>
    <row r="61" spans="1:29" hidden="1" x14ac:dyDescent="0.25">
      <c r="A61" s="27" t="s">
        <v>40</v>
      </c>
      <c r="B61" s="27" t="s">
        <v>32</v>
      </c>
      <c r="C61" s="27" t="s">
        <v>32</v>
      </c>
      <c r="D61" s="27" t="s">
        <v>32</v>
      </c>
      <c r="E61" s="27" t="s">
        <v>54</v>
      </c>
      <c r="F61" s="27" t="s">
        <v>49</v>
      </c>
      <c r="G61" s="27" t="s">
        <v>56</v>
      </c>
      <c r="H61" s="28"/>
      <c r="I61" s="27" t="s">
        <v>38</v>
      </c>
      <c r="J61" s="29">
        <v>1300</v>
      </c>
      <c r="K61" s="30">
        <v>295157.91000000003</v>
      </c>
      <c r="L61" s="31">
        <v>227.04454615384617</v>
      </c>
      <c r="M61" s="32">
        <v>600</v>
      </c>
      <c r="N61" s="30">
        <v>306390.78999999998</v>
      </c>
      <c r="O61" s="30">
        <v>510.65131666666662</v>
      </c>
      <c r="P61" s="39" t="s">
        <v>100</v>
      </c>
      <c r="Q61" s="34">
        <v>11232.879999999946</v>
      </c>
      <c r="R61" s="35">
        <v>2.4E-2</v>
      </c>
      <c r="S61" s="36"/>
      <c r="T61" s="35"/>
      <c r="U61" s="36"/>
      <c r="V61" s="37"/>
      <c r="X61" s="38">
        <f t="shared" si="6"/>
        <v>97634.400000000285</v>
      </c>
      <c r="Y61" s="38">
        <f t="shared" si="9"/>
        <v>-45472.85151083969</v>
      </c>
      <c r="Z61" s="38">
        <f t="shared" si="10"/>
        <v>-5003.5900000000347</v>
      </c>
      <c r="AA61" s="40">
        <f t="shared" si="7"/>
        <v>87239.528118789895</v>
      </c>
      <c r="AB61" s="40">
        <f t="shared" si="8"/>
        <v>-48790.019629629343</v>
      </c>
      <c r="AC61" s="40"/>
    </row>
    <row r="62" spans="1:29" hidden="1" x14ac:dyDescent="0.25">
      <c r="A62" s="27" t="s">
        <v>40</v>
      </c>
      <c r="B62" s="27" t="s">
        <v>32</v>
      </c>
      <c r="C62" s="27" t="s">
        <v>89</v>
      </c>
      <c r="D62" s="27" t="s">
        <v>32</v>
      </c>
      <c r="E62" s="27" t="s">
        <v>33</v>
      </c>
      <c r="F62" s="27" t="s">
        <v>49</v>
      </c>
      <c r="G62" s="27" t="s">
        <v>56</v>
      </c>
      <c r="H62" s="28"/>
      <c r="I62" s="27" t="s">
        <v>38</v>
      </c>
      <c r="J62" s="29">
        <v>13333</v>
      </c>
      <c r="K62" s="30">
        <v>226767.67</v>
      </c>
      <c r="L62" s="31">
        <v>17.008000450011252</v>
      </c>
      <c r="M62" s="32">
        <v>13333</v>
      </c>
      <c r="N62" s="30">
        <v>216628.76</v>
      </c>
      <c r="O62" s="30">
        <v>16.247563189079727</v>
      </c>
      <c r="P62" s="39" t="s">
        <v>101</v>
      </c>
      <c r="Q62" s="34">
        <v>-10138.910000000003</v>
      </c>
      <c r="R62" s="35">
        <v>-4.4710562136128222E-2</v>
      </c>
      <c r="S62" s="36" t="s">
        <v>44</v>
      </c>
      <c r="T62" s="35" t="s">
        <v>44</v>
      </c>
      <c r="U62" s="36">
        <v>-10138.910000000003</v>
      </c>
      <c r="V62" s="37">
        <v>-4.4710562136128222E-2</v>
      </c>
      <c r="X62" s="38">
        <f t="shared" si="6"/>
        <v>97634.400000000285</v>
      </c>
      <c r="Y62" s="38">
        <f t="shared" si="9"/>
        <v>-45472.85151083969</v>
      </c>
      <c r="Z62" s="38">
        <f t="shared" si="10"/>
        <v>-15142.500000000038</v>
      </c>
      <c r="AA62" s="40">
        <f t="shared" si="7"/>
        <v>77100.618118789891</v>
      </c>
      <c r="AB62" s="40">
        <f t="shared" si="8"/>
        <v>-48790.019629629343</v>
      </c>
      <c r="AC62" s="40"/>
    </row>
    <row r="63" spans="1:29" hidden="1" x14ac:dyDescent="0.25">
      <c r="A63" s="27" t="s">
        <v>40</v>
      </c>
      <c r="B63" s="27" t="s">
        <v>32</v>
      </c>
      <c r="C63" s="27" t="s">
        <v>89</v>
      </c>
      <c r="D63" s="27" t="s">
        <v>32</v>
      </c>
      <c r="E63" s="27" t="s">
        <v>102</v>
      </c>
      <c r="F63" s="27" t="s">
        <v>49</v>
      </c>
      <c r="G63" s="27" t="s">
        <v>56</v>
      </c>
      <c r="H63" s="28"/>
      <c r="I63" s="27" t="s">
        <v>36</v>
      </c>
      <c r="J63" s="29">
        <v>4500</v>
      </c>
      <c r="K63" s="30">
        <v>170975.48</v>
      </c>
      <c r="L63" s="31">
        <v>37.994551111111114</v>
      </c>
      <c r="M63" s="32">
        <v>4500</v>
      </c>
      <c r="N63" s="30">
        <v>181325.5</v>
      </c>
      <c r="O63" s="30">
        <v>40.294555555555554</v>
      </c>
      <c r="P63" s="39" t="s">
        <v>103</v>
      </c>
      <c r="Q63" s="34">
        <v>-10350.01999999999</v>
      </c>
      <c r="R63" s="35">
        <v>-6.0535112988131273E-2</v>
      </c>
      <c r="S63" s="36" t="s">
        <v>44</v>
      </c>
      <c r="T63" s="35" t="s">
        <v>44</v>
      </c>
      <c r="U63" s="36">
        <v>-10350.01999999999</v>
      </c>
      <c r="V63" s="37">
        <v>-6.0535112988131273E-2</v>
      </c>
      <c r="X63" s="38">
        <f t="shared" si="6"/>
        <v>97634.400000000285</v>
      </c>
      <c r="Y63" s="38">
        <f t="shared" si="9"/>
        <v>-45472.85151083969</v>
      </c>
      <c r="Z63" s="38">
        <f t="shared" si="10"/>
        <v>-25492.520000000026</v>
      </c>
      <c r="AA63" s="40">
        <f t="shared" si="7"/>
        <v>66750.598118789901</v>
      </c>
      <c r="AB63" s="40">
        <f t="shared" si="8"/>
        <v>-48790.019629629343</v>
      </c>
      <c r="AC63" s="40"/>
    </row>
    <row r="64" spans="1:29" hidden="1" x14ac:dyDescent="0.25">
      <c r="A64" s="27" t="s">
        <v>40</v>
      </c>
      <c r="B64" s="27" t="s">
        <v>32</v>
      </c>
      <c r="C64" s="27" t="s">
        <v>89</v>
      </c>
      <c r="D64" s="27" t="s">
        <v>32</v>
      </c>
      <c r="E64" s="27" t="s">
        <v>46</v>
      </c>
      <c r="F64" s="27" t="s">
        <v>49</v>
      </c>
      <c r="G64" s="27" t="s">
        <v>56</v>
      </c>
      <c r="H64" s="28"/>
      <c r="I64" s="27" t="s">
        <v>36</v>
      </c>
      <c r="J64" s="29">
        <v>384</v>
      </c>
      <c r="K64" s="30">
        <v>145532.85999999999</v>
      </c>
      <c r="L64" s="31">
        <v>378.99182291666665</v>
      </c>
      <c r="M64" s="32">
        <v>384</v>
      </c>
      <c r="N64" s="30">
        <v>150287.51</v>
      </c>
      <c r="O64" s="30">
        <v>391.37372395833336</v>
      </c>
      <c r="P64" s="39" t="s">
        <v>104</v>
      </c>
      <c r="Q64" s="34">
        <v>-4754.6500000000233</v>
      </c>
      <c r="R64" s="35">
        <v>-3.2670628475246183E-2</v>
      </c>
      <c r="S64" s="36" t="s">
        <v>44</v>
      </c>
      <c r="T64" s="35" t="s">
        <v>44</v>
      </c>
      <c r="U64" s="36">
        <v>-4754.6500000000233</v>
      </c>
      <c r="V64" s="37">
        <v>-3.2670628475246183E-2</v>
      </c>
      <c r="X64" s="38">
        <f t="shared" si="6"/>
        <v>97634.400000000285</v>
      </c>
      <c r="Y64" s="38">
        <f t="shared" si="9"/>
        <v>-45472.85151083969</v>
      </c>
      <c r="Z64" s="38">
        <f t="shared" si="10"/>
        <v>-30247.170000000049</v>
      </c>
      <c r="AA64" s="40">
        <f t="shared" si="7"/>
        <v>61995.948118789878</v>
      </c>
      <c r="AB64" s="40">
        <f t="shared" si="8"/>
        <v>-48790.019629629343</v>
      </c>
      <c r="AC64" s="40"/>
    </row>
    <row r="65" spans="1:29" hidden="1" x14ac:dyDescent="0.25">
      <c r="A65" s="27" t="s">
        <v>40</v>
      </c>
      <c r="B65" s="27" t="s">
        <v>32</v>
      </c>
      <c r="C65" s="27" t="s">
        <v>32</v>
      </c>
      <c r="D65" s="27" t="s">
        <v>32</v>
      </c>
      <c r="E65" s="27" t="s">
        <v>46</v>
      </c>
      <c r="F65" s="27" t="s">
        <v>49</v>
      </c>
      <c r="G65" s="27" t="s">
        <v>56</v>
      </c>
      <c r="H65" s="28"/>
      <c r="I65" s="27" t="s">
        <v>36</v>
      </c>
      <c r="J65" s="29">
        <v>11350</v>
      </c>
      <c r="K65" s="30">
        <v>365862.68</v>
      </c>
      <c r="L65" s="31">
        <v>32.234597356828196</v>
      </c>
      <c r="M65" s="32">
        <v>11350</v>
      </c>
      <c r="N65" s="30">
        <v>373666.99</v>
      </c>
      <c r="O65" s="30">
        <v>32.92220176211454</v>
      </c>
      <c r="P65" s="39" t="s">
        <v>105</v>
      </c>
      <c r="Q65" s="34">
        <v>-7804.3099999999977</v>
      </c>
      <c r="R65" s="35">
        <v>-2.133125466636826E-2</v>
      </c>
      <c r="S65" s="36" t="s">
        <v>44</v>
      </c>
      <c r="T65" s="35" t="s">
        <v>44</v>
      </c>
      <c r="U65" s="36">
        <v>-7804.3099999999977</v>
      </c>
      <c r="V65" s="37">
        <v>-2.133125466636826E-2</v>
      </c>
      <c r="X65" s="38">
        <f t="shared" si="6"/>
        <v>89830.090000000288</v>
      </c>
      <c r="Y65" s="38">
        <f t="shared" si="9"/>
        <v>-45472.85151083969</v>
      </c>
      <c r="Z65" s="38">
        <f t="shared" si="10"/>
        <v>-30247.170000000049</v>
      </c>
      <c r="AA65" s="40">
        <f t="shared" si="7"/>
        <v>54191.638118789881</v>
      </c>
      <c r="AB65" s="40">
        <f t="shared" si="8"/>
        <v>-48790.019629629343</v>
      </c>
      <c r="AC65" s="40"/>
    </row>
    <row r="66" spans="1:29" hidden="1" x14ac:dyDescent="0.25">
      <c r="A66" s="27" t="s">
        <v>31</v>
      </c>
      <c r="B66" s="27" t="s">
        <v>45</v>
      </c>
      <c r="C66" s="27" t="s">
        <v>45</v>
      </c>
      <c r="D66" s="27" t="s">
        <v>32</v>
      </c>
      <c r="E66" s="27" t="s">
        <v>33</v>
      </c>
      <c r="F66" s="27" t="s">
        <v>34</v>
      </c>
      <c r="G66" s="27" t="s">
        <v>35</v>
      </c>
      <c r="H66" s="28"/>
      <c r="I66" s="27" t="s">
        <v>38</v>
      </c>
      <c r="J66" s="29">
        <v>1000000</v>
      </c>
      <c r="K66" s="30">
        <v>681553.63</v>
      </c>
      <c r="L66" s="31">
        <v>0.68155363000000002</v>
      </c>
      <c r="M66" s="32">
        <v>1000000</v>
      </c>
      <c r="N66" s="30">
        <v>676070</v>
      </c>
      <c r="O66" s="30">
        <v>0.67606999999999995</v>
      </c>
      <c r="P66" s="39" t="s">
        <v>106</v>
      </c>
      <c r="Q66" s="34">
        <v>-5483.6300000000047</v>
      </c>
      <c r="R66" s="35">
        <v>-8.1110387977576352E-3</v>
      </c>
      <c r="S66" s="36"/>
      <c r="T66" s="35"/>
      <c r="U66" s="36">
        <v>-5483.6300000000047</v>
      </c>
      <c r="V66" s="37">
        <v>-8.1110387977576352E-3</v>
      </c>
      <c r="X66" s="38">
        <f t="shared" si="6"/>
        <v>89830.090000000288</v>
      </c>
      <c r="Y66" s="38">
        <f t="shared" si="9"/>
        <v>-50956.481510839694</v>
      </c>
      <c r="Z66" s="38">
        <f t="shared" si="10"/>
        <v>-30247.170000000049</v>
      </c>
      <c r="AA66" s="40">
        <f t="shared" si="7"/>
        <v>54191.638118789881</v>
      </c>
      <c r="AB66" s="40">
        <f t="shared" si="8"/>
        <v>-54273.649629629348</v>
      </c>
      <c r="AC66" s="40"/>
    </row>
    <row r="67" spans="1:29" hidden="1" x14ac:dyDescent="0.25">
      <c r="A67" s="27" t="s">
        <v>31</v>
      </c>
      <c r="B67" s="27" t="s">
        <v>32</v>
      </c>
      <c r="C67" s="27" t="s">
        <v>89</v>
      </c>
      <c r="D67" s="27" t="s">
        <v>32</v>
      </c>
      <c r="E67" s="27" t="s">
        <v>33</v>
      </c>
      <c r="F67" s="27" t="s">
        <v>49</v>
      </c>
      <c r="G67" s="27" t="s">
        <v>56</v>
      </c>
      <c r="H67" s="28"/>
      <c r="I67" s="27" t="s">
        <v>36</v>
      </c>
      <c r="J67" s="29">
        <v>17440</v>
      </c>
      <c r="K67" s="30">
        <v>201358.3</v>
      </c>
      <c r="L67" s="31">
        <v>11.545774082568807</v>
      </c>
      <c r="M67" s="32">
        <v>17440</v>
      </c>
      <c r="N67" s="30">
        <v>213235.27</v>
      </c>
      <c r="O67" s="30">
        <v>12.226793004587156</v>
      </c>
      <c r="P67" s="39" t="s">
        <v>107</v>
      </c>
      <c r="Q67" s="34">
        <v>-11876.970000000001</v>
      </c>
      <c r="R67" s="35">
        <v>-5.8984258409015257E-2</v>
      </c>
      <c r="S67" s="36" t="s">
        <v>44</v>
      </c>
      <c r="T67" s="35" t="s">
        <v>44</v>
      </c>
      <c r="U67" s="36">
        <v>-11876.970000000001</v>
      </c>
      <c r="V67" s="37">
        <v>-5.8984258409015257E-2</v>
      </c>
      <c r="X67" s="38">
        <f t="shared" si="6"/>
        <v>89830.090000000288</v>
      </c>
      <c r="Y67" s="38">
        <f t="shared" si="9"/>
        <v>-50956.481510839694</v>
      </c>
      <c r="Z67" s="38">
        <f t="shared" si="10"/>
        <v>-42124.14000000005</v>
      </c>
      <c r="AA67" s="40">
        <f t="shared" si="7"/>
        <v>42314.668118789879</v>
      </c>
      <c r="AB67" s="40">
        <f t="shared" si="8"/>
        <v>-54273.649629629348</v>
      </c>
      <c r="AC67" s="40"/>
    </row>
    <row r="68" spans="1:29" hidden="1" x14ac:dyDescent="0.25">
      <c r="A68" s="27" t="s">
        <v>31</v>
      </c>
      <c r="B68" s="27" t="s">
        <v>32</v>
      </c>
      <c r="C68" s="27" t="s">
        <v>89</v>
      </c>
      <c r="D68" s="27" t="s">
        <v>32</v>
      </c>
      <c r="E68" s="27" t="s">
        <v>33</v>
      </c>
      <c r="F68" s="27" t="s">
        <v>49</v>
      </c>
      <c r="G68" s="27" t="s">
        <v>56</v>
      </c>
      <c r="H68" s="28"/>
      <c r="I68" s="27" t="s">
        <v>36</v>
      </c>
      <c r="J68" s="29">
        <v>11500</v>
      </c>
      <c r="K68" s="30">
        <v>163584.51999999999</v>
      </c>
      <c r="L68" s="31">
        <v>14.224740869565217</v>
      </c>
      <c r="M68" s="32">
        <v>11500</v>
      </c>
      <c r="N68" s="30">
        <v>158627.04999999999</v>
      </c>
      <c r="O68" s="30">
        <v>13.793656521739129</v>
      </c>
      <c r="P68" s="39" t="s">
        <v>108</v>
      </c>
      <c r="Q68" s="34">
        <v>4957.4700000000012</v>
      </c>
      <c r="R68" s="35">
        <v>3.0305251377086378E-2</v>
      </c>
      <c r="S68" s="36">
        <v>4957.4700000000012</v>
      </c>
      <c r="T68" s="35">
        <v>3.0305251377086378E-2</v>
      </c>
      <c r="U68" s="36" t="s">
        <v>44</v>
      </c>
      <c r="V68" s="37" t="s">
        <v>44</v>
      </c>
      <c r="X68" s="38">
        <f t="shared" si="6"/>
        <v>89830.090000000288</v>
      </c>
      <c r="Y68" s="38">
        <f t="shared" si="9"/>
        <v>-50956.481510839694</v>
      </c>
      <c r="Z68" s="38">
        <f t="shared" si="10"/>
        <v>-37166.670000000049</v>
      </c>
      <c r="AA68" s="40">
        <f t="shared" si="7"/>
        <v>47272.138118789881</v>
      </c>
      <c r="AB68" s="40">
        <f t="shared" si="8"/>
        <v>-54273.649629629348</v>
      </c>
      <c r="AC68" s="40"/>
    </row>
    <row r="69" spans="1:29" hidden="1" x14ac:dyDescent="0.25">
      <c r="A69" s="27" t="s">
        <v>31</v>
      </c>
      <c r="B69" s="27" t="s">
        <v>32</v>
      </c>
      <c r="C69" s="27" t="s">
        <v>32</v>
      </c>
      <c r="D69" s="27" t="s">
        <v>32</v>
      </c>
      <c r="E69" s="27" t="s">
        <v>33</v>
      </c>
      <c r="F69" s="27" t="s">
        <v>49</v>
      </c>
      <c r="G69" s="27" t="s">
        <v>56</v>
      </c>
      <c r="H69" s="28"/>
      <c r="I69" s="27" t="s">
        <v>36</v>
      </c>
      <c r="J69" s="29">
        <v>7000</v>
      </c>
      <c r="K69" s="30">
        <v>252731.96</v>
      </c>
      <c r="L69" s="31">
        <v>36.104565714285712</v>
      </c>
      <c r="M69" s="32">
        <v>7000</v>
      </c>
      <c r="N69" s="30">
        <v>267771.21000000002</v>
      </c>
      <c r="O69" s="30">
        <v>38.253030000000003</v>
      </c>
      <c r="P69" s="39" t="s">
        <v>109</v>
      </c>
      <c r="Q69" s="34">
        <v>-15039.250000000029</v>
      </c>
      <c r="R69" s="35">
        <v>-5.9506720083997419E-2</v>
      </c>
      <c r="S69" s="36" t="s">
        <v>44</v>
      </c>
      <c r="T69" s="35" t="s">
        <v>44</v>
      </c>
      <c r="U69" s="36">
        <v>-15039.250000000029</v>
      </c>
      <c r="V69" s="37">
        <v>-5.9506720083997419E-2</v>
      </c>
      <c r="X69" s="38">
        <f t="shared" ref="X69:X102" si="11">IF(C69="Y",X68+Q69,X68+0)</f>
        <v>74790.840000000258</v>
      </c>
      <c r="Y69" s="38">
        <f t="shared" si="9"/>
        <v>-50956.481510839694</v>
      </c>
      <c r="Z69" s="38">
        <f t="shared" si="10"/>
        <v>-37166.670000000049</v>
      </c>
      <c r="AA69" s="40">
        <f t="shared" ref="AA69:AA102" si="12">IF(B69="Y",AA68+Q69,AA68+0)</f>
        <v>32232.888118789851</v>
      </c>
      <c r="AB69" s="40">
        <f t="shared" ref="AB69:AB102" si="13">IF(B69="N",AB68+Q69,AB68+0)</f>
        <v>-54273.649629629348</v>
      </c>
      <c r="AC69" s="40"/>
    </row>
    <row r="70" spans="1:29" hidden="1" x14ac:dyDescent="0.25">
      <c r="A70" s="27" t="s">
        <v>31</v>
      </c>
      <c r="B70" s="27" t="s">
        <v>32</v>
      </c>
      <c r="C70" s="27" t="s">
        <v>32</v>
      </c>
      <c r="D70" s="27" t="s">
        <v>32</v>
      </c>
      <c r="E70" s="27" t="s">
        <v>46</v>
      </c>
      <c r="F70" s="27" t="s">
        <v>49</v>
      </c>
      <c r="G70" s="27" t="s">
        <v>56</v>
      </c>
      <c r="H70" s="28"/>
      <c r="I70" s="27" t="s">
        <v>38</v>
      </c>
      <c r="J70" s="29">
        <v>3000</v>
      </c>
      <c r="K70" s="30">
        <v>484982.5</v>
      </c>
      <c r="L70" s="31">
        <v>161.66083333333333</v>
      </c>
      <c r="M70" s="32">
        <v>3000</v>
      </c>
      <c r="N70" s="30">
        <v>467099.66</v>
      </c>
      <c r="O70" s="30">
        <v>155.69988666666666</v>
      </c>
      <c r="P70" s="39" t="s">
        <v>110</v>
      </c>
      <c r="Q70" s="34">
        <v>-17882.840000000026</v>
      </c>
      <c r="R70" s="35">
        <v>-3.6873165526591201E-2</v>
      </c>
      <c r="S70" s="36" t="s">
        <v>44</v>
      </c>
      <c r="T70" s="35" t="s">
        <v>44</v>
      </c>
      <c r="U70" s="36">
        <v>-17882.840000000026</v>
      </c>
      <c r="V70" s="37">
        <v>-3.6873165526591201E-2</v>
      </c>
      <c r="X70" s="38">
        <f t="shared" si="11"/>
        <v>56908.000000000233</v>
      </c>
      <c r="Y70" s="38">
        <f t="shared" ref="Y70:Y102" si="14">IF(C70="N",Y69+Q70,Y69+0)</f>
        <v>-50956.481510839694</v>
      </c>
      <c r="Z70" s="38">
        <f t="shared" si="10"/>
        <v>-37166.670000000049</v>
      </c>
      <c r="AA70" s="40">
        <f t="shared" si="12"/>
        <v>14350.048118789826</v>
      </c>
      <c r="AB70" s="40">
        <f t="shared" si="13"/>
        <v>-54273.649629629348</v>
      </c>
      <c r="AC70" s="40"/>
    </row>
    <row r="71" spans="1:29" hidden="1" x14ac:dyDescent="0.25">
      <c r="A71" s="27" t="s">
        <v>40</v>
      </c>
      <c r="B71" s="27" t="s">
        <v>32</v>
      </c>
      <c r="C71" s="27" t="s">
        <v>32</v>
      </c>
      <c r="D71" s="27" t="s">
        <v>32</v>
      </c>
      <c r="E71" s="27" t="s">
        <v>46</v>
      </c>
      <c r="F71" s="27" t="s">
        <v>49</v>
      </c>
      <c r="G71" s="27" t="s">
        <v>56</v>
      </c>
      <c r="H71" s="28"/>
      <c r="I71" s="27" t="s">
        <v>38</v>
      </c>
      <c r="J71" s="29">
        <v>5800</v>
      </c>
      <c r="K71" s="30">
        <v>313054</v>
      </c>
      <c r="L71" s="31">
        <v>53.974827586206899</v>
      </c>
      <c r="M71" s="32">
        <v>5800</v>
      </c>
      <c r="N71" s="30">
        <v>330437.52</v>
      </c>
      <c r="O71" s="30">
        <v>56.971986206896553</v>
      </c>
      <c r="P71" s="39" t="s">
        <v>111</v>
      </c>
      <c r="Q71" s="34">
        <v>17383.520000000019</v>
      </c>
      <c r="R71" s="35">
        <v>5.5528822503465816E-2</v>
      </c>
      <c r="S71" s="36">
        <v>17383.520000000019</v>
      </c>
      <c r="T71" s="35">
        <v>5.5528822503465816E-2</v>
      </c>
      <c r="U71" s="36" t="s">
        <v>44</v>
      </c>
      <c r="V71" s="37" t="s">
        <v>44</v>
      </c>
      <c r="X71" s="38">
        <f t="shared" si="11"/>
        <v>74291.520000000251</v>
      </c>
      <c r="Y71" s="38">
        <f t="shared" si="14"/>
        <v>-50956.481510839694</v>
      </c>
      <c r="Z71" s="38">
        <f t="shared" ref="Z71:Z102" si="15">IF(C71="C",Z70+Q71,Z70+0)</f>
        <v>-37166.670000000049</v>
      </c>
      <c r="AA71" s="40">
        <f t="shared" si="12"/>
        <v>31733.568118789844</v>
      </c>
      <c r="AB71" s="40">
        <f t="shared" si="13"/>
        <v>-54273.649629629348</v>
      </c>
      <c r="AC71" s="40"/>
    </row>
    <row r="72" spans="1:29" hidden="1" x14ac:dyDescent="0.25">
      <c r="A72" s="27" t="s">
        <v>40</v>
      </c>
      <c r="B72" s="27" t="s">
        <v>45</v>
      </c>
      <c r="C72" s="27" t="s">
        <v>45</v>
      </c>
      <c r="D72" s="27" t="s">
        <v>32</v>
      </c>
      <c r="E72" s="27" t="s">
        <v>33</v>
      </c>
      <c r="F72" s="27" t="s">
        <v>49</v>
      </c>
      <c r="G72" s="27" t="s">
        <v>56</v>
      </c>
      <c r="H72" s="28"/>
      <c r="I72" s="27" t="s">
        <v>38</v>
      </c>
      <c r="J72" s="29">
        <v>4500</v>
      </c>
      <c r="K72" s="30">
        <v>90022.5</v>
      </c>
      <c r="L72" s="31">
        <v>20.004999999999999</v>
      </c>
      <c r="M72" s="32">
        <v>4500</v>
      </c>
      <c r="N72" s="30">
        <v>98976.06</v>
      </c>
      <c r="O72" s="30">
        <v>21.994679999999999</v>
      </c>
      <c r="P72" s="39" t="s">
        <v>112</v>
      </c>
      <c r="Q72" s="34">
        <v>8953.5599999999977</v>
      </c>
      <c r="R72" s="35">
        <v>9.9459135216195954E-2</v>
      </c>
      <c r="S72" s="36">
        <v>8953.5599999999977</v>
      </c>
      <c r="T72" s="35">
        <v>9.9459135216195954E-2</v>
      </c>
      <c r="U72" s="36" t="s">
        <v>44</v>
      </c>
      <c r="V72" s="37" t="s">
        <v>44</v>
      </c>
      <c r="X72" s="38">
        <f t="shared" si="11"/>
        <v>74291.520000000251</v>
      </c>
      <c r="Y72" s="38">
        <f t="shared" si="14"/>
        <v>-42002.921510839697</v>
      </c>
      <c r="Z72" s="38">
        <f t="shared" si="15"/>
        <v>-37166.670000000049</v>
      </c>
      <c r="AA72" s="40">
        <f t="shared" si="12"/>
        <v>31733.568118789844</v>
      </c>
      <c r="AB72" s="40">
        <f t="shared" si="13"/>
        <v>-45320.08962962935</v>
      </c>
      <c r="AC72" s="40"/>
    </row>
    <row r="73" spans="1:29" hidden="1" x14ac:dyDescent="0.25">
      <c r="A73" s="27" t="s">
        <v>31</v>
      </c>
      <c r="B73" s="27" t="s">
        <v>45</v>
      </c>
      <c r="C73" s="27" t="s">
        <v>45</v>
      </c>
      <c r="D73" s="27" t="s">
        <v>45</v>
      </c>
      <c r="E73" s="27" t="s">
        <v>46</v>
      </c>
      <c r="F73" s="27" t="s">
        <v>34</v>
      </c>
      <c r="G73" s="27" t="s">
        <v>35</v>
      </c>
      <c r="H73" s="28"/>
      <c r="I73" s="27" t="s">
        <v>38</v>
      </c>
      <c r="J73" s="29">
        <v>325000</v>
      </c>
      <c r="K73" s="30">
        <v>3841547.93</v>
      </c>
      <c r="L73" s="31">
        <v>11.820147476923077</v>
      </c>
      <c r="M73" s="32">
        <v>325000</v>
      </c>
      <c r="N73" s="30">
        <v>3745369.26</v>
      </c>
      <c r="O73" s="30">
        <v>11.524213107692306</v>
      </c>
      <c r="P73" s="39" t="s">
        <v>92</v>
      </c>
      <c r="Q73" s="34">
        <v>-8947.4838287613329</v>
      </c>
      <c r="R73" s="35">
        <v>-2.3889457107258184E-3</v>
      </c>
      <c r="S73" s="36"/>
      <c r="T73" s="35"/>
      <c r="U73" s="36">
        <v>-8947.4838287613329</v>
      </c>
      <c r="V73" s="37">
        <v>-2.3889457107258184E-3</v>
      </c>
      <c r="X73" s="38">
        <f t="shared" si="11"/>
        <v>74291.520000000251</v>
      </c>
      <c r="Y73" s="38">
        <f t="shared" si="14"/>
        <v>-50950.405339601028</v>
      </c>
      <c r="Z73" s="38">
        <f t="shared" si="15"/>
        <v>-37166.670000000049</v>
      </c>
      <c r="AA73" s="40">
        <f t="shared" si="12"/>
        <v>31733.568118789844</v>
      </c>
      <c r="AB73" s="40">
        <f t="shared" si="13"/>
        <v>-54267.573458390681</v>
      </c>
      <c r="AC73" s="40"/>
    </row>
    <row r="74" spans="1:29" hidden="1" x14ac:dyDescent="0.25">
      <c r="A74" s="27" t="s">
        <v>40</v>
      </c>
      <c r="B74" s="27" t="s">
        <v>32</v>
      </c>
      <c r="C74" s="27" t="s">
        <v>89</v>
      </c>
      <c r="D74" s="27" t="s">
        <v>32</v>
      </c>
      <c r="E74" s="27" t="s">
        <v>33</v>
      </c>
      <c r="F74" s="27" t="s">
        <v>49</v>
      </c>
      <c r="G74" s="27" t="s">
        <v>56</v>
      </c>
      <c r="H74" s="28"/>
      <c r="I74" s="27" t="s">
        <v>36</v>
      </c>
      <c r="J74" s="29">
        <v>14285</v>
      </c>
      <c r="K74" s="30">
        <v>150632.04999999999</v>
      </c>
      <c r="L74" s="31">
        <v>10.544770738536926</v>
      </c>
      <c r="M74" s="32">
        <v>14285</v>
      </c>
      <c r="N74" s="30">
        <v>161215.85</v>
      </c>
      <c r="O74" s="30">
        <v>11.285673783689186</v>
      </c>
      <c r="P74" s="39" t="s">
        <v>113</v>
      </c>
      <c r="Q74" s="34">
        <v>-10583.800000000017</v>
      </c>
      <c r="R74" s="35">
        <v>-7.0262603476484817E-2</v>
      </c>
      <c r="S74" s="36" t="s">
        <v>44</v>
      </c>
      <c r="T74" s="35" t="s">
        <v>44</v>
      </c>
      <c r="U74" s="36">
        <v>-10583.800000000017</v>
      </c>
      <c r="V74" s="37">
        <v>-7.0262603476484817E-2</v>
      </c>
      <c r="X74" s="38">
        <f t="shared" si="11"/>
        <v>74291.520000000251</v>
      </c>
      <c r="Y74" s="38">
        <f t="shared" si="14"/>
        <v>-50950.405339601028</v>
      </c>
      <c r="Z74" s="38">
        <f t="shared" si="15"/>
        <v>-47750.470000000067</v>
      </c>
      <c r="AA74" s="40">
        <f t="shared" si="12"/>
        <v>21149.768118789827</v>
      </c>
      <c r="AB74" s="40">
        <f t="shared" si="13"/>
        <v>-54267.573458390681</v>
      </c>
      <c r="AC74" s="40"/>
    </row>
    <row r="75" spans="1:29" x14ac:dyDescent="0.25">
      <c r="A75" s="27" t="s">
        <v>31</v>
      </c>
      <c r="B75" s="27" t="s">
        <v>45</v>
      </c>
      <c r="C75" s="27" t="s">
        <v>45</v>
      </c>
      <c r="D75" s="27" t="s">
        <v>45</v>
      </c>
      <c r="E75" s="27" t="s">
        <v>46</v>
      </c>
      <c r="F75" s="27" t="s">
        <v>47</v>
      </c>
      <c r="G75" s="27" t="s">
        <v>51</v>
      </c>
      <c r="H75" s="28"/>
      <c r="I75" s="27" t="s">
        <v>38</v>
      </c>
      <c r="J75" s="29">
        <v>4</v>
      </c>
      <c r="K75" s="30">
        <v>658962.07999999996</v>
      </c>
      <c r="L75" s="31">
        <v>32948.103999999999</v>
      </c>
      <c r="M75" s="32">
        <v>4</v>
      </c>
      <c r="N75" s="30">
        <v>644987.92000000004</v>
      </c>
      <c r="O75" s="30">
        <v>32249.396000000001</v>
      </c>
      <c r="P75" s="39" t="s">
        <v>88</v>
      </c>
      <c r="Q75" s="34">
        <v>-14018.159999999916</v>
      </c>
      <c r="R75" s="35">
        <v>2.1206318882567528E-2</v>
      </c>
      <c r="S75" s="36" t="s">
        <v>44</v>
      </c>
      <c r="T75" s="35" t="s">
        <v>44</v>
      </c>
      <c r="U75" s="36">
        <v>-14018.159999999916</v>
      </c>
      <c r="V75" s="37">
        <v>2.1206318882567528E-2</v>
      </c>
      <c r="X75" s="38">
        <f t="shared" si="11"/>
        <v>74291.520000000251</v>
      </c>
      <c r="Y75" s="38">
        <f t="shared" si="14"/>
        <v>-64968.565339600944</v>
      </c>
      <c r="Z75" s="38">
        <f t="shared" si="15"/>
        <v>-47750.470000000067</v>
      </c>
      <c r="AA75" s="40">
        <f t="shared" si="12"/>
        <v>21149.768118789827</v>
      </c>
      <c r="AB75" s="40">
        <f t="shared" si="13"/>
        <v>-68285.733458390605</v>
      </c>
      <c r="AC75" s="40"/>
    </row>
    <row r="76" spans="1:29" x14ac:dyDescent="0.25">
      <c r="A76" s="27" t="s">
        <v>31</v>
      </c>
      <c r="B76" s="27" t="s">
        <v>45</v>
      </c>
      <c r="C76" s="27" t="s">
        <v>45</v>
      </c>
      <c r="D76" s="27" t="s">
        <v>32</v>
      </c>
      <c r="E76" s="27" t="s">
        <v>46</v>
      </c>
      <c r="F76" s="27" t="s">
        <v>41</v>
      </c>
      <c r="G76" s="27" t="s">
        <v>51</v>
      </c>
      <c r="H76" s="28"/>
      <c r="I76" s="27" t="s">
        <v>38</v>
      </c>
      <c r="J76" s="29">
        <v>3</v>
      </c>
      <c r="K76" s="30">
        <v>219607.11</v>
      </c>
      <c r="L76" s="31">
        <v>73.202370000000002</v>
      </c>
      <c r="M76" s="32">
        <v>3</v>
      </c>
      <c r="N76" s="30">
        <v>224992.89</v>
      </c>
      <c r="O76" s="30">
        <v>74.997630000000001</v>
      </c>
      <c r="P76" s="39" t="s">
        <v>52</v>
      </c>
      <c r="Q76" s="34">
        <v>5341.7800000000279</v>
      </c>
      <c r="R76" s="35">
        <v>-2.452461580137363E-2</v>
      </c>
      <c r="S76" s="36">
        <v>5341.7800000000279</v>
      </c>
      <c r="T76" s="35">
        <v>-2.452461580137363E-2</v>
      </c>
      <c r="U76" s="36" t="s">
        <v>44</v>
      </c>
      <c r="V76" s="37" t="s">
        <v>44</v>
      </c>
      <c r="X76" s="38">
        <f t="shared" si="11"/>
        <v>74291.520000000251</v>
      </c>
      <c r="Y76" s="38">
        <f t="shared" si="14"/>
        <v>-59626.785339600916</v>
      </c>
      <c r="Z76" s="38">
        <f t="shared" si="15"/>
        <v>-47750.470000000067</v>
      </c>
      <c r="AA76" s="40">
        <f t="shared" si="12"/>
        <v>21149.768118789827</v>
      </c>
      <c r="AB76" s="40">
        <f t="shared" si="13"/>
        <v>-62943.953458390577</v>
      </c>
      <c r="AC76" s="40"/>
    </row>
    <row r="77" spans="1:29" hidden="1" x14ac:dyDescent="0.25">
      <c r="A77" s="27" t="s">
        <v>114</v>
      </c>
      <c r="B77" s="27" t="s">
        <v>45</v>
      </c>
      <c r="C77" s="27" t="s">
        <v>45</v>
      </c>
      <c r="D77" s="27" t="s">
        <v>32</v>
      </c>
      <c r="E77" s="27"/>
      <c r="F77" s="27" t="s">
        <v>34</v>
      </c>
      <c r="G77" s="27" t="s">
        <v>35</v>
      </c>
      <c r="H77" s="28"/>
      <c r="I77" s="27" t="s">
        <v>38</v>
      </c>
      <c r="J77" s="29">
        <v>875000</v>
      </c>
      <c r="K77" s="30">
        <v>10280454.58</v>
      </c>
      <c r="L77" s="31">
        <v>11.749090948571428</v>
      </c>
      <c r="M77" s="32">
        <v>875000</v>
      </c>
      <c r="N77" s="30">
        <v>10107352.51</v>
      </c>
      <c r="O77" s="30">
        <v>11.551260011428571</v>
      </c>
      <c r="P77" s="39" t="s">
        <v>115</v>
      </c>
      <c r="Q77" s="34">
        <v>-16632.139184110645</v>
      </c>
      <c r="R77" s="35">
        <v>-1.645548541782347E-3</v>
      </c>
      <c r="S77" s="36" t="s">
        <v>44</v>
      </c>
      <c r="T77" s="35" t="s">
        <v>44</v>
      </c>
      <c r="U77" s="36">
        <v>-16632.139184110645</v>
      </c>
      <c r="V77" s="37"/>
      <c r="X77" s="38">
        <f t="shared" si="11"/>
        <v>74291.520000000251</v>
      </c>
      <c r="Y77" s="38">
        <f t="shared" si="14"/>
        <v>-76258.924523711554</v>
      </c>
      <c r="Z77" s="38">
        <f t="shared" si="15"/>
        <v>-47750.470000000067</v>
      </c>
      <c r="AA77" s="40">
        <f t="shared" si="12"/>
        <v>21149.768118789827</v>
      </c>
      <c r="AB77" s="40">
        <f t="shared" si="13"/>
        <v>-79576.092642501229</v>
      </c>
      <c r="AC77" s="40"/>
    </row>
    <row r="78" spans="1:29" hidden="1" x14ac:dyDescent="0.25">
      <c r="A78" s="27" t="s">
        <v>114</v>
      </c>
      <c r="B78" s="27" t="s">
        <v>45</v>
      </c>
      <c r="C78" s="27" t="s">
        <v>45</v>
      </c>
      <c r="D78" s="27" t="s">
        <v>45</v>
      </c>
      <c r="E78" s="27"/>
      <c r="F78" s="27" t="s">
        <v>34</v>
      </c>
      <c r="G78" s="27" t="s">
        <v>35</v>
      </c>
      <c r="H78" s="28"/>
      <c r="I78" s="27" t="s">
        <v>38</v>
      </c>
      <c r="J78" s="29">
        <v>350000</v>
      </c>
      <c r="K78" s="30">
        <v>3750573.0700000003</v>
      </c>
      <c r="L78" s="31">
        <v>10.715923057142858</v>
      </c>
      <c r="M78" s="32">
        <v>350000</v>
      </c>
      <c r="N78" s="30">
        <v>3581268.7</v>
      </c>
      <c r="O78" s="30">
        <v>10.232196285714286</v>
      </c>
      <c r="P78" s="39" t="s">
        <v>93</v>
      </c>
      <c r="Q78" s="34">
        <v>-16546.239465360428</v>
      </c>
      <c r="R78" s="35">
        <v>-1.6000000000000001E-3</v>
      </c>
      <c r="S78" s="36"/>
      <c r="T78" s="35"/>
      <c r="U78" s="36">
        <v>-16546.239465360428</v>
      </c>
      <c r="V78" s="37"/>
      <c r="X78" s="38">
        <f t="shared" si="11"/>
        <v>74291.520000000251</v>
      </c>
      <c r="Y78" s="38">
        <f t="shared" si="14"/>
        <v>-92805.163989071982</v>
      </c>
      <c r="Z78" s="38">
        <f t="shared" si="15"/>
        <v>-47750.470000000067</v>
      </c>
      <c r="AA78" s="40">
        <f t="shared" si="12"/>
        <v>21149.768118789827</v>
      </c>
      <c r="AB78" s="40">
        <f t="shared" si="13"/>
        <v>-96122.332107861657</v>
      </c>
      <c r="AC78" s="40"/>
    </row>
    <row r="79" spans="1:29" hidden="1" x14ac:dyDescent="0.25">
      <c r="A79" s="27" t="s">
        <v>114</v>
      </c>
      <c r="B79" s="27" t="s">
        <v>45</v>
      </c>
      <c r="C79" s="27" t="s">
        <v>45</v>
      </c>
      <c r="D79" s="27" t="s">
        <v>45</v>
      </c>
      <c r="E79" s="27"/>
      <c r="F79" s="27" t="s">
        <v>34</v>
      </c>
      <c r="G79" s="27" t="s">
        <v>35</v>
      </c>
      <c r="H79" s="28"/>
      <c r="I79" s="27" t="s">
        <v>38</v>
      </c>
      <c r="J79" s="29">
        <v>325000</v>
      </c>
      <c r="K79" s="30">
        <v>3841547.93</v>
      </c>
      <c r="L79" s="31">
        <v>11.820147476923077</v>
      </c>
      <c r="M79" s="32">
        <v>325000</v>
      </c>
      <c r="N79" s="30">
        <v>3745369.26</v>
      </c>
      <c r="O79" s="30">
        <v>11.524213107692306</v>
      </c>
      <c r="P79" s="39" t="s">
        <v>92</v>
      </c>
      <c r="Q79" s="34">
        <v>-8947.4838287613329</v>
      </c>
      <c r="R79" s="35">
        <v>-2.3889457107258184E-3</v>
      </c>
      <c r="S79" s="36"/>
      <c r="T79" s="35"/>
      <c r="U79" s="36">
        <v>-8947.4838287613329</v>
      </c>
      <c r="V79" s="37"/>
      <c r="X79" s="38">
        <f t="shared" si="11"/>
        <v>74291.520000000251</v>
      </c>
      <c r="Y79" s="38">
        <f t="shared" si="14"/>
        <v>-101752.64781783332</v>
      </c>
      <c r="Z79" s="38">
        <f t="shared" si="15"/>
        <v>-47750.470000000067</v>
      </c>
      <c r="AA79" s="40">
        <f t="shared" si="12"/>
        <v>21149.768118789827</v>
      </c>
      <c r="AB79" s="40">
        <f t="shared" si="13"/>
        <v>-105069.815936623</v>
      </c>
      <c r="AC79" s="40"/>
    </row>
    <row r="80" spans="1:29" hidden="1" x14ac:dyDescent="0.25">
      <c r="A80" s="27" t="s">
        <v>114</v>
      </c>
      <c r="B80" s="27" t="s">
        <v>45</v>
      </c>
      <c r="C80" s="27" t="s">
        <v>45</v>
      </c>
      <c r="D80" s="27" t="s">
        <v>32</v>
      </c>
      <c r="E80" s="27"/>
      <c r="F80" s="27" t="s">
        <v>34</v>
      </c>
      <c r="G80" s="27" t="s">
        <v>35</v>
      </c>
      <c r="H80" s="28"/>
      <c r="I80" s="27" t="s">
        <v>38</v>
      </c>
      <c r="J80" s="29">
        <v>1950000</v>
      </c>
      <c r="K80" s="30">
        <v>14122699.51</v>
      </c>
      <c r="L80" s="31">
        <v>7.242410005128205</v>
      </c>
      <c r="M80" s="32">
        <v>1950000</v>
      </c>
      <c r="N80" s="30">
        <v>13993281.559999999</v>
      </c>
      <c r="O80" s="30">
        <v>7.1760418256410246</v>
      </c>
      <c r="P80" s="39" t="s">
        <v>116</v>
      </c>
      <c r="Q80" s="34">
        <v>-18034.726266166992</v>
      </c>
      <c r="R80" s="35">
        <v>-1.288813220032642E-3</v>
      </c>
      <c r="S80" s="36"/>
      <c r="T80" s="35"/>
      <c r="U80" s="36">
        <v>-18034.726266166992</v>
      </c>
      <c r="V80" s="37"/>
      <c r="X80" s="38">
        <f t="shared" si="11"/>
        <v>74291.520000000251</v>
      </c>
      <c r="Y80" s="38">
        <f t="shared" si="14"/>
        <v>-119787.37408400032</v>
      </c>
      <c r="Z80" s="38">
        <f t="shared" si="15"/>
        <v>-47750.470000000067</v>
      </c>
      <c r="AA80" s="40">
        <f t="shared" si="12"/>
        <v>21149.768118789827</v>
      </c>
      <c r="AB80" s="40">
        <f t="shared" si="13"/>
        <v>-123104.54220278999</v>
      </c>
      <c r="AC80" s="40"/>
    </row>
    <row r="81" spans="1:29" hidden="1" x14ac:dyDescent="0.25">
      <c r="A81" s="27" t="s">
        <v>114</v>
      </c>
      <c r="B81" s="27" t="s">
        <v>45</v>
      </c>
      <c r="C81" s="27" t="s">
        <v>89</v>
      </c>
      <c r="D81" s="27" t="s">
        <v>32</v>
      </c>
      <c r="E81" s="27"/>
      <c r="F81" s="27" t="s">
        <v>34</v>
      </c>
      <c r="G81" s="27" t="s">
        <v>35</v>
      </c>
      <c r="H81" s="28"/>
      <c r="I81" s="27" t="s">
        <v>38</v>
      </c>
      <c r="J81" s="29">
        <v>1975000</v>
      </c>
      <c r="K81" s="30">
        <v>21069646.649999999</v>
      </c>
      <c r="L81" s="31">
        <v>10.668175518987342</v>
      </c>
      <c r="M81" s="32">
        <v>1975000</v>
      </c>
      <c r="N81" s="30">
        <v>20734949.171100002</v>
      </c>
      <c r="O81" s="30">
        <v>10.498708441063291</v>
      </c>
      <c r="P81" s="39" t="s">
        <v>117</v>
      </c>
      <c r="Q81" s="34">
        <v>-31879.871774598891</v>
      </c>
      <c r="R81" s="35">
        <v>-3.0999999999999999E-3</v>
      </c>
      <c r="S81" s="36"/>
      <c r="T81" s="35"/>
      <c r="U81" s="36">
        <v>-31879.871774598891</v>
      </c>
      <c r="V81" s="37"/>
      <c r="X81" s="38">
        <f t="shared" si="11"/>
        <v>74291.520000000251</v>
      </c>
      <c r="Y81" s="38">
        <f t="shared" si="14"/>
        <v>-119787.37408400032</v>
      </c>
      <c r="Z81" s="38">
        <f t="shared" si="15"/>
        <v>-79630.341774598957</v>
      </c>
      <c r="AA81" s="40">
        <f t="shared" si="12"/>
        <v>21149.768118789827</v>
      </c>
      <c r="AB81" s="40">
        <f t="shared" si="13"/>
        <v>-154984.41397738887</v>
      </c>
      <c r="AC81" s="40"/>
    </row>
    <row r="82" spans="1:29" hidden="1" x14ac:dyDescent="0.25">
      <c r="A82" s="27" t="s">
        <v>114</v>
      </c>
      <c r="B82" s="27" t="s">
        <v>45</v>
      </c>
      <c r="C82" s="27" t="s">
        <v>45</v>
      </c>
      <c r="D82" s="27" t="s">
        <v>32</v>
      </c>
      <c r="E82" s="27"/>
      <c r="F82" s="27" t="s">
        <v>34</v>
      </c>
      <c r="G82" s="27" t="s">
        <v>35</v>
      </c>
      <c r="H82" s="28"/>
      <c r="I82" s="27" t="s">
        <v>38</v>
      </c>
      <c r="J82" s="29">
        <v>2600000</v>
      </c>
      <c r="K82" s="30">
        <v>366257164.62</v>
      </c>
      <c r="L82" s="31">
        <v>140.86814023846154</v>
      </c>
      <c r="M82" s="32">
        <v>1200000</v>
      </c>
      <c r="N82" s="30">
        <v>364397922.27000004</v>
      </c>
      <c r="O82" s="30">
        <v>303.66493522500002</v>
      </c>
      <c r="P82" s="39" t="s">
        <v>118</v>
      </c>
      <c r="Q82" s="34">
        <v>-6122.6771165474265</v>
      </c>
      <c r="R82" s="35">
        <v>-1.6802173509680002E-5</v>
      </c>
      <c r="S82" s="36" t="s">
        <v>44</v>
      </c>
      <c r="T82" s="35" t="s">
        <v>44</v>
      </c>
      <c r="U82" s="36">
        <v>-6122.6771165474265</v>
      </c>
      <c r="V82" s="37">
        <v>-1.6802173509680002E-5</v>
      </c>
      <c r="X82" s="38">
        <f t="shared" si="11"/>
        <v>74291.520000000251</v>
      </c>
      <c r="Y82" s="38">
        <f t="shared" si="14"/>
        <v>-125910.05120054774</v>
      </c>
      <c r="Z82" s="38">
        <f t="shared" si="15"/>
        <v>-79630.341774598957</v>
      </c>
      <c r="AA82" s="40">
        <f t="shared" si="12"/>
        <v>21149.768118789827</v>
      </c>
      <c r="AB82" s="40">
        <f t="shared" si="13"/>
        <v>-161107.09109393629</v>
      </c>
      <c r="AC82" s="40"/>
    </row>
    <row r="83" spans="1:29" hidden="1" x14ac:dyDescent="0.25">
      <c r="A83" s="27" t="s">
        <v>114</v>
      </c>
      <c r="B83" s="27" t="s">
        <v>32</v>
      </c>
      <c r="C83" s="27" t="s">
        <v>45</v>
      </c>
      <c r="D83" s="27" t="s">
        <v>32</v>
      </c>
      <c r="E83" s="27"/>
      <c r="F83" s="27" t="s">
        <v>49</v>
      </c>
      <c r="G83" s="27" t="s">
        <v>56</v>
      </c>
      <c r="H83" s="28"/>
      <c r="I83" s="27" t="s">
        <v>38</v>
      </c>
      <c r="J83" s="29">
        <v>1200</v>
      </c>
      <c r="K83" s="30">
        <v>270221.39999999997</v>
      </c>
      <c r="L83" s="31">
        <v>225.18449999999996</v>
      </c>
      <c r="M83" s="32">
        <v>1200</v>
      </c>
      <c r="N83" s="30">
        <v>341095.84</v>
      </c>
      <c r="O83" s="30">
        <v>284.24653333333333</v>
      </c>
      <c r="P83" s="39" t="s">
        <v>119</v>
      </c>
      <c r="Q83" s="34">
        <v>70874.440000000061</v>
      </c>
      <c r="R83" s="35">
        <v>0.26228285398565793</v>
      </c>
      <c r="S83" s="36">
        <v>70874.440000000061</v>
      </c>
      <c r="T83" s="35">
        <v>0.26228285398565793</v>
      </c>
      <c r="U83" s="36"/>
      <c r="V83" s="37"/>
      <c r="X83" s="38">
        <f t="shared" si="11"/>
        <v>74291.520000000251</v>
      </c>
      <c r="Y83" s="38">
        <f t="shared" si="14"/>
        <v>-55035.611200547675</v>
      </c>
      <c r="Z83" s="38">
        <f t="shared" si="15"/>
        <v>-79630.341774598957</v>
      </c>
      <c r="AA83" s="40">
        <f t="shared" si="12"/>
        <v>92024.208118789888</v>
      </c>
      <c r="AB83" s="40">
        <f t="shared" si="13"/>
        <v>-161107.09109393629</v>
      </c>
      <c r="AC83" s="40"/>
    </row>
    <row r="84" spans="1:29" hidden="1" x14ac:dyDescent="0.25">
      <c r="A84" s="27" t="s">
        <v>114</v>
      </c>
      <c r="B84" s="27" t="s">
        <v>32</v>
      </c>
      <c r="C84" s="27" t="s">
        <v>89</v>
      </c>
      <c r="D84" s="27" t="s">
        <v>32</v>
      </c>
      <c r="E84" s="27" t="s">
        <v>33</v>
      </c>
      <c r="F84" s="27" t="s">
        <v>49</v>
      </c>
      <c r="G84" s="27" t="s">
        <v>56</v>
      </c>
      <c r="H84" s="28"/>
      <c r="I84" s="27" t="s">
        <v>36</v>
      </c>
      <c r="J84" s="29">
        <v>10000</v>
      </c>
      <c r="K84" s="30">
        <v>154947.31</v>
      </c>
      <c r="L84" s="31">
        <v>15.494731</v>
      </c>
      <c r="M84" s="32">
        <v>10000</v>
      </c>
      <c r="N84" s="30">
        <v>165550.85999999999</v>
      </c>
      <c r="O84" s="30">
        <v>16.555085999999999</v>
      </c>
      <c r="P84" s="39" t="s">
        <v>120</v>
      </c>
      <c r="Q84" s="34">
        <v>-10603.549999999988</v>
      </c>
      <c r="R84" s="35">
        <v>-6.8433262894334823E-2</v>
      </c>
      <c r="S84" s="36" t="s">
        <v>44</v>
      </c>
      <c r="T84" s="35" t="s">
        <v>44</v>
      </c>
      <c r="U84" s="36">
        <v>-10603.549999999988</v>
      </c>
      <c r="V84" s="37">
        <v>-6.8433262894334823E-2</v>
      </c>
      <c r="X84" s="38">
        <f t="shared" si="11"/>
        <v>74291.520000000251</v>
      </c>
      <c r="Y84" s="38">
        <f t="shared" si="14"/>
        <v>-55035.611200547675</v>
      </c>
      <c r="Z84" s="38">
        <f t="shared" si="15"/>
        <v>-90233.891774598946</v>
      </c>
      <c r="AA84" s="40">
        <f t="shared" si="12"/>
        <v>81420.658118789899</v>
      </c>
      <c r="AB84" s="40">
        <f t="shared" si="13"/>
        <v>-161107.09109393629</v>
      </c>
      <c r="AC84" s="40"/>
    </row>
    <row r="85" spans="1:29" hidden="1" x14ac:dyDescent="0.25">
      <c r="A85" s="27" t="s">
        <v>114</v>
      </c>
      <c r="B85" s="27" t="s">
        <v>45</v>
      </c>
      <c r="C85" s="27" t="s">
        <v>45</v>
      </c>
      <c r="D85" s="27" t="s">
        <v>45</v>
      </c>
      <c r="E85" s="27" t="s">
        <v>46</v>
      </c>
      <c r="F85" s="27" t="s">
        <v>49</v>
      </c>
      <c r="G85" s="27" t="s">
        <v>56</v>
      </c>
      <c r="H85" s="28"/>
      <c r="I85" s="27" t="s">
        <v>36</v>
      </c>
      <c r="J85" s="29">
        <v>205</v>
      </c>
      <c r="K85" s="30">
        <v>55348.5</v>
      </c>
      <c r="L85" s="31">
        <v>269.99268292682927</v>
      </c>
      <c r="M85" s="32">
        <v>205</v>
      </c>
      <c r="N85" s="30">
        <v>59364.92</v>
      </c>
      <c r="O85" s="30">
        <v>289.5849756097561</v>
      </c>
      <c r="P85" s="39" t="s">
        <v>79</v>
      </c>
      <c r="Q85" s="34">
        <v>-4016.4199999999983</v>
      </c>
      <c r="R85" s="35">
        <v>-7.2566013532435372E-2</v>
      </c>
      <c r="S85" s="36" t="s">
        <v>44</v>
      </c>
      <c r="T85" s="35" t="s">
        <v>44</v>
      </c>
      <c r="U85" s="36">
        <v>-4016.4199999999983</v>
      </c>
      <c r="V85" s="37">
        <v>-7.2566013532435372E-2</v>
      </c>
      <c r="X85" s="38">
        <f t="shared" si="11"/>
        <v>74291.520000000251</v>
      </c>
      <c r="Y85" s="38">
        <f t="shared" si="14"/>
        <v>-59052.031200547674</v>
      </c>
      <c r="Z85" s="38">
        <f t="shared" si="15"/>
        <v>-90233.891774598946</v>
      </c>
      <c r="AA85" s="40">
        <f t="shared" si="12"/>
        <v>81420.658118789899</v>
      </c>
      <c r="AB85" s="40">
        <f t="shared" si="13"/>
        <v>-165123.51109393628</v>
      </c>
      <c r="AC85" s="40"/>
    </row>
    <row r="86" spans="1:29" hidden="1" x14ac:dyDescent="0.25">
      <c r="A86" s="27" t="s">
        <v>40</v>
      </c>
      <c r="B86" s="27" t="s">
        <v>32</v>
      </c>
      <c r="C86" s="27" t="s">
        <v>32</v>
      </c>
      <c r="D86" s="27" t="s">
        <v>32</v>
      </c>
      <c r="E86" s="27"/>
      <c r="F86" s="27" t="s">
        <v>49</v>
      </c>
      <c r="G86" s="27" t="s">
        <v>56</v>
      </c>
      <c r="H86" s="28"/>
      <c r="I86" s="27" t="s">
        <v>38</v>
      </c>
      <c r="J86" s="29">
        <v>1200</v>
      </c>
      <c r="K86" s="30">
        <v>578973.60000000009</v>
      </c>
      <c r="L86" s="31">
        <v>482.47800000000007</v>
      </c>
      <c r="M86" s="32">
        <v>1200</v>
      </c>
      <c r="N86" s="30">
        <v>650388.63</v>
      </c>
      <c r="O86" s="30">
        <v>541.99052500000005</v>
      </c>
      <c r="P86" s="39" t="s">
        <v>121</v>
      </c>
      <c r="Q86" s="34">
        <v>71415.029999999912</v>
      </c>
      <c r="R86" s="35">
        <v>0.12334764486670889</v>
      </c>
      <c r="S86" s="36">
        <v>71415.029999999912</v>
      </c>
      <c r="T86" s="35">
        <v>0.12334764486670889</v>
      </c>
      <c r="U86" s="36" t="s">
        <v>44</v>
      </c>
      <c r="V86" s="37" t="s">
        <v>44</v>
      </c>
      <c r="X86" s="38">
        <f t="shared" si="11"/>
        <v>145706.55000000016</v>
      </c>
      <c r="Y86" s="38">
        <f t="shared" si="14"/>
        <v>-59052.031200547674</v>
      </c>
      <c r="Z86" s="38">
        <f t="shared" si="15"/>
        <v>-90233.891774598946</v>
      </c>
      <c r="AA86" s="40">
        <f t="shared" si="12"/>
        <v>152835.68811878981</v>
      </c>
      <c r="AB86" s="40">
        <f t="shared" si="13"/>
        <v>-165123.51109393628</v>
      </c>
      <c r="AC86" s="40"/>
    </row>
    <row r="87" spans="1:29" hidden="1" x14ac:dyDescent="0.25">
      <c r="A87" s="27" t="s">
        <v>40</v>
      </c>
      <c r="B87" s="27" t="s">
        <v>32</v>
      </c>
      <c r="C87" s="27" t="s">
        <v>89</v>
      </c>
      <c r="D87" s="27" t="s">
        <v>32</v>
      </c>
      <c r="E87" s="27" t="s">
        <v>33</v>
      </c>
      <c r="F87" s="27" t="s">
        <v>49</v>
      </c>
      <c r="G87" s="27" t="s">
        <v>56</v>
      </c>
      <c r="H87" s="28"/>
      <c r="I87" s="27" t="s">
        <v>36</v>
      </c>
      <c r="J87" s="29">
        <v>5405</v>
      </c>
      <c r="K87" s="30">
        <v>157526.68</v>
      </c>
      <c r="L87" s="31">
        <v>29.144621646623495</v>
      </c>
      <c r="M87" s="32">
        <v>5405</v>
      </c>
      <c r="N87" s="30">
        <v>168131.66</v>
      </c>
      <c r="O87" s="30">
        <v>31.106690101757632</v>
      </c>
      <c r="P87" s="39" t="s">
        <v>122</v>
      </c>
      <c r="Q87" s="34">
        <v>-10604.98000000001</v>
      </c>
      <c r="R87" s="35">
        <v>-6.7321802249625334E-2</v>
      </c>
      <c r="S87" s="36" t="s">
        <v>44</v>
      </c>
      <c r="T87" s="35" t="s">
        <v>44</v>
      </c>
      <c r="U87" s="36">
        <v>-10604.98000000001</v>
      </c>
      <c r="V87" s="37">
        <v>-6.7321802249625334E-2</v>
      </c>
      <c r="X87" s="38">
        <f t="shared" si="11"/>
        <v>145706.55000000016</v>
      </c>
      <c r="Y87" s="38">
        <f t="shared" si="14"/>
        <v>-59052.031200547674</v>
      </c>
      <c r="Z87" s="38">
        <f t="shared" si="15"/>
        <v>-100838.87177459896</v>
      </c>
      <c r="AA87" s="40">
        <f t="shared" si="12"/>
        <v>142230.7081187898</v>
      </c>
      <c r="AB87" s="40">
        <f t="shared" si="13"/>
        <v>-165123.51109393628</v>
      </c>
      <c r="AC87" s="40"/>
    </row>
    <row r="88" spans="1:29" hidden="1" x14ac:dyDescent="0.25">
      <c r="A88" s="27" t="s">
        <v>40</v>
      </c>
      <c r="B88" s="27" t="s">
        <v>32</v>
      </c>
      <c r="C88" s="27" t="s">
        <v>32</v>
      </c>
      <c r="D88" s="27" t="s">
        <v>32</v>
      </c>
      <c r="E88" s="27" t="s">
        <v>46</v>
      </c>
      <c r="F88" s="27" t="s">
        <v>49</v>
      </c>
      <c r="G88" s="27" t="s">
        <v>56</v>
      </c>
      <c r="H88" s="28"/>
      <c r="I88" s="27" t="s">
        <v>38</v>
      </c>
      <c r="J88" s="29">
        <v>7500</v>
      </c>
      <c r="K88" s="30">
        <v>381907.25</v>
      </c>
      <c r="L88" s="31">
        <v>50.920966666666665</v>
      </c>
      <c r="M88" s="32">
        <v>7500</v>
      </c>
      <c r="N88" s="30">
        <v>382468.33</v>
      </c>
      <c r="O88" s="30">
        <v>50.995777333333336</v>
      </c>
      <c r="P88" s="39" t="s">
        <v>123</v>
      </c>
      <c r="Q88" s="34">
        <v>561.0800000000163</v>
      </c>
      <c r="R88" s="35">
        <v>1.4691525232894533E-3</v>
      </c>
      <c r="S88" s="36">
        <v>561.0800000000163</v>
      </c>
      <c r="T88" s="35">
        <v>1.4691525232894533E-3</v>
      </c>
      <c r="U88" s="36" t="s">
        <v>44</v>
      </c>
      <c r="V88" s="37" t="s">
        <v>44</v>
      </c>
      <c r="X88" s="38">
        <f t="shared" si="11"/>
        <v>146267.63000000018</v>
      </c>
      <c r="Y88" s="38">
        <f t="shared" si="14"/>
        <v>-59052.031200547674</v>
      </c>
      <c r="Z88" s="38">
        <f t="shared" si="15"/>
        <v>-100838.87177459896</v>
      </c>
      <c r="AA88" s="40">
        <f t="shared" si="12"/>
        <v>142791.78811878982</v>
      </c>
      <c r="AB88" s="40">
        <f t="shared" si="13"/>
        <v>-165123.51109393628</v>
      </c>
      <c r="AC88" s="40"/>
    </row>
    <row r="89" spans="1:29" hidden="1" x14ac:dyDescent="0.25">
      <c r="A89" s="27" t="s">
        <v>31</v>
      </c>
      <c r="B89" s="27" t="s">
        <v>45</v>
      </c>
      <c r="C89" s="27" t="s">
        <v>89</v>
      </c>
      <c r="D89" s="27" t="s">
        <v>32</v>
      </c>
      <c r="E89" s="27" t="s">
        <v>33</v>
      </c>
      <c r="F89" s="27" t="s">
        <v>49</v>
      </c>
      <c r="G89" s="27" t="s">
        <v>70</v>
      </c>
      <c r="H89" s="28"/>
      <c r="I89" s="27" t="s">
        <v>36</v>
      </c>
      <c r="J89" s="29">
        <v>8000</v>
      </c>
      <c r="K89" s="30">
        <v>231956.98</v>
      </c>
      <c r="L89" s="31">
        <v>28.994622500000002</v>
      </c>
      <c r="M89" s="32">
        <v>8000</v>
      </c>
      <c r="N89" s="30">
        <v>232039</v>
      </c>
      <c r="O89" s="30">
        <v>29.004874999999998</v>
      </c>
      <c r="P89" s="39" t="s">
        <v>124</v>
      </c>
      <c r="Q89" s="34">
        <v>-82.019999999989523</v>
      </c>
      <c r="R89" s="35">
        <v>-3.5360005118178188E-4</v>
      </c>
      <c r="S89" s="36" t="s">
        <v>44</v>
      </c>
      <c r="T89" s="35" t="s">
        <v>44</v>
      </c>
      <c r="U89" s="36">
        <v>-82.019999999989523</v>
      </c>
      <c r="V89" s="37">
        <v>-3.5360005118178188E-4</v>
      </c>
      <c r="X89" s="38">
        <f t="shared" si="11"/>
        <v>146267.63000000018</v>
      </c>
      <c r="Y89" s="38">
        <f t="shared" si="14"/>
        <v>-59052.031200547674</v>
      </c>
      <c r="Z89" s="38">
        <f t="shared" si="15"/>
        <v>-100920.89177459895</v>
      </c>
      <c r="AA89" s="40">
        <f t="shared" si="12"/>
        <v>142791.78811878982</v>
      </c>
      <c r="AB89" s="40">
        <f t="shared" si="13"/>
        <v>-165205.53109393627</v>
      </c>
      <c r="AC89" s="40"/>
    </row>
    <row r="90" spans="1:29" hidden="1" x14ac:dyDescent="0.25">
      <c r="A90" s="27" t="s">
        <v>40</v>
      </c>
      <c r="B90" s="27" t="s">
        <v>32</v>
      </c>
      <c r="C90" s="27" t="s">
        <v>32</v>
      </c>
      <c r="D90" s="27" t="s">
        <v>32</v>
      </c>
      <c r="E90" s="27" t="s">
        <v>46</v>
      </c>
      <c r="F90" s="27" t="s">
        <v>49</v>
      </c>
      <c r="G90" s="27" t="s">
        <v>56</v>
      </c>
      <c r="H90" s="28"/>
      <c r="I90" s="27" t="s">
        <v>38</v>
      </c>
      <c r="J90" s="29">
        <v>3500</v>
      </c>
      <c r="K90" s="30">
        <v>318517.5</v>
      </c>
      <c r="L90" s="31">
        <v>91.004999999999995</v>
      </c>
      <c r="M90" s="32">
        <v>3500</v>
      </c>
      <c r="N90" s="30">
        <v>337484.29000000004</v>
      </c>
      <c r="O90" s="30">
        <v>96.424082857142864</v>
      </c>
      <c r="P90" s="39" t="s">
        <v>125</v>
      </c>
      <c r="Q90" s="34">
        <v>18966.790000000037</v>
      </c>
      <c r="R90" s="35">
        <v>5.9547089249413425E-2</v>
      </c>
      <c r="S90" s="36">
        <v>18966.790000000037</v>
      </c>
      <c r="T90" s="35">
        <v>5.9547089249413425E-2</v>
      </c>
      <c r="U90" s="36" t="s">
        <v>44</v>
      </c>
      <c r="V90" s="37" t="s">
        <v>44</v>
      </c>
      <c r="X90" s="38">
        <f t="shared" si="11"/>
        <v>165234.42000000022</v>
      </c>
      <c r="Y90" s="38">
        <f t="shared" si="14"/>
        <v>-59052.031200547674</v>
      </c>
      <c r="Z90" s="38">
        <f t="shared" si="15"/>
        <v>-100920.89177459895</v>
      </c>
      <c r="AA90" s="40">
        <f t="shared" si="12"/>
        <v>161758.57811878985</v>
      </c>
      <c r="AB90" s="40">
        <f t="shared" si="13"/>
        <v>-165205.53109393627</v>
      </c>
      <c r="AC90" s="40"/>
    </row>
    <row r="91" spans="1:29" x14ac:dyDescent="0.25">
      <c r="A91" s="27" t="s">
        <v>31</v>
      </c>
      <c r="B91" s="27" t="s">
        <v>45</v>
      </c>
      <c r="C91" s="27" t="s">
        <v>45</v>
      </c>
      <c r="D91" s="27" t="s">
        <v>45</v>
      </c>
      <c r="E91" s="27" t="s">
        <v>46</v>
      </c>
      <c r="F91" s="27" t="s">
        <v>34</v>
      </c>
      <c r="G91" s="27" t="s">
        <v>51</v>
      </c>
      <c r="H91" s="28"/>
      <c r="I91" s="27" t="s">
        <v>38</v>
      </c>
      <c r="J91" s="29">
        <v>10</v>
      </c>
      <c r="K91" s="30">
        <v>1005872.2</v>
      </c>
      <c r="L91" s="31">
        <v>100.58722</v>
      </c>
      <c r="M91" s="32">
        <v>10</v>
      </c>
      <c r="N91" s="30">
        <v>998427.8</v>
      </c>
      <c r="O91" s="30">
        <v>99.842780000000005</v>
      </c>
      <c r="P91" s="39" t="s">
        <v>95</v>
      </c>
      <c r="Q91" s="34">
        <v>-7488.3999999999069</v>
      </c>
      <c r="R91" s="35">
        <v>7.400940198963619E-3</v>
      </c>
      <c r="S91" s="36" t="s">
        <v>44</v>
      </c>
      <c r="T91" s="35" t="s">
        <v>44</v>
      </c>
      <c r="U91" s="36">
        <v>-7488.3999999999069</v>
      </c>
      <c r="V91" s="37">
        <v>7.400940198963619E-3</v>
      </c>
      <c r="X91" s="38">
        <f t="shared" si="11"/>
        <v>165234.42000000022</v>
      </c>
      <c r="Y91" s="38">
        <f t="shared" si="14"/>
        <v>-66540.43120054758</v>
      </c>
      <c r="Z91" s="38">
        <f t="shared" si="15"/>
        <v>-100920.89177459895</v>
      </c>
      <c r="AA91" s="40">
        <f t="shared" si="12"/>
        <v>161758.57811878985</v>
      </c>
      <c r="AB91" s="40">
        <f t="shared" si="13"/>
        <v>-172693.93109393617</v>
      </c>
    </row>
    <row r="92" spans="1:29" hidden="1" x14ac:dyDescent="0.25">
      <c r="A92" s="27" t="s">
        <v>40</v>
      </c>
      <c r="B92" s="27" t="s">
        <v>32</v>
      </c>
      <c r="C92" s="27" t="s">
        <v>32</v>
      </c>
      <c r="D92" s="27" t="s">
        <v>45</v>
      </c>
      <c r="E92" s="27" t="s">
        <v>67</v>
      </c>
      <c r="F92" s="27" t="s">
        <v>34</v>
      </c>
      <c r="G92" s="27" t="s">
        <v>35</v>
      </c>
      <c r="H92" s="28"/>
      <c r="I92" s="27" t="s">
        <v>36</v>
      </c>
      <c r="J92" s="29">
        <v>2700000</v>
      </c>
      <c r="K92" s="30">
        <v>2433337.42</v>
      </c>
      <c r="L92" s="31">
        <v>0.90123608148148149</v>
      </c>
      <c r="M92" s="32">
        <v>2700000</v>
      </c>
      <c r="N92" s="30">
        <v>2361302.12</v>
      </c>
      <c r="O92" s="30">
        <v>0.87455634074074073</v>
      </c>
      <c r="P92" s="39" t="s">
        <v>37</v>
      </c>
      <c r="Q92" s="34">
        <v>82367.820853012876</v>
      </c>
      <c r="R92" s="35">
        <v>3.4882372804125913E-2</v>
      </c>
      <c r="S92" s="36">
        <v>82367.820853012876</v>
      </c>
      <c r="T92" s="35">
        <v>3.4882372804125913E-2</v>
      </c>
      <c r="U92" s="36" t="s">
        <v>44</v>
      </c>
      <c r="V92" s="37" t="s">
        <v>44</v>
      </c>
      <c r="X92" s="38">
        <f t="shared" si="11"/>
        <v>247602.24085301309</v>
      </c>
      <c r="Y92" s="38">
        <f t="shared" si="14"/>
        <v>-66540.43120054758</v>
      </c>
      <c r="Z92" s="38">
        <f t="shared" si="15"/>
        <v>-100920.89177459895</v>
      </c>
      <c r="AA92" s="40">
        <f t="shared" si="12"/>
        <v>244126.39897180273</v>
      </c>
      <c r="AB92" s="40">
        <f t="shared" si="13"/>
        <v>-172693.93109393617</v>
      </c>
    </row>
    <row r="93" spans="1:29" hidden="1" x14ac:dyDescent="0.25">
      <c r="A93" s="27" t="s">
        <v>40</v>
      </c>
      <c r="B93" s="27" t="s">
        <v>32</v>
      </c>
      <c r="C93" s="27" t="s">
        <v>32</v>
      </c>
      <c r="D93" s="27" t="s">
        <v>32</v>
      </c>
      <c r="E93" s="27" t="s">
        <v>54</v>
      </c>
      <c r="F93" s="27" t="s">
        <v>49</v>
      </c>
      <c r="G93" s="27" t="s">
        <v>42</v>
      </c>
      <c r="H93" s="28">
        <v>28</v>
      </c>
      <c r="I93" s="27" t="s">
        <v>38</v>
      </c>
      <c r="J93" s="29">
        <v>40</v>
      </c>
      <c r="K93" s="30">
        <v>7993.56</v>
      </c>
      <c r="L93" s="31">
        <v>1.9983899999999999</v>
      </c>
      <c r="M93" s="32">
        <v>40</v>
      </c>
      <c r="N93" s="30">
        <v>12355.78</v>
      </c>
      <c r="O93" s="30">
        <v>3.0889449999999998</v>
      </c>
      <c r="P93" s="39" t="s">
        <v>126</v>
      </c>
      <c r="Q93" s="34">
        <v>4362.22</v>
      </c>
      <c r="R93" s="35">
        <v>0.54571680202563067</v>
      </c>
      <c r="S93" s="36">
        <v>4362.22</v>
      </c>
      <c r="T93" s="35">
        <v>0.54571680202563067</v>
      </c>
      <c r="U93" s="36" t="s">
        <v>44</v>
      </c>
      <c r="V93" s="37" t="s">
        <v>44</v>
      </c>
      <c r="X93" s="38">
        <f t="shared" si="11"/>
        <v>251964.46085301309</v>
      </c>
      <c r="Y93" s="38">
        <f t="shared" si="14"/>
        <v>-66540.43120054758</v>
      </c>
      <c r="Z93" s="38">
        <f t="shared" si="15"/>
        <v>-100920.89177459895</v>
      </c>
      <c r="AA93" s="40">
        <f t="shared" si="12"/>
        <v>248488.61897180273</v>
      </c>
      <c r="AB93" s="40">
        <f t="shared" si="13"/>
        <v>-172693.93109393617</v>
      </c>
    </row>
    <row r="94" spans="1:29" hidden="1" x14ac:dyDescent="0.25">
      <c r="A94" s="27" t="s">
        <v>31</v>
      </c>
      <c r="B94" s="27" t="s">
        <v>45</v>
      </c>
      <c r="C94" s="27" t="s">
        <v>45</v>
      </c>
      <c r="D94" s="27" t="s">
        <v>32</v>
      </c>
      <c r="E94" s="27"/>
      <c r="F94" s="27"/>
      <c r="G94" s="27" t="s">
        <v>35</v>
      </c>
      <c r="H94" s="28"/>
      <c r="I94" s="27" t="s">
        <v>38</v>
      </c>
      <c r="J94" s="29">
        <v>230000</v>
      </c>
      <c r="K94" s="30">
        <v>36524040.020000003</v>
      </c>
      <c r="L94" s="31">
        <v>158.80017400000003</v>
      </c>
      <c r="M94" s="32">
        <v>230000</v>
      </c>
      <c r="N94" s="30">
        <v>37535242.109999999</v>
      </c>
      <c r="O94" s="30">
        <v>163.19670482608694</v>
      </c>
      <c r="P94" s="39" t="s">
        <v>127</v>
      </c>
      <c r="Q94" s="34">
        <v>7163.2558909275331</v>
      </c>
      <c r="R94" s="35">
        <v>1.9084080688583398E-4</v>
      </c>
      <c r="S94" s="36"/>
      <c r="T94" s="35"/>
      <c r="U94" s="36" t="s">
        <v>44</v>
      </c>
      <c r="V94" s="37" t="s">
        <v>44</v>
      </c>
      <c r="X94" s="38">
        <f t="shared" si="11"/>
        <v>251964.46085301309</v>
      </c>
      <c r="Y94" s="38">
        <f t="shared" si="14"/>
        <v>-59377.175309620048</v>
      </c>
      <c r="Z94" s="38">
        <f t="shared" si="15"/>
        <v>-100920.89177459895</v>
      </c>
      <c r="AA94" s="40">
        <f t="shared" si="12"/>
        <v>248488.61897180273</v>
      </c>
      <c r="AB94" s="40">
        <f t="shared" si="13"/>
        <v>-165530.67520300864</v>
      </c>
    </row>
    <row r="95" spans="1:29" hidden="1" x14ac:dyDescent="0.25">
      <c r="A95" s="27" t="s">
        <v>40</v>
      </c>
      <c r="B95" s="27" t="s">
        <v>32</v>
      </c>
      <c r="C95" s="27" t="s">
        <v>32</v>
      </c>
      <c r="D95" s="27" t="s">
        <v>32</v>
      </c>
      <c r="E95" s="27"/>
      <c r="F95" s="27"/>
      <c r="G95" s="27" t="s">
        <v>56</v>
      </c>
      <c r="H95" s="28"/>
      <c r="I95" s="27" t="s">
        <v>38</v>
      </c>
      <c r="J95" s="29">
        <v>6000</v>
      </c>
      <c r="K95" s="30">
        <v>446225</v>
      </c>
      <c r="L95" s="31">
        <v>74.370833333333337</v>
      </c>
      <c r="M95" s="32">
        <v>6000</v>
      </c>
      <c r="N95" s="30">
        <v>461317.1</v>
      </c>
      <c r="O95" s="30">
        <v>76.886183333333335</v>
      </c>
      <c r="P95" s="39" t="s">
        <v>128</v>
      </c>
      <c r="Q95" s="34">
        <v>15092.099999999977</v>
      </c>
      <c r="R95" s="35">
        <v>3.3821726707378534E-2</v>
      </c>
      <c r="S95" s="36">
        <v>15092.099999999977</v>
      </c>
      <c r="T95" s="35">
        <v>3.3821726707378534E-2</v>
      </c>
      <c r="U95" s="36" t="s">
        <v>44</v>
      </c>
      <c r="V95" s="37" t="s">
        <v>44</v>
      </c>
      <c r="X95" s="38">
        <f t="shared" si="11"/>
        <v>267056.56085301307</v>
      </c>
      <c r="Y95" s="38">
        <f t="shared" si="14"/>
        <v>-59377.175309620048</v>
      </c>
      <c r="Z95" s="38">
        <f t="shared" si="15"/>
        <v>-100920.89177459895</v>
      </c>
      <c r="AA95" s="40">
        <f t="shared" si="12"/>
        <v>263580.71897180274</v>
      </c>
      <c r="AB95" s="40">
        <f t="shared" si="13"/>
        <v>-165530.67520300864</v>
      </c>
    </row>
    <row r="96" spans="1:29" x14ac:dyDescent="0.25">
      <c r="A96" s="27" t="s">
        <v>40</v>
      </c>
      <c r="B96" s="27" t="s">
        <v>32</v>
      </c>
      <c r="C96" s="27" t="s">
        <v>32</v>
      </c>
      <c r="D96" s="27" t="s">
        <v>32</v>
      </c>
      <c r="E96" s="27"/>
      <c r="F96" s="27"/>
      <c r="G96" s="27" t="s">
        <v>51</v>
      </c>
      <c r="H96" s="28"/>
      <c r="I96" s="27" t="s">
        <v>36</v>
      </c>
      <c r="J96" s="29">
        <v>6</v>
      </c>
      <c r="K96" s="30">
        <v>456585.78</v>
      </c>
      <c r="L96" s="31">
        <v>76.097630000000009</v>
      </c>
      <c r="M96" s="32">
        <v>6</v>
      </c>
      <c r="N96" s="30">
        <v>466514.22</v>
      </c>
      <c r="O96" s="30">
        <v>77.752369999999999</v>
      </c>
      <c r="P96" s="39" t="s">
        <v>52</v>
      </c>
      <c r="Q96" s="34">
        <v>-9972.4399999999441</v>
      </c>
      <c r="R96" s="35">
        <v>-2.1744961045435836E-2</v>
      </c>
      <c r="S96" s="36" t="s">
        <v>44</v>
      </c>
      <c r="T96" s="35" t="s">
        <v>44</v>
      </c>
      <c r="U96" s="36">
        <v>-9972.4399999999441</v>
      </c>
      <c r="V96" s="37">
        <v>-2.1744961045435836E-2</v>
      </c>
      <c r="X96" s="38">
        <f t="shared" si="11"/>
        <v>257084.12085301313</v>
      </c>
      <c r="Y96" s="38">
        <f t="shared" si="14"/>
        <v>-59377.175309620048</v>
      </c>
      <c r="Z96" s="38">
        <f t="shared" si="15"/>
        <v>-100920.89177459895</v>
      </c>
      <c r="AA96" s="40">
        <f t="shared" si="12"/>
        <v>253608.27897180279</v>
      </c>
      <c r="AB96" s="40">
        <f t="shared" si="13"/>
        <v>-165530.67520300864</v>
      </c>
    </row>
    <row r="97" spans="1:28" x14ac:dyDescent="0.25">
      <c r="A97" s="27" t="s">
        <v>31</v>
      </c>
      <c r="B97" s="27" t="s">
        <v>32</v>
      </c>
      <c r="C97" s="27" t="s">
        <v>89</v>
      </c>
      <c r="D97" s="27" t="s">
        <v>32</v>
      </c>
      <c r="E97" s="27"/>
      <c r="F97" s="27"/>
      <c r="G97" s="27" t="s">
        <v>51</v>
      </c>
      <c r="H97" s="28"/>
      <c r="I97" s="27" t="s">
        <v>36</v>
      </c>
      <c r="J97" s="29">
        <v>8</v>
      </c>
      <c r="K97" s="30">
        <v>274296.24</v>
      </c>
      <c r="L97" s="31">
        <v>3428.703</v>
      </c>
      <c r="M97" s="32">
        <v>8</v>
      </c>
      <c r="N97" s="30">
        <v>284503.76</v>
      </c>
      <c r="O97" s="30">
        <v>3556.297</v>
      </c>
      <c r="P97" s="39" t="s">
        <v>129</v>
      </c>
      <c r="Q97" s="34">
        <v>-10251.520000000019</v>
      </c>
      <c r="R97" s="35">
        <v>-3.7213488599041694E-2</v>
      </c>
      <c r="S97" s="36" t="s">
        <v>44</v>
      </c>
      <c r="T97" s="35" t="s">
        <v>44</v>
      </c>
      <c r="U97" s="36">
        <v>-10251.520000000019</v>
      </c>
      <c r="V97" s="37">
        <v>-3.7213488599041694E-2</v>
      </c>
      <c r="X97" s="38">
        <f t="shared" si="11"/>
        <v>257084.12085301313</v>
      </c>
      <c r="Y97" s="38">
        <f t="shared" si="14"/>
        <v>-59377.175309620048</v>
      </c>
      <c r="Z97" s="38">
        <f t="shared" si="15"/>
        <v>-111172.41177459896</v>
      </c>
      <c r="AA97" s="40">
        <f t="shared" si="12"/>
        <v>243356.75897180277</v>
      </c>
      <c r="AB97" s="40">
        <f t="shared" si="13"/>
        <v>-165530.67520300864</v>
      </c>
    </row>
    <row r="98" spans="1:28" x14ac:dyDescent="0.25">
      <c r="A98" s="27" t="s">
        <v>40</v>
      </c>
      <c r="B98" s="27" t="s">
        <v>32</v>
      </c>
      <c r="C98" s="27" t="s">
        <v>45</v>
      </c>
      <c r="D98" s="27" t="s">
        <v>45</v>
      </c>
      <c r="E98" s="27"/>
      <c r="F98" s="27"/>
      <c r="G98" s="27" t="s">
        <v>51</v>
      </c>
      <c r="H98" s="28"/>
      <c r="I98" s="27" t="s">
        <v>38</v>
      </c>
      <c r="J98" s="29">
        <v>2</v>
      </c>
      <c r="K98" s="30">
        <v>331906.03999999998</v>
      </c>
      <c r="L98" s="31">
        <v>33190.603999999999</v>
      </c>
      <c r="M98" s="32">
        <v>2</v>
      </c>
      <c r="N98" s="30">
        <v>317643.96000000002</v>
      </c>
      <c r="O98" s="30">
        <v>31764.396000000001</v>
      </c>
      <c r="P98" s="39" t="s">
        <v>88</v>
      </c>
      <c r="Q98" s="34">
        <v>-14306.079999999958</v>
      </c>
      <c r="R98" s="35">
        <v>4.2970233382917611E-2</v>
      </c>
      <c r="S98" s="36" t="s">
        <v>44</v>
      </c>
      <c r="T98" s="35" t="s">
        <v>44</v>
      </c>
      <c r="U98" s="36">
        <v>-14306.079999999958</v>
      </c>
      <c r="V98" s="37">
        <v>4.2970233382917611E-2</v>
      </c>
      <c r="X98" s="38">
        <f t="shared" si="11"/>
        <v>257084.12085301313</v>
      </c>
      <c r="Y98" s="38">
        <f t="shared" si="14"/>
        <v>-73683.255309619999</v>
      </c>
      <c r="Z98" s="38">
        <f t="shared" si="15"/>
        <v>-111172.41177459896</v>
      </c>
      <c r="AA98" s="40">
        <f t="shared" si="12"/>
        <v>229050.67897180282</v>
      </c>
      <c r="AB98" s="40">
        <f t="shared" si="13"/>
        <v>-165530.67520300864</v>
      </c>
    </row>
    <row r="99" spans="1:28" x14ac:dyDescent="0.25">
      <c r="A99" s="27" t="s">
        <v>40</v>
      </c>
      <c r="B99" s="27" t="s">
        <v>32</v>
      </c>
      <c r="C99" s="27" t="s">
        <v>32</v>
      </c>
      <c r="D99" s="27" t="s">
        <v>32</v>
      </c>
      <c r="E99" s="27"/>
      <c r="F99" s="27"/>
      <c r="G99" s="27" t="s">
        <v>51</v>
      </c>
      <c r="H99" s="28"/>
      <c r="I99" s="27" t="s">
        <v>36</v>
      </c>
      <c r="J99" s="29">
        <v>6</v>
      </c>
      <c r="K99" s="30">
        <v>1373086.8</v>
      </c>
      <c r="L99" s="31">
        <v>4576.9560000000001</v>
      </c>
      <c r="M99" s="32">
        <v>6</v>
      </c>
      <c r="N99" s="30">
        <v>1388088.8</v>
      </c>
      <c r="O99" s="30">
        <v>4626.9626666666672</v>
      </c>
      <c r="P99" s="39" t="s">
        <v>130</v>
      </c>
      <c r="Q99" s="34">
        <v>-15046</v>
      </c>
      <c r="R99" s="35">
        <v>1.0925747738598997E-2</v>
      </c>
      <c r="S99" s="36" t="s">
        <v>44</v>
      </c>
      <c r="T99" s="35" t="s">
        <v>44</v>
      </c>
      <c r="U99" s="36">
        <v>-15046</v>
      </c>
      <c r="V99" s="37">
        <v>1.0925747738598997E-2</v>
      </c>
      <c r="X99" s="38">
        <f t="shared" si="11"/>
        <v>242038.12085301313</v>
      </c>
      <c r="Y99" s="38">
        <f t="shared" si="14"/>
        <v>-73683.255309619999</v>
      </c>
      <c r="Z99" s="38">
        <f t="shared" si="15"/>
        <v>-111172.41177459896</v>
      </c>
      <c r="AA99" s="40">
        <f t="shared" si="12"/>
        <v>214004.67897180282</v>
      </c>
      <c r="AB99" s="40">
        <f t="shared" si="13"/>
        <v>-165530.67520300864</v>
      </c>
    </row>
    <row r="100" spans="1:28" hidden="1" x14ac:dyDescent="0.25">
      <c r="A100" s="27" t="s">
        <v>31</v>
      </c>
      <c r="B100" s="27" t="s">
        <v>32</v>
      </c>
      <c r="C100" s="27" t="s">
        <v>32</v>
      </c>
      <c r="D100" s="27" t="s">
        <v>45</v>
      </c>
      <c r="E100" s="27"/>
      <c r="F100" s="27"/>
      <c r="G100" s="27" t="s">
        <v>56</v>
      </c>
      <c r="H100" s="28"/>
      <c r="I100" s="27" t="s">
        <v>36</v>
      </c>
      <c r="J100" s="29">
        <v>8</v>
      </c>
      <c r="K100" s="30">
        <v>280776.24</v>
      </c>
      <c r="L100" s="31">
        <v>3509.703</v>
      </c>
      <c r="M100" s="32">
        <v>8</v>
      </c>
      <c r="N100" s="30">
        <v>289053.76</v>
      </c>
      <c r="O100" s="30">
        <v>3613.172</v>
      </c>
      <c r="P100" s="39" t="s">
        <v>129</v>
      </c>
      <c r="Q100" s="34">
        <v>-8321.5200000000186</v>
      </c>
      <c r="R100" s="35">
        <v>-2.9480842111141613E-2</v>
      </c>
      <c r="S100" s="36" t="s">
        <v>44</v>
      </c>
      <c r="T100" s="35" t="s">
        <v>44</v>
      </c>
      <c r="U100" s="36">
        <v>-8321.5200000000186</v>
      </c>
      <c r="V100" s="37">
        <v>-2.9480842111141613E-2</v>
      </c>
      <c r="X100" s="38">
        <f t="shared" si="11"/>
        <v>233716.60085301311</v>
      </c>
      <c r="Y100" s="38">
        <f t="shared" si="14"/>
        <v>-73683.255309619999</v>
      </c>
      <c r="Z100" s="38">
        <f t="shared" si="15"/>
        <v>-111172.41177459896</v>
      </c>
      <c r="AA100" s="40">
        <f t="shared" si="12"/>
        <v>205683.1589718028</v>
      </c>
      <c r="AB100" s="40">
        <f t="shared" si="13"/>
        <v>-165530.67520300864</v>
      </c>
    </row>
    <row r="101" spans="1:28" hidden="1" x14ac:dyDescent="0.25">
      <c r="A101" s="27" t="s">
        <v>40</v>
      </c>
      <c r="B101" s="27" t="s">
        <v>32</v>
      </c>
      <c r="C101" s="27" t="s">
        <v>32</v>
      </c>
      <c r="D101" s="27" t="s">
        <v>32</v>
      </c>
      <c r="E101" s="27"/>
      <c r="F101" s="27"/>
      <c r="G101" s="27" t="s">
        <v>56</v>
      </c>
      <c r="H101" s="28"/>
      <c r="I101" s="27" t="s">
        <v>36</v>
      </c>
      <c r="J101" s="29">
        <v>1111</v>
      </c>
      <c r="K101" s="30">
        <v>222200.64</v>
      </c>
      <c r="L101" s="31">
        <v>200.00057605760577</v>
      </c>
      <c r="M101" s="32">
        <v>1111</v>
      </c>
      <c r="N101" s="30">
        <v>232223.74</v>
      </c>
      <c r="O101" s="30">
        <v>209.02226822682266</v>
      </c>
      <c r="P101" s="39" t="s">
        <v>131</v>
      </c>
      <c r="Q101" s="34">
        <v>-10023.099999999977</v>
      </c>
      <c r="R101" s="35">
        <v>-4.5108330921098901E-2</v>
      </c>
      <c r="S101" s="36" t="s">
        <v>44</v>
      </c>
      <c r="T101" s="35" t="s">
        <v>44</v>
      </c>
      <c r="U101" s="36">
        <v>-10023.099999999977</v>
      </c>
      <c r="V101" s="37">
        <v>-4.5108330921098901E-2</v>
      </c>
      <c r="X101" s="38">
        <f t="shared" si="11"/>
        <v>223693.50085301313</v>
      </c>
      <c r="Y101" s="38">
        <f t="shared" si="14"/>
        <v>-73683.255309619999</v>
      </c>
      <c r="Z101" s="38">
        <f t="shared" si="15"/>
        <v>-111172.41177459896</v>
      </c>
      <c r="AA101" s="40">
        <f t="shared" si="12"/>
        <v>195660.05897180282</v>
      </c>
      <c r="AB101" s="40">
        <f t="shared" si="13"/>
        <v>-165530.67520300864</v>
      </c>
    </row>
    <row r="102" spans="1:28" x14ac:dyDescent="0.25">
      <c r="A102" s="27" t="s">
        <v>31</v>
      </c>
      <c r="B102" s="27" t="s">
        <v>32</v>
      </c>
      <c r="C102" s="27" t="s">
        <v>89</v>
      </c>
      <c r="D102" s="27" t="s">
        <v>45</v>
      </c>
      <c r="E102" s="27"/>
      <c r="F102" s="27"/>
      <c r="G102" s="27" t="s">
        <v>51</v>
      </c>
      <c r="H102" s="28"/>
      <c r="I102" s="27" t="s">
        <v>36</v>
      </c>
      <c r="J102" s="29">
        <v>4</v>
      </c>
      <c r="K102" s="30">
        <v>318990.52</v>
      </c>
      <c r="L102" s="31">
        <v>79.747630000000001</v>
      </c>
      <c r="M102" s="32">
        <v>4</v>
      </c>
      <c r="N102" s="30">
        <v>335409.48</v>
      </c>
      <c r="O102" s="30">
        <v>83.852369999999993</v>
      </c>
      <c r="P102" s="39" t="s">
        <v>52</v>
      </c>
      <c r="Q102" s="34">
        <v>-16462.959999999963</v>
      </c>
      <c r="R102" s="35">
        <v>-5.1471623670822475E-2</v>
      </c>
      <c r="S102" s="36" t="s">
        <v>44</v>
      </c>
      <c r="T102" s="35" t="s">
        <v>44</v>
      </c>
      <c r="U102" s="36">
        <v>-16462.959999999963</v>
      </c>
      <c r="V102" s="37">
        <v>-5.1471623670822475E-2</v>
      </c>
      <c r="X102" s="38">
        <f t="shared" si="11"/>
        <v>223693.50085301313</v>
      </c>
      <c r="Y102" s="38">
        <f t="shared" si="14"/>
        <v>-73683.255309619999</v>
      </c>
      <c r="Z102" s="38">
        <f t="shared" si="15"/>
        <v>-127635.37177459893</v>
      </c>
      <c r="AA102" s="40">
        <f t="shared" si="12"/>
        <v>179197.09897180286</v>
      </c>
      <c r="AB102" s="40">
        <f t="shared" si="13"/>
        <v>-165530.67520300864</v>
      </c>
    </row>
    <row r="103" spans="1:28" x14ac:dyDescent="0.25">
      <c r="A103" s="27" t="s">
        <v>31</v>
      </c>
      <c r="B103" s="27" t="s">
        <v>45</v>
      </c>
      <c r="C103" s="27"/>
      <c r="D103" s="27"/>
      <c r="E103" s="27"/>
      <c r="F103" s="27"/>
      <c r="G103" s="27" t="s">
        <v>51</v>
      </c>
      <c r="H103" s="28"/>
      <c r="I103" s="27" t="s">
        <v>38</v>
      </c>
      <c r="J103" s="29"/>
      <c r="K103" s="30"/>
      <c r="L103" s="31"/>
      <c r="M103" s="32"/>
      <c r="N103" s="30"/>
      <c r="O103" s="30"/>
      <c r="P103" s="39" t="s">
        <v>132</v>
      </c>
      <c r="Q103" s="34">
        <v>-13774</v>
      </c>
      <c r="R103" s="35">
        <v>-6.1759892388745657E-2</v>
      </c>
      <c r="S103" s="36" t="s">
        <v>44</v>
      </c>
      <c r="T103" s="35" t="s">
        <v>44</v>
      </c>
      <c r="U103" s="36">
        <v>-13774</v>
      </c>
      <c r="V103" s="37">
        <v>-6.1759892388745657E-2</v>
      </c>
    </row>
    <row r="104" spans="1:28" x14ac:dyDescent="0.25">
      <c r="A104" s="27" t="s">
        <v>31</v>
      </c>
      <c r="B104" s="27" t="s">
        <v>45</v>
      </c>
      <c r="C104" s="27"/>
      <c r="D104" s="27"/>
      <c r="E104" s="27"/>
      <c r="F104" s="27"/>
      <c r="G104" s="27" t="s">
        <v>51</v>
      </c>
      <c r="H104" s="28"/>
      <c r="I104" s="27" t="s">
        <v>38</v>
      </c>
      <c r="J104" s="29"/>
      <c r="K104" s="30"/>
      <c r="L104" s="31"/>
      <c r="M104" s="32"/>
      <c r="N104" s="30"/>
      <c r="O104" s="30"/>
      <c r="P104" s="39" t="s">
        <v>52</v>
      </c>
      <c r="Q104" s="34">
        <v>46801.560000000056</v>
      </c>
      <c r="R104" s="35">
        <v>9.881580802603393E-2</v>
      </c>
      <c r="S104" s="36">
        <v>46801.560000000056</v>
      </c>
      <c r="T104" s="35">
        <v>9.881580802603393E-2</v>
      </c>
      <c r="U104" s="36" t="s">
        <v>44</v>
      </c>
      <c r="V104" s="37" t="s">
        <v>44</v>
      </c>
    </row>
    <row r="105" spans="1:28" x14ac:dyDescent="0.25">
      <c r="A105" s="27" t="s">
        <v>31</v>
      </c>
      <c r="B105" s="27" t="s">
        <v>45</v>
      </c>
      <c r="C105" s="27"/>
      <c r="D105" s="27"/>
      <c r="E105" s="27"/>
      <c r="F105" s="27"/>
      <c r="G105" s="27" t="s">
        <v>51</v>
      </c>
      <c r="H105" s="28"/>
      <c r="I105" s="27" t="s">
        <v>38</v>
      </c>
      <c r="J105" s="29"/>
      <c r="K105" s="30"/>
      <c r="L105" s="31"/>
      <c r="M105" s="32"/>
      <c r="N105" s="30"/>
      <c r="O105" s="30"/>
      <c r="P105" s="39" t="s">
        <v>133</v>
      </c>
      <c r="Q105" s="34">
        <v>-15251.599999999977</v>
      </c>
      <c r="R105" s="35">
        <v>-8.4137451277803352E-2</v>
      </c>
      <c r="S105" s="36" t="s">
        <v>44</v>
      </c>
      <c r="T105" s="35" t="s">
        <v>44</v>
      </c>
      <c r="U105" s="36">
        <v>-15251.599999999977</v>
      </c>
      <c r="V105" s="37">
        <v>-8.4137451277803352E-2</v>
      </c>
    </row>
    <row r="106" spans="1:28" x14ac:dyDescent="0.25">
      <c r="A106" s="27" t="s">
        <v>31</v>
      </c>
      <c r="B106" s="27" t="s">
        <v>45</v>
      </c>
      <c r="C106" s="27"/>
      <c r="D106" s="27"/>
      <c r="E106" s="27"/>
      <c r="F106" s="27"/>
      <c r="G106" s="27" t="s">
        <v>51</v>
      </c>
      <c r="H106" s="28"/>
      <c r="I106" s="27" t="s">
        <v>38</v>
      </c>
      <c r="J106" s="29"/>
      <c r="K106" s="30"/>
      <c r="L106" s="31"/>
      <c r="M106" s="32"/>
      <c r="N106" s="30"/>
      <c r="O106" s="30"/>
      <c r="P106" s="39" t="s">
        <v>134</v>
      </c>
      <c r="Q106" s="34">
        <v>83156</v>
      </c>
      <c r="R106" s="35">
        <v>7.6493493232907037E-2</v>
      </c>
      <c r="S106" s="36">
        <v>83156</v>
      </c>
      <c r="T106" s="35">
        <v>7.6493493232907037E-2</v>
      </c>
      <c r="U106" s="36" t="s">
        <v>44</v>
      </c>
      <c r="V106" s="37" t="s">
        <v>44</v>
      </c>
    </row>
    <row r="107" spans="1:28" x14ac:dyDescent="0.25">
      <c r="A107" s="27" t="s">
        <v>40</v>
      </c>
      <c r="B107" s="27" t="s">
        <v>32</v>
      </c>
      <c r="C107" s="27"/>
      <c r="D107" s="27"/>
      <c r="E107" s="27"/>
      <c r="F107" s="27"/>
      <c r="G107" s="27" t="s">
        <v>51</v>
      </c>
      <c r="H107" s="28"/>
      <c r="I107" s="27" t="s">
        <v>38</v>
      </c>
      <c r="J107" s="29"/>
      <c r="K107" s="30"/>
      <c r="L107" s="31"/>
      <c r="M107" s="32"/>
      <c r="N107" s="30"/>
      <c r="O107" s="30"/>
      <c r="P107" s="39" t="s">
        <v>135</v>
      </c>
      <c r="Q107" s="34">
        <v>-9928.789999999979</v>
      </c>
      <c r="R107" s="35">
        <v>-2.0537014682279996E-2</v>
      </c>
      <c r="S107" s="36" t="s">
        <v>44</v>
      </c>
      <c r="T107" s="35" t="s">
        <v>44</v>
      </c>
      <c r="U107" s="36">
        <v>-9928.789999999979</v>
      </c>
      <c r="V107" s="37">
        <v>-2.0537014682279996E-2</v>
      </c>
    </row>
    <row r="108" spans="1:28" x14ac:dyDescent="0.25">
      <c r="A108" s="27" t="s">
        <v>31</v>
      </c>
      <c r="B108" s="27" t="s">
        <v>32</v>
      </c>
      <c r="C108" s="27"/>
      <c r="D108" s="27"/>
      <c r="E108" s="27"/>
      <c r="F108" s="27"/>
      <c r="G108" s="27" t="s">
        <v>51</v>
      </c>
      <c r="H108" s="28"/>
      <c r="I108" s="27" t="s">
        <v>38</v>
      </c>
      <c r="J108" s="29"/>
      <c r="K108" s="30"/>
      <c r="L108" s="31"/>
      <c r="M108" s="32"/>
      <c r="N108" s="30"/>
      <c r="O108" s="30"/>
      <c r="P108" s="39" t="s">
        <v>135</v>
      </c>
      <c r="Q108" s="34">
        <v>-4482.710000000021</v>
      </c>
      <c r="R108" s="35">
        <v>-1.3088540286917204E-2</v>
      </c>
      <c r="S108" s="36" t="s">
        <v>44</v>
      </c>
      <c r="T108" s="35" t="s">
        <v>44</v>
      </c>
      <c r="U108" s="36">
        <v>-4482.710000000021</v>
      </c>
      <c r="V108" s="37">
        <v>-1.3088540286917204E-2</v>
      </c>
    </row>
    <row r="109" spans="1:28" x14ac:dyDescent="0.25">
      <c r="A109" s="27" t="s">
        <v>31</v>
      </c>
      <c r="B109" s="27" t="s">
        <v>45</v>
      </c>
      <c r="C109" s="27"/>
      <c r="D109" s="27"/>
      <c r="E109" s="27"/>
      <c r="F109" s="27"/>
      <c r="G109" s="27" t="s">
        <v>51</v>
      </c>
      <c r="H109" s="28"/>
      <c r="I109" s="27" t="s">
        <v>38</v>
      </c>
      <c r="J109" s="29"/>
      <c r="K109" s="30"/>
      <c r="L109" s="31"/>
      <c r="M109" s="32"/>
      <c r="N109" s="30"/>
      <c r="O109" s="30"/>
      <c r="P109" s="39" t="s">
        <v>88</v>
      </c>
      <c r="Q109" s="34">
        <v>-974.15999999991618</v>
      </c>
      <c r="R109" s="35">
        <v>-1.4803466566557311E-3</v>
      </c>
      <c r="S109" s="36" t="s">
        <v>44</v>
      </c>
      <c r="T109" s="35" t="s">
        <v>44</v>
      </c>
      <c r="U109" s="36">
        <v>-974.15999999991618</v>
      </c>
      <c r="V109" s="37">
        <v>-1.4803466566557311E-3</v>
      </c>
    </row>
    <row r="110" spans="1:28" x14ac:dyDescent="0.25">
      <c r="A110" s="27" t="s">
        <v>31</v>
      </c>
      <c r="B110" s="27" t="s">
        <v>32</v>
      </c>
      <c r="C110" s="27"/>
      <c r="D110" s="27"/>
      <c r="E110" s="27"/>
      <c r="F110" s="27"/>
      <c r="G110" s="27" t="s">
        <v>51</v>
      </c>
      <c r="H110" s="28"/>
      <c r="I110" s="27" t="s">
        <v>38</v>
      </c>
      <c r="J110" s="29"/>
      <c r="K110" s="30"/>
      <c r="L110" s="31"/>
      <c r="M110" s="32"/>
      <c r="N110" s="30"/>
      <c r="O110" s="30"/>
      <c r="P110" s="39" t="s">
        <v>136</v>
      </c>
      <c r="Q110" s="34">
        <v>-8350.6199999999953</v>
      </c>
      <c r="R110" s="35">
        <v>-4.5564024924235627E-2</v>
      </c>
      <c r="S110" s="36" t="s">
        <v>44</v>
      </c>
      <c r="T110" s="35" t="s">
        <v>44</v>
      </c>
      <c r="U110" s="36">
        <v>-8350.6199999999953</v>
      </c>
      <c r="V110" s="37">
        <v>-4.5564024924235627E-2</v>
      </c>
    </row>
    <row r="111" spans="1:28" x14ac:dyDescent="0.25">
      <c r="A111" s="27" t="s">
        <v>31</v>
      </c>
      <c r="B111" s="27" t="s">
        <v>32</v>
      </c>
      <c r="C111" s="27"/>
      <c r="D111" s="27"/>
      <c r="E111" s="27"/>
      <c r="F111" s="27"/>
      <c r="G111" s="27" t="s">
        <v>51</v>
      </c>
      <c r="H111" s="28"/>
      <c r="I111" s="27" t="s">
        <v>36</v>
      </c>
      <c r="J111" s="29"/>
      <c r="K111" s="30"/>
      <c r="L111" s="31"/>
      <c r="M111" s="32"/>
      <c r="N111" s="30"/>
      <c r="O111" s="30"/>
      <c r="P111" s="39" t="s">
        <v>137</v>
      </c>
      <c r="Q111" s="34">
        <v>25390.220000000088</v>
      </c>
      <c r="R111" s="35">
        <v>3.0338052351195518E-2</v>
      </c>
      <c r="S111" s="36">
        <v>25390.220000000088</v>
      </c>
      <c r="T111" s="35">
        <v>3.0338052351195518E-2</v>
      </c>
      <c r="U111" s="36" t="s">
        <v>44</v>
      </c>
      <c r="V111" s="37" t="s">
        <v>44</v>
      </c>
    </row>
    <row r="112" spans="1:28" x14ac:dyDescent="0.25">
      <c r="A112" s="27" t="s">
        <v>84</v>
      </c>
      <c r="B112" s="27" t="s">
        <v>32</v>
      </c>
      <c r="C112" s="27"/>
      <c r="D112" s="27"/>
      <c r="E112" s="27"/>
      <c r="F112" s="27"/>
      <c r="G112" s="27" t="s">
        <v>51</v>
      </c>
      <c r="H112" s="28"/>
      <c r="I112" s="27" t="s">
        <v>38</v>
      </c>
      <c r="J112" s="29"/>
      <c r="K112" s="30"/>
      <c r="L112" s="31"/>
      <c r="M112" s="32"/>
      <c r="N112" s="30"/>
      <c r="O112" s="30"/>
      <c r="P112" s="39" t="s">
        <v>95</v>
      </c>
      <c r="Q112" s="34">
        <v>23740.080000000075</v>
      </c>
      <c r="R112" s="35">
        <v>1.2557035672799617E-2</v>
      </c>
      <c r="S112" s="36">
        <v>23740.080000000075</v>
      </c>
      <c r="T112" s="35">
        <v>1.2557035672799617E-2</v>
      </c>
      <c r="U112" s="36" t="s">
        <v>44</v>
      </c>
      <c r="V112" s="37" t="s">
        <v>44</v>
      </c>
    </row>
    <row r="113" spans="1:22" x14ac:dyDescent="0.25">
      <c r="A113" s="27" t="s">
        <v>31</v>
      </c>
      <c r="B113" s="27" t="s">
        <v>32</v>
      </c>
      <c r="C113" s="27"/>
      <c r="D113" s="27"/>
      <c r="E113" s="27"/>
      <c r="F113" s="27"/>
      <c r="G113" s="27" t="s">
        <v>51</v>
      </c>
      <c r="H113" s="28"/>
      <c r="I113" s="27" t="s">
        <v>36</v>
      </c>
      <c r="J113" s="29"/>
      <c r="K113" s="30"/>
      <c r="L113" s="31"/>
      <c r="M113" s="32"/>
      <c r="N113" s="30"/>
      <c r="O113" s="30"/>
      <c r="P113" s="39" t="s">
        <v>138</v>
      </c>
      <c r="Q113" s="34">
        <v>-3475.25</v>
      </c>
      <c r="R113" s="35">
        <v>-3.8991744891382985E-3</v>
      </c>
      <c r="S113" s="36" t="s">
        <v>44</v>
      </c>
      <c r="T113" s="35" t="s">
        <v>44</v>
      </c>
      <c r="U113" s="36">
        <v>-3475.25</v>
      </c>
      <c r="V113" s="37">
        <v>-3.8991744891382985E-3</v>
      </c>
    </row>
    <row r="114" spans="1:22" x14ac:dyDescent="0.25">
      <c r="A114" s="27" t="s">
        <v>40</v>
      </c>
      <c r="B114" s="27" t="s">
        <v>32</v>
      </c>
      <c r="C114" s="27"/>
      <c r="D114" s="27"/>
      <c r="E114" s="27"/>
      <c r="F114" s="27"/>
      <c r="G114" s="27" t="s">
        <v>51</v>
      </c>
      <c r="H114" s="28"/>
      <c r="I114" s="27" t="s">
        <v>38</v>
      </c>
      <c r="J114" s="29"/>
      <c r="K114" s="30"/>
      <c r="L114" s="31"/>
      <c r="M114" s="32"/>
      <c r="N114" s="30"/>
      <c r="O114" s="30"/>
      <c r="P114" s="39" t="s">
        <v>139</v>
      </c>
      <c r="Q114" s="34">
        <v>-8473.0199999999604</v>
      </c>
      <c r="R114" s="35">
        <v>-2.7311538499846653E-2</v>
      </c>
      <c r="S114" s="36" t="s">
        <v>44</v>
      </c>
      <c r="T114" s="35" t="s">
        <v>44</v>
      </c>
      <c r="U114" s="36">
        <v>-8473.0199999999604</v>
      </c>
      <c r="V114" s="37">
        <v>-2.7311538499846653E-2</v>
      </c>
    </row>
    <row r="115" spans="1:22" x14ac:dyDescent="0.25">
      <c r="A115" s="27" t="s">
        <v>31</v>
      </c>
      <c r="B115" s="27" t="s">
        <v>32</v>
      </c>
      <c r="C115" s="27"/>
      <c r="D115" s="27"/>
      <c r="E115" s="27"/>
      <c r="F115" s="27"/>
      <c r="G115" s="27" t="s">
        <v>51</v>
      </c>
      <c r="H115" s="28"/>
      <c r="I115" s="27" t="s">
        <v>38</v>
      </c>
      <c r="J115" s="29"/>
      <c r="K115" s="30"/>
      <c r="L115" s="31"/>
      <c r="M115" s="32"/>
      <c r="N115" s="30"/>
      <c r="O115" s="30"/>
      <c r="P115" s="39" t="s">
        <v>134</v>
      </c>
      <c r="Q115" s="34">
        <v>75310.399999999907</v>
      </c>
      <c r="R115" s="35">
        <v>8.3290200939445544E-2</v>
      </c>
      <c r="S115" s="36">
        <v>75310.399999999907</v>
      </c>
      <c r="T115" s="35">
        <v>8.3290200939445544E-2</v>
      </c>
      <c r="U115" s="36" t="s">
        <v>44</v>
      </c>
      <c r="V115" s="37" t="s">
        <v>44</v>
      </c>
    </row>
    <row r="116" spans="1:22" x14ac:dyDescent="0.25">
      <c r="A116" s="27" t="s">
        <v>31</v>
      </c>
      <c r="B116" s="27" t="s">
        <v>32</v>
      </c>
      <c r="C116" s="27"/>
      <c r="D116" s="27"/>
      <c r="E116" s="27"/>
      <c r="F116" s="27"/>
      <c r="G116" s="27" t="s">
        <v>51</v>
      </c>
      <c r="H116" s="28"/>
      <c r="I116" s="27" t="s">
        <v>38</v>
      </c>
      <c r="J116" s="29"/>
      <c r="K116" s="30"/>
      <c r="L116" s="31"/>
      <c r="M116" s="32"/>
      <c r="N116" s="30"/>
      <c r="O116" s="30"/>
      <c r="P116" s="39" t="s">
        <v>136</v>
      </c>
      <c r="Q116" s="34">
        <v>-9174.8400000000256</v>
      </c>
      <c r="R116" s="35">
        <v>-2.5661042786752332E-2</v>
      </c>
      <c r="S116" s="36" t="s">
        <v>44</v>
      </c>
      <c r="T116" s="35" t="s">
        <v>44</v>
      </c>
      <c r="U116" s="36">
        <v>-9174.8400000000256</v>
      </c>
      <c r="V116" s="37">
        <v>-2.5661042786752332E-2</v>
      </c>
    </row>
    <row r="117" spans="1:22" x14ac:dyDescent="0.25">
      <c r="A117" s="27" t="s">
        <v>40</v>
      </c>
      <c r="B117" s="27" t="s">
        <v>32</v>
      </c>
      <c r="C117" s="27"/>
      <c r="D117" s="27"/>
      <c r="E117" s="27"/>
      <c r="F117" s="27"/>
      <c r="G117" s="27" t="s">
        <v>51</v>
      </c>
      <c r="H117" s="28"/>
      <c r="I117" s="27" t="s">
        <v>38</v>
      </c>
      <c r="J117" s="29"/>
      <c r="K117" s="30"/>
      <c r="L117" s="31"/>
      <c r="M117" s="32"/>
      <c r="N117" s="30"/>
      <c r="O117" s="30"/>
      <c r="P117" s="39" t="s">
        <v>140</v>
      </c>
      <c r="Q117" s="34">
        <v>21389.159999999974</v>
      </c>
      <c r="R117" s="35">
        <v>5.8311914199876705E-2</v>
      </c>
      <c r="S117" s="36">
        <v>21389.159999999974</v>
      </c>
      <c r="T117" s="35">
        <v>5.8311914199876705E-2</v>
      </c>
      <c r="U117" s="36" t="s">
        <v>44</v>
      </c>
      <c r="V117" s="37" t="s">
        <v>44</v>
      </c>
    </row>
    <row r="118" spans="1:22" x14ac:dyDescent="0.25">
      <c r="A118" s="27" t="s">
        <v>31</v>
      </c>
      <c r="B118" s="27" t="s">
        <v>84</v>
      </c>
      <c r="C118" s="27"/>
      <c r="D118" s="27"/>
      <c r="E118" s="27"/>
      <c r="F118" s="27"/>
      <c r="G118" s="27" t="s">
        <v>51</v>
      </c>
      <c r="H118" s="28"/>
      <c r="I118" s="27" t="s">
        <v>38</v>
      </c>
      <c r="J118" s="29"/>
      <c r="K118" s="30"/>
      <c r="L118" s="31"/>
      <c r="M118" s="32"/>
      <c r="N118" s="30"/>
      <c r="O118" s="30"/>
      <c r="P118" s="39" t="s">
        <v>95</v>
      </c>
      <c r="Q118" s="34">
        <v>-8426.6399999998976</v>
      </c>
      <c r="R118" s="35">
        <v>-6.6252032460494886E-3</v>
      </c>
      <c r="S118" s="36" t="s">
        <v>44</v>
      </c>
      <c r="T118" s="35" t="s">
        <v>44</v>
      </c>
      <c r="U118" s="36">
        <v>-8426.6399999998976</v>
      </c>
      <c r="V118" s="37">
        <v>-6.6252032460494886E-3</v>
      </c>
    </row>
    <row r="119" spans="1:22" x14ac:dyDescent="0.25">
      <c r="A119" s="27" t="s">
        <v>31</v>
      </c>
      <c r="B119" s="27" t="s">
        <v>45</v>
      </c>
      <c r="C119" s="27"/>
      <c r="D119" s="27"/>
      <c r="E119" s="27"/>
      <c r="F119" s="27"/>
      <c r="G119" s="27" t="s">
        <v>51</v>
      </c>
      <c r="H119" s="28"/>
      <c r="I119" s="27" t="s">
        <v>38</v>
      </c>
      <c r="J119" s="29"/>
      <c r="K119" s="30"/>
      <c r="L119" s="31"/>
      <c r="M119" s="32"/>
      <c r="N119" s="30"/>
      <c r="O119" s="30"/>
      <c r="P119" s="39" t="s">
        <v>87</v>
      </c>
      <c r="Q119" s="34">
        <v>-8973.7000000000116</v>
      </c>
      <c r="R119" s="35">
        <v>-5.2169080211625023E-2</v>
      </c>
      <c r="S119" s="36" t="s">
        <v>44</v>
      </c>
      <c r="T119" s="35" t="s">
        <v>44</v>
      </c>
      <c r="U119" s="36">
        <v>-8973.7000000000116</v>
      </c>
      <c r="V119" s="37">
        <v>-5.2169080211625023E-2</v>
      </c>
    </row>
    <row r="120" spans="1:22" x14ac:dyDescent="0.25">
      <c r="A120" s="27" t="s">
        <v>31</v>
      </c>
      <c r="B120" s="27" t="s">
        <v>32</v>
      </c>
      <c r="C120" s="27"/>
      <c r="D120" s="27"/>
      <c r="E120" s="27"/>
      <c r="F120" s="27"/>
      <c r="G120" s="27" t="s">
        <v>51</v>
      </c>
      <c r="H120" s="28"/>
      <c r="I120" s="27" t="s">
        <v>36</v>
      </c>
      <c r="J120" s="29"/>
      <c r="K120" s="30"/>
      <c r="L120" s="31"/>
      <c r="M120" s="32"/>
      <c r="N120" s="30"/>
      <c r="O120" s="30"/>
      <c r="P120" s="39" t="s">
        <v>138</v>
      </c>
      <c r="Q120" s="34">
        <v>6510</v>
      </c>
      <c r="R120" s="35">
        <v>2.1567003478548948E-2</v>
      </c>
      <c r="S120" s="36">
        <v>6510</v>
      </c>
      <c r="T120" s="35">
        <v>2.1567003478548948E-2</v>
      </c>
      <c r="U120" s="36" t="s">
        <v>44</v>
      </c>
      <c r="V120" s="37" t="s">
        <v>44</v>
      </c>
    </row>
    <row r="121" spans="1:22" x14ac:dyDescent="0.25">
      <c r="A121" s="27" t="s">
        <v>31</v>
      </c>
      <c r="B121" s="27" t="s">
        <v>45</v>
      </c>
      <c r="C121" s="27"/>
      <c r="D121" s="27"/>
      <c r="E121" s="27"/>
      <c r="F121" s="27"/>
      <c r="G121" s="27" t="s">
        <v>51</v>
      </c>
      <c r="H121" s="28"/>
      <c r="I121" s="27" t="s">
        <v>38</v>
      </c>
      <c r="J121" s="29"/>
      <c r="K121" s="30"/>
      <c r="L121" s="31"/>
      <c r="M121" s="32"/>
      <c r="N121" s="30"/>
      <c r="O121" s="30"/>
      <c r="P121" s="39" t="s">
        <v>136</v>
      </c>
      <c r="Q121" s="34">
        <v>-3498.3800000000047</v>
      </c>
      <c r="R121" s="35">
        <v>-9.6307368717556026E-3</v>
      </c>
      <c r="S121" s="36" t="s">
        <v>44</v>
      </c>
      <c r="T121" s="35" t="s">
        <v>44</v>
      </c>
      <c r="U121" s="36">
        <v>-3498.3800000000047</v>
      </c>
      <c r="V121" s="37">
        <v>-9.6307368717556026E-3</v>
      </c>
    </row>
    <row r="122" spans="1:22" x14ac:dyDescent="0.25">
      <c r="A122" s="27" t="s">
        <v>31</v>
      </c>
      <c r="B122" s="27" t="s">
        <v>32</v>
      </c>
      <c r="C122" s="27"/>
      <c r="D122" s="27"/>
      <c r="E122" s="27"/>
      <c r="F122" s="27"/>
      <c r="G122" s="27" t="s">
        <v>51</v>
      </c>
      <c r="H122" s="28"/>
      <c r="I122" s="27" t="s">
        <v>38</v>
      </c>
      <c r="J122" s="29"/>
      <c r="K122" s="30"/>
      <c r="L122" s="31"/>
      <c r="M122" s="32"/>
      <c r="N122" s="30"/>
      <c r="O122" s="30"/>
      <c r="P122" s="39" t="s">
        <v>52</v>
      </c>
      <c r="Q122" s="34">
        <v>-7609.4799999999814</v>
      </c>
      <c r="R122" s="35">
        <v>-2.2298876470082774E-2</v>
      </c>
      <c r="S122" s="36" t="s">
        <v>44</v>
      </c>
      <c r="T122" s="35" t="s">
        <v>44</v>
      </c>
      <c r="U122" s="36">
        <v>-7609.4799999999814</v>
      </c>
      <c r="V122" s="37">
        <v>-2.2298876470082774E-2</v>
      </c>
    </row>
    <row r="123" spans="1:22" x14ac:dyDescent="0.25">
      <c r="A123" s="27" t="s">
        <v>31</v>
      </c>
      <c r="B123" s="27" t="s">
        <v>45</v>
      </c>
      <c r="C123" s="27"/>
      <c r="D123" s="27"/>
      <c r="E123" s="27"/>
      <c r="F123" s="27"/>
      <c r="G123" s="27" t="s">
        <v>51</v>
      </c>
      <c r="H123" s="28"/>
      <c r="I123" s="27" t="s">
        <v>38</v>
      </c>
      <c r="J123" s="29"/>
      <c r="K123" s="30"/>
      <c r="L123" s="31"/>
      <c r="M123" s="32"/>
      <c r="N123" s="30"/>
      <c r="O123" s="30"/>
      <c r="P123" s="39" t="s">
        <v>134</v>
      </c>
      <c r="Q123" s="34">
        <v>-13084</v>
      </c>
      <c r="R123" s="35">
        <v>-1.6832084391985334E-2</v>
      </c>
      <c r="S123" s="36" t="s">
        <v>44</v>
      </c>
      <c r="T123" s="35" t="s">
        <v>44</v>
      </c>
      <c r="U123" s="36">
        <v>-13084</v>
      </c>
      <c r="V123" s="37">
        <v>-1.6832084391985334E-2</v>
      </c>
    </row>
    <row r="124" spans="1:22" x14ac:dyDescent="0.25">
      <c r="A124" s="27" t="s">
        <v>31</v>
      </c>
      <c r="B124" s="27" t="s">
        <v>45</v>
      </c>
      <c r="C124" s="27"/>
      <c r="D124" s="27"/>
      <c r="E124" s="27"/>
      <c r="F124" s="27"/>
      <c r="G124" s="27" t="s">
        <v>51</v>
      </c>
      <c r="H124" s="28"/>
      <c r="I124" s="27" t="s">
        <v>36</v>
      </c>
      <c r="J124" s="29"/>
      <c r="K124" s="30"/>
      <c r="L124" s="31"/>
      <c r="M124" s="32"/>
      <c r="N124" s="30"/>
      <c r="O124" s="30"/>
      <c r="P124" s="39" t="s">
        <v>88</v>
      </c>
      <c r="Q124" s="34">
        <v>-6587.0799999999581</v>
      </c>
      <c r="R124" s="35">
        <v>-2.0463509163079537E-2</v>
      </c>
      <c r="S124" s="36" t="s">
        <v>44</v>
      </c>
      <c r="T124" s="35" t="s">
        <v>44</v>
      </c>
      <c r="U124" s="36">
        <v>-6587.0799999999581</v>
      </c>
      <c r="V124" s="37">
        <v>-2.0463509163079537E-2</v>
      </c>
    </row>
    <row r="125" spans="1:22" x14ac:dyDescent="0.25">
      <c r="A125" s="27" t="s">
        <v>31</v>
      </c>
      <c r="B125" s="27" t="s">
        <v>45</v>
      </c>
      <c r="C125" s="27"/>
      <c r="D125" s="27"/>
      <c r="E125" s="27"/>
      <c r="F125" s="27"/>
      <c r="G125" s="27" t="s">
        <v>51</v>
      </c>
      <c r="H125" s="28"/>
      <c r="I125" s="27" t="s">
        <v>38</v>
      </c>
      <c r="J125" s="29"/>
      <c r="K125" s="30"/>
      <c r="L125" s="31"/>
      <c r="M125" s="32"/>
      <c r="N125" s="30"/>
      <c r="O125" s="30"/>
      <c r="P125" s="39" t="s">
        <v>52</v>
      </c>
      <c r="Q125" s="34">
        <v>-12526.589999999967</v>
      </c>
      <c r="R125" s="35">
        <v>-2.3091484924722683E-2</v>
      </c>
      <c r="S125" s="36" t="s">
        <v>44</v>
      </c>
      <c r="T125" s="35" t="s">
        <v>44</v>
      </c>
      <c r="U125" s="36">
        <v>-12526.589999999967</v>
      </c>
      <c r="V125" s="37">
        <v>-2.3091484924722683E-2</v>
      </c>
    </row>
    <row r="126" spans="1:22" x14ac:dyDescent="0.25">
      <c r="A126" s="27" t="s">
        <v>31</v>
      </c>
      <c r="B126" s="27" t="s">
        <v>32</v>
      </c>
      <c r="C126" s="27"/>
      <c r="D126" s="27"/>
      <c r="E126" s="27"/>
      <c r="F126" s="27"/>
      <c r="G126" s="27" t="s">
        <v>51</v>
      </c>
      <c r="H126" s="28"/>
      <c r="I126" s="27" t="s">
        <v>36</v>
      </c>
      <c r="J126" s="29"/>
      <c r="K126" s="30"/>
      <c r="L126" s="31"/>
      <c r="M126" s="32"/>
      <c r="N126" s="30"/>
      <c r="O126" s="30"/>
      <c r="P126" s="39" t="s">
        <v>140</v>
      </c>
      <c r="Q126" s="34">
        <v>-9314.5200000000186</v>
      </c>
      <c r="R126" s="35">
        <v>-1.58089524321023E-2</v>
      </c>
      <c r="S126" s="36" t="s">
        <v>44</v>
      </c>
      <c r="T126" s="35" t="s">
        <v>44</v>
      </c>
      <c r="U126" s="36">
        <v>-9314.5200000000186</v>
      </c>
      <c r="V126" s="37">
        <v>-1.58089524321023E-2</v>
      </c>
    </row>
    <row r="127" spans="1:22" x14ac:dyDescent="0.25">
      <c r="A127" s="27" t="s">
        <v>31</v>
      </c>
      <c r="B127" s="27" t="s">
        <v>32</v>
      </c>
      <c r="C127" s="27"/>
      <c r="D127" s="27"/>
      <c r="E127" s="27"/>
      <c r="F127" s="27"/>
      <c r="G127" s="27" t="s">
        <v>51</v>
      </c>
      <c r="H127" s="28"/>
      <c r="I127" s="27" t="s">
        <v>38</v>
      </c>
      <c r="J127" s="29"/>
      <c r="K127" s="30"/>
      <c r="L127" s="31"/>
      <c r="M127" s="32"/>
      <c r="N127" s="30"/>
      <c r="O127" s="30"/>
      <c r="P127" s="39" t="s">
        <v>95</v>
      </c>
      <c r="Q127" s="34">
        <v>-2572.1999999999534</v>
      </c>
      <c r="R127" s="35">
        <v>-2.4840173829067634E-3</v>
      </c>
      <c r="S127" s="36" t="s">
        <v>44</v>
      </c>
      <c r="T127" s="35" t="s">
        <v>44</v>
      </c>
      <c r="U127" s="36">
        <v>-2572.1999999999534</v>
      </c>
      <c r="V127" s="37">
        <v>-2.4840173829067634E-3</v>
      </c>
    </row>
    <row r="128" spans="1:22" x14ac:dyDescent="0.25">
      <c r="A128" s="27" t="s">
        <v>31</v>
      </c>
      <c r="B128" s="27" t="s">
        <v>45</v>
      </c>
      <c r="C128" s="27"/>
      <c r="D128" s="27"/>
      <c r="E128" s="27"/>
      <c r="F128" s="27"/>
      <c r="G128" s="27" t="s">
        <v>51</v>
      </c>
      <c r="H128" s="28"/>
      <c r="I128" s="27" t="s">
        <v>38</v>
      </c>
      <c r="J128" s="29"/>
      <c r="K128" s="30"/>
      <c r="L128" s="31"/>
      <c r="M128" s="32"/>
      <c r="N128" s="30"/>
      <c r="O128" s="30"/>
      <c r="P128" s="39" t="s">
        <v>137</v>
      </c>
      <c r="Q128" s="34">
        <v>16983.600000000093</v>
      </c>
      <c r="R128" s="35">
        <v>3.1401496746252207E-2</v>
      </c>
      <c r="S128" s="36">
        <v>16983.600000000093</v>
      </c>
      <c r="T128" s="35">
        <v>3.1401496746252207E-2</v>
      </c>
      <c r="U128" s="36" t="s">
        <v>44</v>
      </c>
      <c r="V128" s="37" t="s">
        <v>44</v>
      </c>
    </row>
    <row r="129" spans="1:22" x14ac:dyDescent="0.25">
      <c r="A129" s="27" t="s">
        <v>31</v>
      </c>
      <c r="B129" s="27" t="s">
        <v>45</v>
      </c>
      <c r="C129" s="27"/>
      <c r="D129" s="27"/>
      <c r="E129" s="27"/>
      <c r="F129" s="27"/>
      <c r="G129" s="27" t="s">
        <v>51</v>
      </c>
      <c r="H129" s="28"/>
      <c r="I129" s="27" t="s">
        <v>38</v>
      </c>
      <c r="J129" s="29"/>
      <c r="K129" s="30"/>
      <c r="L129" s="31"/>
      <c r="M129" s="32"/>
      <c r="N129" s="30"/>
      <c r="O129" s="30"/>
      <c r="P129" s="39" t="s">
        <v>52</v>
      </c>
      <c r="Q129" s="34">
        <v>18748.670000000042</v>
      </c>
      <c r="R129" s="35">
        <v>5.3565814985978455E-2</v>
      </c>
      <c r="S129" s="36">
        <v>18748.670000000042</v>
      </c>
      <c r="T129" s="35">
        <v>5.3565814985978455E-2</v>
      </c>
      <c r="U129" s="36" t="s">
        <v>44</v>
      </c>
      <c r="V129" s="37" t="s">
        <v>44</v>
      </c>
    </row>
    <row r="130" spans="1:22" x14ac:dyDescent="0.25">
      <c r="A130" s="27" t="s">
        <v>40</v>
      </c>
      <c r="B130" s="27" t="s">
        <v>45</v>
      </c>
      <c r="C130" s="27"/>
      <c r="D130" s="27"/>
      <c r="E130" s="27"/>
      <c r="F130" s="27"/>
      <c r="G130" s="27" t="s">
        <v>51</v>
      </c>
      <c r="H130" s="28"/>
      <c r="I130" s="27" t="s">
        <v>38</v>
      </c>
      <c r="J130" s="29"/>
      <c r="K130" s="30"/>
      <c r="L130" s="31"/>
      <c r="M130" s="32"/>
      <c r="N130" s="30"/>
      <c r="O130" s="30"/>
      <c r="P130" s="39" t="s">
        <v>140</v>
      </c>
      <c r="Q130" s="34">
        <v>-1964.2000000001863</v>
      </c>
      <c r="R130" s="35">
        <v>-1.9083389125190376E-3</v>
      </c>
      <c r="S130" s="36" t="s">
        <v>44</v>
      </c>
      <c r="T130" s="35" t="s">
        <v>44</v>
      </c>
      <c r="U130" s="36">
        <v>-1964.2000000001863</v>
      </c>
      <c r="V130" s="37">
        <v>-1.9083389125190376E-3</v>
      </c>
    </row>
    <row r="131" spans="1:22" x14ac:dyDescent="0.25">
      <c r="A131" s="27" t="s">
        <v>40</v>
      </c>
      <c r="B131" s="27" t="s">
        <v>45</v>
      </c>
      <c r="C131" s="27"/>
      <c r="D131" s="27"/>
      <c r="E131" s="27"/>
      <c r="F131" s="27"/>
      <c r="G131" s="27" t="s">
        <v>51</v>
      </c>
      <c r="H131" s="28"/>
      <c r="I131" s="27" t="s">
        <v>38</v>
      </c>
      <c r="J131" s="29"/>
      <c r="K131" s="30"/>
      <c r="L131" s="31"/>
      <c r="M131" s="32"/>
      <c r="N131" s="30"/>
      <c r="O131" s="30"/>
      <c r="P131" s="39" t="s">
        <v>134</v>
      </c>
      <c r="Q131" s="34">
        <v>-7415</v>
      </c>
      <c r="R131" s="35">
        <v>-1.9034441686325749E-2</v>
      </c>
      <c r="S131" s="36" t="str">
        <f>IF(Q131&gt;0,Q131,"")</f>
        <v/>
      </c>
      <c r="T131" s="35" t="str">
        <f>IF(R131&gt;0,R131,"")</f>
        <v/>
      </c>
      <c r="U131" s="36">
        <f>IF(Q131&lt;0,Q131,"")</f>
        <v>-7415</v>
      </c>
      <c r="V131" s="37">
        <f>IF(R131&lt;0,R131,"")</f>
        <v>-1.9034441686325749E-2</v>
      </c>
    </row>
    <row r="132" spans="1:22" x14ac:dyDescent="0.25">
      <c r="A132" s="27" t="s">
        <v>31</v>
      </c>
      <c r="B132" s="27" t="s">
        <v>45</v>
      </c>
      <c r="C132" s="27"/>
      <c r="D132" s="27"/>
      <c r="E132" s="27"/>
      <c r="F132" s="27"/>
      <c r="G132" s="27" t="s">
        <v>51</v>
      </c>
      <c r="H132" s="28"/>
      <c r="I132" s="27" t="s">
        <v>38</v>
      </c>
      <c r="J132" s="29"/>
      <c r="K132" s="30"/>
      <c r="L132" s="31"/>
      <c r="M132" s="32"/>
      <c r="N132" s="30"/>
      <c r="O132" s="30"/>
      <c r="P132" s="39" t="s">
        <v>137</v>
      </c>
      <c r="Q132" s="34">
        <v>-9762</v>
      </c>
      <c r="R132" s="35">
        <v>-1.977530457048168E-2</v>
      </c>
      <c r="S132" s="36" t="str">
        <f t="shared" ref="S132:S136" si="16">IF(Q132&gt;0,Q132,"")</f>
        <v/>
      </c>
      <c r="T132" s="35" t="str">
        <f t="shared" ref="T132:T136" si="17">IF(R132&gt;0,R132,"")</f>
        <v/>
      </c>
      <c r="U132" s="36">
        <f t="shared" ref="U132:U136" si="18">IF(Q132&lt;0,Q132,"")</f>
        <v>-9762</v>
      </c>
      <c r="V132" s="37">
        <f t="shared" ref="V132:V136" si="19">IF(R132&lt;0,R132,"")</f>
        <v>-1.977530457048168E-2</v>
      </c>
    </row>
    <row r="133" spans="1:22" x14ac:dyDescent="0.25">
      <c r="A133" s="27" t="s">
        <v>31</v>
      </c>
      <c r="B133" s="27" t="s">
        <v>32</v>
      </c>
      <c r="C133" s="27"/>
      <c r="D133" s="27"/>
      <c r="E133" s="27"/>
      <c r="F133" s="27"/>
      <c r="G133" s="27" t="s">
        <v>51</v>
      </c>
      <c r="H133" s="28"/>
      <c r="I133" s="27" t="s">
        <v>38</v>
      </c>
      <c r="J133" s="29"/>
      <c r="K133" s="30"/>
      <c r="L133" s="31"/>
      <c r="M133" s="32"/>
      <c r="N133" s="30"/>
      <c r="O133" s="30"/>
      <c r="P133" s="39" t="s">
        <v>134</v>
      </c>
      <c r="Q133" s="34">
        <v>1622</v>
      </c>
      <c r="R133" s="35">
        <v>1.9817609571099034E-3</v>
      </c>
      <c r="S133" s="36">
        <f t="shared" si="16"/>
        <v>1622</v>
      </c>
      <c r="T133" s="35">
        <f t="shared" si="17"/>
        <v>1.9817609571099034E-3</v>
      </c>
      <c r="U133" s="36" t="str">
        <f t="shared" si="18"/>
        <v/>
      </c>
      <c r="V133" s="37" t="str">
        <f t="shared" si="19"/>
        <v/>
      </c>
    </row>
    <row r="134" spans="1:22" x14ac:dyDescent="0.25">
      <c r="A134" s="27" t="s">
        <v>31</v>
      </c>
      <c r="B134" s="27" t="s">
        <v>45</v>
      </c>
      <c r="C134" s="27"/>
      <c r="D134" s="27"/>
      <c r="E134" s="27"/>
      <c r="F134" s="27"/>
      <c r="G134" s="27" t="s">
        <v>51</v>
      </c>
      <c r="H134" s="28"/>
      <c r="I134" s="27" t="s">
        <v>38</v>
      </c>
      <c r="J134" s="29"/>
      <c r="K134" s="30"/>
      <c r="L134" s="31"/>
      <c r="M134" s="32"/>
      <c r="N134" s="30"/>
      <c r="O134" s="30"/>
      <c r="P134" s="39" t="s">
        <v>52</v>
      </c>
      <c r="Q134" s="34">
        <v>-5324.2199999999721</v>
      </c>
      <c r="R134" s="35">
        <v>-2.344674899200528E-2</v>
      </c>
      <c r="S134" s="36" t="str">
        <f t="shared" si="16"/>
        <v/>
      </c>
      <c r="T134" s="35" t="str">
        <f t="shared" si="17"/>
        <v/>
      </c>
      <c r="U134" s="36">
        <f t="shared" si="18"/>
        <v>-5324.2199999999721</v>
      </c>
      <c r="V134" s="37">
        <f t="shared" si="19"/>
        <v>-2.344674899200528E-2</v>
      </c>
    </row>
    <row r="135" spans="1:22" x14ac:dyDescent="0.25">
      <c r="A135" s="27" t="s">
        <v>31</v>
      </c>
      <c r="B135" s="27" t="s">
        <v>45</v>
      </c>
      <c r="C135" s="27"/>
      <c r="D135" s="27"/>
      <c r="E135" s="27"/>
      <c r="F135" s="27"/>
      <c r="G135" s="27" t="s">
        <v>51</v>
      </c>
      <c r="H135" s="28"/>
      <c r="I135" s="27" t="s">
        <v>38</v>
      </c>
      <c r="J135" s="29"/>
      <c r="K135" s="30"/>
      <c r="L135" s="31"/>
      <c r="M135" s="32"/>
      <c r="N135" s="30"/>
      <c r="O135" s="30"/>
      <c r="P135" s="39" t="s">
        <v>137</v>
      </c>
      <c r="Q135" s="34">
        <v>-14015.400000000023</v>
      </c>
      <c r="R135" s="35">
        <v>-2.0048624573433552E-2</v>
      </c>
      <c r="S135" s="36" t="str">
        <f t="shared" si="16"/>
        <v/>
      </c>
      <c r="T135" s="35" t="str">
        <f t="shared" si="17"/>
        <v/>
      </c>
      <c r="U135" s="36">
        <f t="shared" si="18"/>
        <v>-14015.400000000023</v>
      </c>
      <c r="V135" s="37">
        <f t="shared" si="19"/>
        <v>-2.0048624573433552E-2</v>
      </c>
    </row>
    <row r="136" spans="1:22" x14ac:dyDescent="0.25">
      <c r="A136" s="27" t="s">
        <v>31</v>
      </c>
      <c r="B136" s="27" t="s">
        <v>32</v>
      </c>
      <c r="C136" s="27"/>
      <c r="D136" s="27"/>
      <c r="E136" s="27"/>
      <c r="F136" s="27"/>
      <c r="G136" s="27" t="s">
        <v>51</v>
      </c>
      <c r="H136" s="28"/>
      <c r="I136" s="27" t="s">
        <v>38</v>
      </c>
      <c r="J136" s="29"/>
      <c r="K136" s="30"/>
      <c r="L136" s="31"/>
      <c r="M136" s="32"/>
      <c r="N136" s="30"/>
      <c r="O136" s="30"/>
      <c r="P136" s="39" t="s">
        <v>134</v>
      </c>
      <c r="Q136" s="34">
        <v>-36527</v>
      </c>
      <c r="R136" s="35">
        <v>-4.4795320203085527E-2</v>
      </c>
      <c r="S136" s="36" t="str">
        <f t="shared" si="16"/>
        <v/>
      </c>
      <c r="T136" s="35" t="str">
        <f t="shared" si="17"/>
        <v/>
      </c>
      <c r="U136" s="36">
        <f t="shared" si="18"/>
        <v>-36527</v>
      </c>
      <c r="V136" s="37">
        <f t="shared" si="19"/>
        <v>-4.4795320203085527E-2</v>
      </c>
    </row>
    <row r="137" spans="1:22" hidden="1" x14ac:dyDescent="0.25">
      <c r="A137" s="27" t="s">
        <v>40</v>
      </c>
      <c r="B137" s="27" t="s">
        <v>45</v>
      </c>
      <c r="C137" s="27"/>
      <c r="D137" s="27"/>
      <c r="E137" s="27"/>
      <c r="F137" s="27"/>
      <c r="G137" s="27" t="s">
        <v>42</v>
      </c>
      <c r="H137" s="28">
        <v>9</v>
      </c>
      <c r="I137" s="27" t="s">
        <v>38</v>
      </c>
      <c r="J137" s="29"/>
      <c r="K137" s="30"/>
      <c r="L137" s="31"/>
      <c r="M137" s="32"/>
      <c r="N137" s="30"/>
      <c r="O137" s="30"/>
      <c r="P137" s="39" t="s">
        <v>170</v>
      </c>
      <c r="Q137" s="34">
        <v>12738.09</v>
      </c>
      <c r="R137" s="35">
        <v>1.8049778949158308</v>
      </c>
      <c r="S137" s="36">
        <f t="shared" ref="S137:S138" si="20">IF(Q137&gt;0,Q137,"")</f>
        <v>12738.09</v>
      </c>
      <c r="T137" s="35">
        <f t="shared" ref="T137:T138" si="21">IF(R137&gt;0,R137,"")</f>
        <v>1.8049778949158308</v>
      </c>
      <c r="U137" s="36" t="str">
        <f t="shared" ref="U137:U138" si="22">IF(Q137&lt;0,Q137,"")</f>
        <v/>
      </c>
      <c r="V137" s="37" t="str">
        <f t="shared" ref="V137:V138" si="23">IF(R137&lt;0,R137,"")</f>
        <v/>
      </c>
    </row>
    <row r="138" spans="1:22" hidden="1" x14ac:dyDescent="0.25">
      <c r="A138" s="27" t="s">
        <v>40</v>
      </c>
      <c r="B138" s="27" t="s">
        <v>45</v>
      </c>
      <c r="C138" s="27"/>
      <c r="D138" s="27"/>
      <c r="E138" s="27"/>
      <c r="F138" s="27"/>
      <c r="G138" s="27" t="s">
        <v>42</v>
      </c>
      <c r="H138" s="28">
        <v>8</v>
      </c>
      <c r="I138" s="27" t="s">
        <v>38</v>
      </c>
      <c r="J138" s="29"/>
      <c r="K138" s="30"/>
      <c r="L138" s="31"/>
      <c r="M138" s="32"/>
      <c r="N138" s="30"/>
      <c r="O138" s="30"/>
      <c r="P138" s="39" t="s">
        <v>171</v>
      </c>
      <c r="Q138" s="34">
        <v>10804.700000000003</v>
      </c>
      <c r="R138" s="35">
        <v>1.4905768920367466</v>
      </c>
      <c r="S138" s="36">
        <f t="shared" si="20"/>
        <v>10804.700000000003</v>
      </c>
      <c r="T138" s="35">
        <f t="shared" si="21"/>
        <v>1.4905768920367466</v>
      </c>
      <c r="U138" s="36" t="str">
        <f t="shared" si="22"/>
        <v/>
      </c>
      <c r="V138" s="37" t="str">
        <f t="shared" si="23"/>
        <v/>
      </c>
    </row>
    <row r="139" spans="1:22" x14ac:dyDescent="0.25">
      <c r="A139" s="27"/>
      <c r="B139" s="27"/>
      <c r="C139" s="27"/>
      <c r="D139" s="27"/>
      <c r="E139" s="27"/>
      <c r="F139" s="27"/>
      <c r="G139" s="27"/>
      <c r="H139" s="28"/>
      <c r="I139" s="27"/>
      <c r="J139" s="29"/>
      <c r="K139" s="30"/>
      <c r="L139" s="31"/>
      <c r="M139" s="32"/>
      <c r="N139" s="30"/>
      <c r="O139" s="30"/>
      <c r="P139" s="39"/>
      <c r="Q139" s="34"/>
      <c r="R139" s="35"/>
      <c r="S139" s="36"/>
      <c r="T139" s="35"/>
      <c r="U139" s="36"/>
      <c r="V139" s="37"/>
    </row>
    <row r="140" spans="1:22" x14ac:dyDescent="0.25">
      <c r="A140" s="27"/>
      <c r="B140" s="27"/>
      <c r="C140" s="27"/>
      <c r="D140" s="27"/>
      <c r="E140" s="27"/>
      <c r="F140" s="27"/>
      <c r="G140" s="27"/>
      <c r="H140" s="28"/>
      <c r="I140" s="27"/>
      <c r="J140" s="29"/>
      <c r="K140" s="30"/>
      <c r="L140" s="31"/>
      <c r="M140" s="32"/>
      <c r="N140" s="30"/>
      <c r="O140" s="30"/>
      <c r="P140" s="39"/>
      <c r="Q140" s="34"/>
      <c r="R140" s="35"/>
      <c r="S140" s="36"/>
      <c r="T140" s="35"/>
      <c r="U140" s="36"/>
      <c r="V140" s="37"/>
    </row>
    <row r="141" spans="1:22" x14ac:dyDescent="0.25">
      <c r="A141" s="27"/>
      <c r="B141" s="27"/>
      <c r="C141" s="27"/>
      <c r="D141" s="27"/>
      <c r="E141" s="27"/>
      <c r="F141" s="27"/>
      <c r="G141" s="27"/>
      <c r="H141" s="28"/>
      <c r="I141" s="27"/>
      <c r="J141" s="29"/>
      <c r="K141" s="30"/>
      <c r="L141" s="31"/>
      <c r="M141" s="32"/>
      <c r="N141" s="30"/>
      <c r="O141" s="30"/>
      <c r="P141" s="39"/>
      <c r="Q141" s="34"/>
      <c r="R141" s="35"/>
      <c r="S141" s="36"/>
      <c r="T141" s="35"/>
      <c r="U141" s="36"/>
      <c r="V141" s="37"/>
    </row>
    <row r="142" spans="1:22" x14ac:dyDescent="0.25">
      <c r="A142" s="27"/>
      <c r="B142" s="27"/>
      <c r="C142" s="27"/>
      <c r="D142" s="27"/>
      <c r="E142" s="27"/>
      <c r="F142" s="27"/>
      <c r="G142" s="27"/>
      <c r="H142" s="28"/>
      <c r="I142" s="27"/>
      <c r="J142" s="29"/>
      <c r="K142" s="30"/>
      <c r="L142" s="31"/>
      <c r="M142" s="32"/>
      <c r="N142" s="30"/>
      <c r="O142" s="30"/>
      <c r="P142" s="39"/>
      <c r="Q142" s="34"/>
      <c r="R142" s="35"/>
      <c r="S142" s="36"/>
      <c r="T142" s="35"/>
      <c r="U142" s="36"/>
      <c r="V142" s="37"/>
    </row>
    <row r="143" spans="1:22" x14ac:dyDescent="0.25">
      <c r="A143" s="27"/>
      <c r="B143" s="27"/>
      <c r="C143" s="27"/>
      <c r="D143" s="27"/>
      <c r="E143" s="27"/>
      <c r="F143" s="27"/>
      <c r="G143" s="27"/>
      <c r="H143" s="28"/>
      <c r="I143" s="27"/>
      <c r="J143" s="29"/>
      <c r="K143" s="30"/>
      <c r="L143" s="31"/>
      <c r="M143" s="32"/>
      <c r="N143" s="30"/>
      <c r="O143" s="30"/>
      <c r="P143" s="39"/>
      <c r="Q143" s="34"/>
      <c r="R143" s="35"/>
      <c r="S143" s="36"/>
      <c r="T143" s="35"/>
      <c r="U143" s="36"/>
      <c r="V143" s="37"/>
    </row>
    <row r="144" spans="1:22" x14ac:dyDescent="0.25">
      <c r="A144" s="27"/>
      <c r="B144" s="27"/>
      <c r="C144" s="27"/>
      <c r="D144" s="27"/>
      <c r="E144" s="27"/>
      <c r="F144" s="27"/>
      <c r="G144" s="27"/>
      <c r="H144" s="28"/>
      <c r="I144" s="27"/>
      <c r="J144" s="29"/>
      <c r="K144" s="30"/>
      <c r="L144" s="31"/>
      <c r="M144" s="32"/>
      <c r="N144" s="30"/>
      <c r="O144" s="30"/>
      <c r="P144" s="39"/>
      <c r="Q144" s="34"/>
      <c r="R144" s="35"/>
      <c r="S144" s="36"/>
      <c r="T144" s="35"/>
      <c r="U144" s="36"/>
      <c r="V144" s="37"/>
    </row>
    <row r="145" spans="1:22" x14ac:dyDescent="0.25">
      <c r="A145" s="27"/>
      <c r="B145" s="27"/>
      <c r="C145" s="27"/>
      <c r="D145" s="27"/>
      <c r="E145" s="27"/>
      <c r="F145" s="27"/>
      <c r="G145" s="27"/>
      <c r="H145" s="28"/>
      <c r="I145" s="27"/>
      <c r="J145" s="29"/>
      <c r="K145" s="30"/>
      <c r="L145" s="31"/>
      <c r="M145" s="32"/>
      <c r="N145" s="30"/>
      <c r="O145" s="30"/>
      <c r="P145" s="39"/>
      <c r="Q145" s="34"/>
      <c r="R145" s="35"/>
      <c r="S145" s="36"/>
      <c r="T145" s="35"/>
      <c r="U145" s="36"/>
      <c r="V145" s="37"/>
    </row>
    <row r="146" spans="1:22" x14ac:dyDescent="0.25">
      <c r="A146" s="27"/>
      <c r="B146" s="27"/>
      <c r="C146" s="27"/>
      <c r="D146" s="27"/>
      <c r="E146" s="27"/>
      <c r="F146" s="27"/>
      <c r="G146" s="27"/>
      <c r="H146" s="28"/>
      <c r="I146" s="27"/>
      <c r="J146" s="29"/>
      <c r="K146" s="30"/>
      <c r="L146" s="31"/>
      <c r="M146" s="32"/>
      <c r="N146" s="30"/>
      <c r="O146" s="30"/>
      <c r="P146" s="39"/>
      <c r="Q146" s="34"/>
      <c r="R146" s="35"/>
      <c r="S146" s="36"/>
      <c r="T146" s="35"/>
      <c r="U146" s="36"/>
      <c r="V146" s="37"/>
    </row>
    <row r="147" spans="1:22" x14ac:dyDescent="0.25">
      <c r="A147" s="27"/>
      <c r="B147" s="27"/>
      <c r="C147" s="27"/>
      <c r="D147" s="27"/>
      <c r="E147" s="27"/>
      <c r="F147" s="27"/>
      <c r="G147" s="27"/>
      <c r="H147" s="28"/>
      <c r="I147" s="27"/>
      <c r="J147" s="29"/>
      <c r="K147" s="30"/>
      <c r="L147" s="31"/>
      <c r="M147" s="32"/>
      <c r="N147" s="30"/>
      <c r="O147" s="30"/>
      <c r="P147" s="39"/>
      <c r="Q147" s="34"/>
      <c r="R147" s="35"/>
      <c r="S147" s="36"/>
      <c r="T147" s="35"/>
      <c r="U147" s="36"/>
      <c r="V147" s="37"/>
    </row>
    <row r="148" spans="1:22" x14ac:dyDescent="0.25">
      <c r="A148" s="27"/>
      <c r="B148" s="27"/>
      <c r="C148" s="27"/>
      <c r="D148" s="27"/>
      <c r="E148" s="27"/>
      <c r="F148" s="27"/>
      <c r="G148" s="27"/>
      <c r="H148" s="28"/>
      <c r="I148" s="27"/>
      <c r="J148" s="29"/>
      <c r="K148" s="30"/>
      <c r="L148" s="31"/>
      <c r="M148" s="32"/>
      <c r="N148" s="30"/>
      <c r="O148" s="30"/>
      <c r="P148" s="39"/>
      <c r="Q148" s="34"/>
      <c r="R148" s="35"/>
      <c r="S148" s="36"/>
      <c r="T148" s="35"/>
      <c r="U148" s="36"/>
      <c r="V148" s="37"/>
    </row>
    <row r="149" spans="1:22" x14ac:dyDescent="0.25">
      <c r="A149" s="27"/>
      <c r="B149" s="27"/>
      <c r="C149" s="27"/>
      <c r="D149" s="27"/>
      <c r="E149" s="27"/>
      <c r="F149" s="27"/>
      <c r="G149" s="27"/>
      <c r="H149" s="28"/>
      <c r="I149" s="27"/>
      <c r="J149" s="29"/>
      <c r="K149" s="30"/>
      <c r="L149" s="31"/>
      <c r="M149" s="32"/>
      <c r="N149" s="30"/>
      <c r="O149" s="30"/>
      <c r="P149" s="39"/>
      <c r="Q149" s="34"/>
      <c r="R149" s="35"/>
      <c r="S149" s="36"/>
      <c r="T149" s="35"/>
      <c r="U149" s="36"/>
      <c r="V149" s="37"/>
    </row>
    <row r="150" spans="1:22" x14ac:dyDescent="0.25">
      <c r="A150" s="27"/>
      <c r="B150" s="27"/>
      <c r="C150" s="27"/>
      <c r="D150" s="27"/>
      <c r="E150" s="27"/>
      <c r="F150" s="27"/>
      <c r="G150" s="27"/>
      <c r="H150" s="28"/>
      <c r="I150" s="27"/>
      <c r="J150" s="29"/>
      <c r="K150" s="30"/>
      <c r="L150" s="31"/>
      <c r="M150" s="32"/>
      <c r="N150" s="30"/>
      <c r="O150" s="30"/>
      <c r="P150" s="39"/>
      <c r="Q150" s="34"/>
      <c r="R150" s="35"/>
      <c r="S150" s="36"/>
      <c r="T150" s="35"/>
      <c r="U150" s="36"/>
      <c r="V150" s="37"/>
    </row>
    <row r="151" spans="1:22" x14ac:dyDescent="0.25">
      <c r="A151" s="27"/>
      <c r="B151" s="27"/>
      <c r="C151" s="27"/>
      <c r="D151" s="27"/>
      <c r="E151" s="27"/>
      <c r="F151" s="27"/>
      <c r="G151" s="27"/>
      <c r="H151" s="28"/>
      <c r="I151" s="27"/>
      <c r="J151" s="29"/>
      <c r="K151" s="30"/>
      <c r="L151" s="31"/>
      <c r="M151" s="32"/>
      <c r="N151" s="30"/>
      <c r="O151" s="30"/>
      <c r="P151" s="39"/>
      <c r="Q151" s="34"/>
      <c r="R151" s="35"/>
      <c r="S151" s="36"/>
      <c r="T151" s="35"/>
      <c r="U151" s="36"/>
      <c r="V151" s="37"/>
    </row>
    <row r="152" spans="1:22" x14ac:dyDescent="0.25">
      <c r="A152" s="27"/>
      <c r="B152" s="27"/>
      <c r="C152" s="27"/>
      <c r="D152" s="27"/>
      <c r="E152" s="27"/>
      <c r="F152" s="27"/>
      <c r="G152" s="27"/>
      <c r="H152" s="28"/>
      <c r="I152" s="27"/>
      <c r="J152" s="29"/>
      <c r="K152" s="30"/>
      <c r="L152" s="31"/>
      <c r="M152" s="32"/>
      <c r="N152" s="30"/>
      <c r="O152" s="30"/>
      <c r="P152" s="39"/>
      <c r="Q152" s="34"/>
      <c r="R152" s="35"/>
      <c r="S152" s="36"/>
      <c r="T152" s="35"/>
      <c r="U152" s="36"/>
      <c r="V152" s="37"/>
    </row>
    <row r="153" spans="1:22" x14ac:dyDescent="0.25">
      <c r="A153" s="27"/>
      <c r="B153" s="27"/>
      <c r="C153" s="27"/>
      <c r="D153" s="27"/>
      <c r="E153" s="27"/>
      <c r="F153" s="27"/>
      <c r="G153" s="27"/>
      <c r="H153" s="28"/>
      <c r="I153" s="27"/>
      <c r="J153" s="29"/>
      <c r="K153" s="30"/>
      <c r="L153" s="31"/>
      <c r="M153" s="32"/>
      <c r="N153" s="30"/>
      <c r="O153" s="30"/>
      <c r="P153" s="39"/>
      <c r="Q153" s="34"/>
      <c r="R153" s="35"/>
      <c r="S153" s="36"/>
      <c r="T153" s="35"/>
      <c r="U153" s="36"/>
      <c r="V153" s="37"/>
    </row>
    <row r="154" spans="1:22" x14ac:dyDescent="0.25">
      <c r="A154" s="27"/>
      <c r="B154" s="27"/>
      <c r="C154" s="27"/>
      <c r="D154" s="27"/>
      <c r="E154" s="27"/>
      <c r="F154" s="27"/>
      <c r="G154" s="27"/>
      <c r="H154" s="28"/>
      <c r="I154" s="27"/>
      <c r="J154" s="29"/>
      <c r="K154" s="30"/>
      <c r="L154" s="31"/>
      <c r="M154" s="32"/>
      <c r="N154" s="30"/>
      <c r="O154" s="30"/>
      <c r="P154" s="39"/>
      <c r="Q154" s="34"/>
      <c r="R154" s="35"/>
      <c r="S154" s="36"/>
      <c r="T154" s="35"/>
      <c r="U154" s="36"/>
      <c r="V154" s="37"/>
    </row>
    <row r="155" spans="1:22" x14ac:dyDescent="0.25">
      <c r="A155" s="27"/>
      <c r="B155" s="27"/>
      <c r="C155" s="27"/>
      <c r="D155" s="27"/>
      <c r="E155" s="27"/>
      <c r="F155" s="27"/>
      <c r="G155" s="27"/>
      <c r="H155" s="28"/>
      <c r="I155" s="27"/>
      <c r="J155" s="29"/>
      <c r="K155" s="30"/>
      <c r="L155" s="31"/>
      <c r="M155" s="32"/>
      <c r="N155" s="30"/>
      <c r="O155" s="30"/>
      <c r="P155" s="39"/>
      <c r="Q155" s="34"/>
      <c r="R155" s="35"/>
      <c r="S155" s="36"/>
      <c r="T155" s="35"/>
      <c r="U155" s="36"/>
      <c r="V155" s="37"/>
    </row>
    <row r="156" spans="1:22" x14ac:dyDescent="0.25">
      <c r="A156" s="27"/>
      <c r="B156" s="27"/>
      <c r="C156" s="27"/>
      <c r="D156" s="27"/>
      <c r="E156" s="27"/>
      <c r="F156" s="27"/>
      <c r="G156" s="27"/>
      <c r="H156" s="28"/>
      <c r="I156" s="27"/>
      <c r="J156" s="29"/>
      <c r="K156" s="30"/>
      <c r="L156" s="31"/>
      <c r="M156" s="32"/>
      <c r="N156" s="30"/>
      <c r="O156" s="30"/>
      <c r="P156" s="39"/>
      <c r="Q156" s="34"/>
      <c r="R156" s="35"/>
      <c r="S156" s="36"/>
      <c r="T156" s="35"/>
      <c r="U156" s="36"/>
      <c r="V156" s="37"/>
    </row>
    <row r="157" spans="1:22" x14ac:dyDescent="0.25">
      <c r="A157" s="27"/>
      <c r="B157" s="27"/>
      <c r="C157" s="27"/>
      <c r="D157" s="27"/>
      <c r="E157" s="27"/>
      <c r="F157" s="27"/>
      <c r="G157" s="27"/>
      <c r="H157" s="28"/>
      <c r="I157" s="27"/>
      <c r="J157" s="29"/>
      <c r="K157" s="30"/>
      <c r="L157" s="31"/>
      <c r="M157" s="32"/>
      <c r="N157" s="30"/>
      <c r="O157" s="30"/>
      <c r="P157" s="39"/>
      <c r="Q157" s="34"/>
      <c r="R157" s="35"/>
      <c r="S157" s="36"/>
      <c r="T157" s="35"/>
      <c r="U157" s="36"/>
      <c r="V157" s="37"/>
    </row>
    <row r="158" spans="1:22" x14ac:dyDescent="0.25">
      <c r="A158" s="27"/>
      <c r="B158" s="27"/>
      <c r="C158" s="27"/>
      <c r="D158" s="27"/>
      <c r="E158" s="27"/>
      <c r="F158" s="27"/>
      <c r="G158" s="27"/>
      <c r="H158" s="28"/>
      <c r="I158" s="27"/>
      <c r="J158" s="29"/>
      <c r="K158" s="30"/>
      <c r="L158" s="31"/>
      <c r="M158" s="32"/>
      <c r="N158" s="30"/>
      <c r="O158" s="30"/>
      <c r="P158" s="39"/>
      <c r="Q158" s="34"/>
      <c r="R158" s="35"/>
      <c r="S158" s="36"/>
      <c r="T158" s="35"/>
      <c r="U158" s="36"/>
      <c r="V158" s="37"/>
    </row>
    <row r="159" spans="1:22" x14ac:dyDescent="0.25">
      <c r="A159" s="27"/>
      <c r="B159" s="27"/>
      <c r="C159" s="27"/>
      <c r="D159" s="27"/>
      <c r="E159" s="27"/>
      <c r="F159" s="27"/>
      <c r="G159" s="27"/>
      <c r="H159" s="28"/>
      <c r="I159" s="27"/>
      <c r="J159" s="29"/>
      <c r="K159" s="30"/>
      <c r="L159" s="31"/>
      <c r="M159" s="32"/>
      <c r="N159" s="30"/>
      <c r="O159" s="30"/>
      <c r="P159" s="39"/>
      <c r="Q159" s="34"/>
      <c r="R159" s="35"/>
      <c r="S159" s="36"/>
      <c r="T159" s="35"/>
      <c r="U159" s="36"/>
      <c r="V159" s="37"/>
    </row>
    <row r="160" spans="1:22" x14ac:dyDescent="0.25">
      <c r="A160" s="27"/>
      <c r="B160" s="27"/>
      <c r="C160" s="27"/>
      <c r="D160" s="27"/>
      <c r="E160" s="27"/>
      <c r="F160" s="27"/>
      <c r="G160" s="27"/>
      <c r="H160" s="28"/>
      <c r="I160" s="27"/>
      <c r="J160" s="29"/>
      <c r="K160" s="30"/>
      <c r="L160" s="31"/>
      <c r="M160" s="32"/>
      <c r="N160" s="30"/>
      <c r="O160" s="30"/>
      <c r="P160" s="39"/>
      <c r="Q160" s="34"/>
      <c r="R160" s="35"/>
      <c r="S160" s="36"/>
      <c r="T160" s="35"/>
      <c r="U160" s="36"/>
      <c r="V160" s="37"/>
    </row>
    <row r="161" spans="1:22" x14ac:dyDescent="0.25">
      <c r="A161" s="27"/>
      <c r="B161" s="27"/>
      <c r="C161" s="27"/>
      <c r="D161" s="27"/>
      <c r="E161" s="27"/>
      <c r="F161" s="27"/>
      <c r="G161" s="27"/>
      <c r="H161" s="28"/>
      <c r="I161" s="27"/>
      <c r="J161" s="29"/>
      <c r="K161" s="30"/>
      <c r="L161" s="31"/>
      <c r="M161" s="32"/>
      <c r="N161" s="30"/>
      <c r="O161" s="30"/>
      <c r="P161" s="39"/>
      <c r="Q161" s="34"/>
      <c r="R161" s="35"/>
      <c r="S161" s="36"/>
      <c r="T161" s="35"/>
      <c r="U161" s="36"/>
      <c r="V161" s="37"/>
    </row>
    <row r="162" spans="1:22" x14ac:dyDescent="0.25">
      <c r="A162" s="27"/>
      <c r="B162" s="27"/>
      <c r="C162" s="27"/>
      <c r="D162" s="27"/>
      <c r="E162" s="27"/>
      <c r="F162" s="27"/>
      <c r="G162" s="27"/>
      <c r="H162" s="28"/>
      <c r="I162" s="27"/>
      <c r="J162" s="29"/>
      <c r="K162" s="30"/>
      <c r="L162" s="31"/>
      <c r="M162" s="32"/>
      <c r="N162" s="30"/>
      <c r="O162" s="30"/>
      <c r="P162" s="39"/>
      <c r="Q162" s="34"/>
      <c r="R162" s="35"/>
      <c r="S162" s="36"/>
      <c r="T162" s="35"/>
      <c r="U162" s="36"/>
      <c r="V162" s="37"/>
    </row>
    <row r="163" spans="1:22" x14ac:dyDescent="0.25">
      <c r="A163" s="27"/>
      <c r="B163" s="27"/>
      <c r="C163" s="27"/>
      <c r="D163" s="27"/>
      <c r="E163" s="27"/>
      <c r="F163" s="27"/>
      <c r="G163" s="27"/>
      <c r="H163" s="28"/>
      <c r="I163" s="27"/>
      <c r="J163" s="29"/>
      <c r="K163" s="30"/>
      <c r="L163" s="31"/>
      <c r="M163" s="32"/>
      <c r="N163" s="30"/>
      <c r="O163" s="30"/>
      <c r="P163" s="39"/>
      <c r="Q163" s="34"/>
      <c r="R163" s="35"/>
      <c r="S163" s="36"/>
      <c r="T163" s="35"/>
      <c r="U163" s="36"/>
      <c r="V163" s="37"/>
    </row>
    <row r="164" spans="1:22" x14ac:dyDescent="0.25">
      <c r="A164" s="27"/>
      <c r="B164" s="27"/>
      <c r="C164" s="27"/>
      <c r="D164" s="27"/>
      <c r="E164" s="27"/>
      <c r="F164" s="27"/>
      <c r="G164" s="27"/>
      <c r="H164" s="28"/>
      <c r="I164" s="27"/>
      <c r="J164" s="29"/>
      <c r="K164" s="30"/>
      <c r="L164" s="31"/>
      <c r="M164" s="32"/>
      <c r="N164" s="30"/>
      <c r="O164" s="30"/>
      <c r="P164" s="39"/>
      <c r="Q164" s="34"/>
      <c r="R164" s="35"/>
      <c r="S164" s="36"/>
      <c r="T164" s="35"/>
      <c r="U164" s="36"/>
      <c r="V164" s="37"/>
    </row>
    <row r="165" spans="1:22" x14ac:dyDescent="0.25">
      <c r="A165" s="27"/>
      <c r="B165" s="27"/>
      <c r="C165" s="27"/>
      <c r="D165" s="27"/>
      <c r="E165" s="27"/>
      <c r="F165" s="27"/>
      <c r="G165" s="27"/>
      <c r="H165" s="28"/>
      <c r="I165" s="27"/>
      <c r="J165" s="29"/>
      <c r="K165" s="30"/>
      <c r="L165" s="31"/>
      <c r="M165" s="32"/>
      <c r="N165" s="30"/>
      <c r="O165" s="30"/>
      <c r="P165" s="39"/>
      <c r="Q165" s="34"/>
      <c r="R165" s="35"/>
      <c r="S165" s="36"/>
      <c r="T165" s="35"/>
      <c r="U165" s="36"/>
      <c r="V165" s="37"/>
    </row>
    <row r="166" spans="1:22" x14ac:dyDescent="0.25">
      <c r="A166" s="27"/>
      <c r="B166" s="27"/>
      <c r="C166" s="27"/>
      <c r="D166" s="27"/>
      <c r="E166" s="27"/>
      <c r="F166" s="27"/>
      <c r="G166" s="27"/>
      <c r="H166" s="28"/>
      <c r="I166" s="27"/>
      <c r="J166" s="29"/>
      <c r="K166" s="30"/>
      <c r="L166" s="31"/>
      <c r="M166" s="32"/>
      <c r="N166" s="30"/>
      <c r="O166" s="30"/>
      <c r="P166" s="39"/>
      <c r="Q166" s="34"/>
      <c r="R166" s="35"/>
      <c r="S166" s="36"/>
      <c r="T166" s="35"/>
      <c r="U166" s="36"/>
      <c r="V166" s="37"/>
    </row>
    <row r="167" spans="1:22" x14ac:dyDescent="0.25">
      <c r="A167" s="27"/>
      <c r="B167" s="27"/>
      <c r="C167" s="27"/>
      <c r="D167" s="27"/>
      <c r="E167" s="27"/>
      <c r="F167" s="27"/>
      <c r="G167" s="27"/>
      <c r="H167" s="28"/>
      <c r="I167" s="27"/>
      <c r="J167" s="29"/>
      <c r="K167" s="30"/>
      <c r="L167" s="31"/>
      <c r="M167" s="32"/>
      <c r="N167" s="30"/>
      <c r="O167" s="30"/>
      <c r="P167" s="39"/>
      <c r="Q167" s="34"/>
      <c r="R167" s="35"/>
      <c r="S167" s="36"/>
      <c r="T167" s="35"/>
      <c r="U167" s="36"/>
      <c r="V167" s="37"/>
    </row>
    <row r="168" spans="1:22" x14ac:dyDescent="0.25">
      <c r="A168" s="27"/>
      <c r="B168" s="27"/>
      <c r="C168" s="27"/>
      <c r="D168" s="27"/>
      <c r="E168" s="27"/>
      <c r="F168" s="27"/>
      <c r="G168" s="27"/>
      <c r="H168" s="28"/>
      <c r="I168" s="27"/>
      <c r="J168" s="29"/>
      <c r="K168" s="30"/>
      <c r="L168" s="31"/>
      <c r="M168" s="32"/>
      <c r="N168" s="30"/>
      <c r="O168" s="30"/>
      <c r="P168" s="39"/>
      <c r="Q168" s="34"/>
      <c r="R168" s="35"/>
      <c r="S168" s="36"/>
      <c r="T168" s="35"/>
      <c r="U168" s="36"/>
      <c r="V168" s="37"/>
    </row>
    <row r="169" spans="1:22" x14ac:dyDescent="0.25">
      <c r="A169" s="27"/>
      <c r="B169" s="27"/>
      <c r="C169" s="27"/>
      <c r="D169" s="27"/>
      <c r="E169" s="27"/>
      <c r="F169" s="27"/>
      <c r="G169" s="27"/>
      <c r="H169" s="28"/>
      <c r="I169" s="27"/>
      <c r="J169" s="29"/>
      <c r="K169" s="30"/>
      <c r="L169" s="31"/>
      <c r="M169" s="32"/>
      <c r="N169" s="30"/>
      <c r="O169" s="30"/>
      <c r="P169" s="39"/>
      <c r="Q169" s="34"/>
      <c r="R169" s="35"/>
      <c r="S169" s="36"/>
      <c r="T169" s="35"/>
      <c r="U169" s="36"/>
      <c r="V169" s="37"/>
    </row>
    <row r="170" spans="1:22" x14ac:dyDescent="0.25">
      <c r="A170" s="27"/>
      <c r="B170" s="27"/>
      <c r="C170" s="27"/>
      <c r="D170" s="27"/>
      <c r="E170" s="27"/>
      <c r="F170" s="27"/>
      <c r="G170" s="27"/>
      <c r="H170" s="28"/>
      <c r="I170" s="27"/>
      <c r="J170" s="29"/>
      <c r="K170" s="30"/>
      <c r="L170" s="31"/>
      <c r="M170" s="32"/>
      <c r="N170" s="30"/>
      <c r="O170" s="30"/>
      <c r="P170" s="39"/>
      <c r="Q170" s="34"/>
      <c r="R170" s="35"/>
      <c r="S170" s="36"/>
      <c r="T170" s="35"/>
      <c r="U170" s="36"/>
      <c r="V170" s="37"/>
    </row>
    <row r="171" spans="1:22" x14ac:dyDescent="0.25">
      <c r="A171" s="27"/>
      <c r="B171" s="27"/>
      <c r="C171" s="27"/>
      <c r="D171" s="27"/>
      <c r="E171" s="27"/>
      <c r="F171" s="27"/>
      <c r="G171" s="27"/>
      <c r="H171" s="28"/>
      <c r="I171" s="27"/>
      <c r="J171" s="29"/>
      <c r="K171" s="30"/>
      <c r="L171" s="31"/>
      <c r="M171" s="32"/>
      <c r="N171" s="30"/>
      <c r="O171" s="30"/>
      <c r="P171" s="39"/>
      <c r="Q171" s="34"/>
      <c r="R171" s="35"/>
      <c r="S171" s="36"/>
      <c r="T171" s="35"/>
      <c r="U171" s="36"/>
      <c r="V171" s="37"/>
    </row>
    <row r="172" spans="1:22" x14ac:dyDescent="0.25">
      <c r="A172" s="27"/>
      <c r="B172" s="27"/>
      <c r="C172" s="27"/>
      <c r="D172" s="27"/>
      <c r="E172" s="27"/>
      <c r="F172" s="27"/>
      <c r="G172" s="27"/>
      <c r="H172" s="28"/>
      <c r="I172" s="27"/>
      <c r="J172" s="29"/>
      <c r="K172" s="30"/>
      <c r="L172" s="31"/>
      <c r="M172" s="32"/>
      <c r="N172" s="30"/>
      <c r="O172" s="30"/>
      <c r="P172" s="39"/>
      <c r="Q172" s="34"/>
      <c r="R172" s="35"/>
      <c r="S172" s="36"/>
      <c r="T172" s="35"/>
      <c r="U172" s="36"/>
      <c r="V172" s="37"/>
    </row>
    <row r="173" spans="1:22" x14ac:dyDescent="0.25">
      <c r="A173" s="27"/>
      <c r="B173" s="27"/>
      <c r="C173" s="27"/>
      <c r="D173" s="27"/>
      <c r="E173" s="27"/>
      <c r="F173" s="27"/>
      <c r="G173" s="27"/>
      <c r="H173" s="28"/>
      <c r="I173" s="27"/>
      <c r="J173" s="29"/>
      <c r="K173" s="30"/>
      <c r="L173" s="31"/>
      <c r="M173" s="32"/>
      <c r="N173" s="30"/>
      <c r="O173" s="30"/>
      <c r="P173" s="39"/>
      <c r="Q173" s="34"/>
      <c r="R173" s="35"/>
      <c r="S173" s="36"/>
      <c r="T173" s="35"/>
      <c r="U173" s="36"/>
      <c r="V173" s="37"/>
    </row>
    <row r="174" spans="1:22" x14ac:dyDescent="0.25">
      <c r="A174" s="27"/>
      <c r="B174" s="27"/>
      <c r="C174" s="27"/>
      <c r="D174" s="27"/>
      <c r="E174" s="27"/>
      <c r="F174" s="27"/>
      <c r="G174" s="27"/>
      <c r="H174" s="28"/>
      <c r="I174" s="27"/>
      <c r="J174" s="29"/>
      <c r="K174" s="30"/>
      <c r="L174" s="31"/>
      <c r="M174" s="32"/>
      <c r="N174" s="30"/>
      <c r="O174" s="30"/>
      <c r="P174" s="39"/>
      <c r="Q174" s="34"/>
      <c r="R174" s="35"/>
      <c r="S174" s="36"/>
      <c r="T174" s="35"/>
      <c r="U174" s="36"/>
      <c r="V174" s="37"/>
    </row>
    <row r="175" spans="1:22" x14ac:dyDescent="0.25">
      <c r="A175" s="27"/>
      <c r="B175" s="27"/>
      <c r="C175" s="27"/>
      <c r="D175" s="27"/>
      <c r="E175" s="27"/>
      <c r="F175" s="27"/>
      <c r="G175" s="27"/>
      <c r="H175" s="28"/>
      <c r="I175" s="27"/>
      <c r="J175" s="29"/>
      <c r="K175" s="30"/>
      <c r="L175" s="31"/>
      <c r="M175" s="32"/>
      <c r="N175" s="30"/>
      <c r="O175" s="30"/>
      <c r="P175" s="39"/>
      <c r="Q175" s="34"/>
      <c r="R175" s="35"/>
      <c r="S175" s="36"/>
      <c r="T175" s="35"/>
      <c r="U175" s="36"/>
      <c r="V175" s="37"/>
    </row>
    <row r="176" spans="1:22" x14ac:dyDescent="0.25">
      <c r="A176" s="27"/>
      <c r="B176" s="27"/>
      <c r="C176" s="27"/>
      <c r="D176" s="27"/>
      <c r="E176" s="27"/>
      <c r="F176" s="27"/>
      <c r="G176" s="27"/>
      <c r="H176" s="28"/>
      <c r="I176" s="27"/>
      <c r="J176" s="29"/>
      <c r="K176" s="30"/>
      <c r="L176" s="31"/>
      <c r="M176" s="32"/>
      <c r="N176" s="30"/>
      <c r="O176" s="30"/>
      <c r="P176" s="39"/>
      <c r="Q176" s="34"/>
      <c r="R176" s="35"/>
      <c r="S176" s="36"/>
      <c r="T176" s="35"/>
      <c r="U176" s="36"/>
      <c r="V176" s="37"/>
    </row>
    <row r="177" spans="1:22" x14ac:dyDescent="0.25">
      <c r="A177" s="27"/>
      <c r="B177" s="27"/>
      <c r="C177" s="27"/>
      <c r="D177" s="27"/>
      <c r="E177" s="27"/>
      <c r="F177" s="27"/>
      <c r="G177" s="27"/>
      <c r="H177" s="28"/>
      <c r="I177" s="27"/>
      <c r="J177" s="29"/>
      <c r="K177" s="30"/>
      <c r="L177" s="31"/>
      <c r="M177" s="32"/>
      <c r="N177" s="30"/>
      <c r="O177" s="30"/>
      <c r="P177" s="39"/>
      <c r="Q177" s="34"/>
      <c r="R177" s="35"/>
      <c r="S177" s="36"/>
      <c r="T177" s="35"/>
      <c r="U177" s="36"/>
      <c r="V177" s="37"/>
    </row>
    <row r="178" spans="1:22" x14ac:dyDescent="0.25">
      <c r="A178" s="27"/>
      <c r="B178" s="27"/>
      <c r="C178" s="27"/>
      <c r="D178" s="27"/>
      <c r="E178" s="27"/>
      <c r="F178" s="27"/>
      <c r="G178" s="27"/>
      <c r="H178" s="28"/>
      <c r="I178" s="27"/>
      <c r="J178" s="29"/>
      <c r="K178" s="30"/>
      <c r="L178" s="31"/>
      <c r="M178" s="32"/>
      <c r="N178" s="30"/>
      <c r="O178" s="30"/>
      <c r="P178" s="39"/>
      <c r="Q178" s="34"/>
      <c r="R178" s="35"/>
      <c r="S178" s="36"/>
      <c r="T178" s="35"/>
      <c r="U178" s="36"/>
      <c r="V178" s="37"/>
    </row>
    <row r="179" spans="1:22" x14ac:dyDescent="0.25">
      <c r="A179" s="27"/>
      <c r="B179" s="27"/>
      <c r="C179" s="27"/>
      <c r="D179" s="27"/>
      <c r="E179" s="27"/>
      <c r="F179" s="27"/>
      <c r="G179" s="27"/>
      <c r="H179" s="28"/>
      <c r="I179" s="27"/>
      <c r="J179" s="29"/>
      <c r="K179" s="30"/>
      <c r="L179" s="31"/>
      <c r="M179" s="32"/>
      <c r="N179" s="30"/>
      <c r="O179" s="30"/>
      <c r="P179" s="39"/>
      <c r="Q179" s="34"/>
      <c r="R179" s="35"/>
      <c r="S179" s="36"/>
      <c r="T179" s="35"/>
      <c r="U179" s="36"/>
      <c r="V179" s="37"/>
    </row>
    <row r="180" spans="1:22" x14ac:dyDescent="0.25">
      <c r="A180" s="27"/>
      <c r="B180" s="27"/>
      <c r="C180" s="27"/>
      <c r="D180" s="27"/>
      <c r="E180" s="27"/>
      <c r="F180" s="27"/>
      <c r="G180" s="27"/>
      <c r="H180" s="28"/>
      <c r="I180" s="27"/>
      <c r="J180" s="29"/>
      <c r="K180" s="30"/>
      <c r="L180" s="31"/>
      <c r="M180" s="32"/>
      <c r="N180" s="30"/>
      <c r="O180" s="30"/>
      <c r="P180" s="39"/>
      <c r="Q180" s="34"/>
      <c r="R180" s="35"/>
      <c r="S180" s="36"/>
      <c r="T180" s="35"/>
      <c r="U180" s="36"/>
      <c r="V180" s="37"/>
    </row>
    <row r="181" spans="1:22" x14ac:dyDescent="0.25">
      <c r="A181" s="27"/>
      <c r="B181" s="27"/>
      <c r="C181" s="27"/>
      <c r="D181" s="27"/>
      <c r="E181" s="27"/>
      <c r="F181" s="27"/>
      <c r="G181" s="27"/>
      <c r="H181" s="28"/>
      <c r="I181" s="27"/>
      <c r="J181" s="29"/>
      <c r="K181" s="30"/>
      <c r="L181" s="31"/>
      <c r="M181" s="32"/>
      <c r="N181" s="30"/>
      <c r="O181" s="30"/>
      <c r="P181" s="39"/>
      <c r="Q181" s="34"/>
      <c r="R181" s="35"/>
      <c r="S181" s="36"/>
      <c r="T181" s="35"/>
      <c r="U181" s="36"/>
      <c r="V181" s="37"/>
    </row>
    <row r="182" spans="1:22" x14ac:dyDescent="0.25">
      <c r="A182" s="27"/>
      <c r="B182" s="27"/>
      <c r="C182" s="27"/>
      <c r="D182" s="27"/>
      <c r="E182" s="27"/>
      <c r="F182" s="27"/>
      <c r="G182" s="27"/>
      <c r="H182" s="28"/>
      <c r="I182" s="27"/>
      <c r="J182" s="29"/>
      <c r="K182" s="30"/>
      <c r="L182" s="31"/>
      <c r="M182" s="32"/>
      <c r="N182" s="30"/>
      <c r="O182" s="30"/>
      <c r="P182" s="39"/>
      <c r="Q182" s="34"/>
      <c r="R182" s="35"/>
      <c r="S182" s="36"/>
      <c r="T182" s="35"/>
      <c r="U182" s="36"/>
      <c r="V182" s="37"/>
    </row>
    <row r="183" spans="1:22" x14ac:dyDescent="0.25">
      <c r="A183" s="27"/>
      <c r="B183" s="27"/>
      <c r="C183" s="27"/>
      <c r="D183" s="27"/>
      <c r="E183" s="27"/>
      <c r="F183" s="27"/>
      <c r="G183" s="27"/>
      <c r="H183" s="28"/>
      <c r="I183" s="27"/>
      <c r="J183" s="29"/>
      <c r="K183" s="30"/>
      <c r="L183" s="31"/>
      <c r="M183" s="32"/>
      <c r="N183" s="30"/>
      <c r="O183" s="30"/>
      <c r="P183" s="39"/>
      <c r="Q183" s="34"/>
      <c r="R183" s="35"/>
      <c r="S183" s="36"/>
      <c r="T183" s="35"/>
      <c r="U183" s="36"/>
      <c r="V183" s="37"/>
    </row>
    <row r="184" spans="1:22" x14ac:dyDescent="0.25">
      <c r="A184" s="27"/>
      <c r="B184" s="27"/>
      <c r="C184" s="27"/>
      <c r="D184" s="27"/>
      <c r="E184" s="27"/>
      <c r="F184" s="27"/>
      <c r="G184" s="27"/>
      <c r="H184" s="28"/>
      <c r="I184" s="27"/>
      <c r="J184" s="29"/>
      <c r="K184" s="30"/>
      <c r="L184" s="31"/>
      <c r="M184" s="32"/>
      <c r="N184" s="30"/>
      <c r="O184" s="30"/>
      <c r="P184" s="39"/>
      <c r="Q184" s="34"/>
      <c r="R184" s="35"/>
      <c r="S184" s="36"/>
      <c r="T184" s="35"/>
      <c r="U184" s="36"/>
      <c r="V184" s="37"/>
    </row>
    <row r="185" spans="1:22" x14ac:dyDescent="0.25">
      <c r="A185" s="27"/>
      <c r="B185" s="27"/>
      <c r="C185" s="27"/>
      <c r="D185" s="27"/>
      <c r="E185" s="27"/>
      <c r="F185" s="27"/>
      <c r="G185" s="27"/>
      <c r="H185" s="28"/>
      <c r="I185" s="27"/>
      <c r="J185" s="29"/>
      <c r="K185" s="30"/>
      <c r="L185" s="31"/>
      <c r="M185" s="32"/>
      <c r="N185" s="30"/>
      <c r="O185" s="30"/>
      <c r="P185" s="39"/>
      <c r="Q185" s="34"/>
      <c r="R185" s="35"/>
      <c r="S185" s="36"/>
      <c r="T185" s="35"/>
      <c r="U185" s="36"/>
      <c r="V185" s="37"/>
    </row>
    <row r="186" spans="1:22" x14ac:dyDescent="0.25">
      <c r="A186" s="27"/>
      <c r="B186" s="27"/>
      <c r="C186" s="27"/>
      <c r="D186" s="27"/>
      <c r="E186" s="27"/>
      <c r="F186" s="27"/>
      <c r="G186" s="27"/>
      <c r="H186" s="28"/>
      <c r="I186" s="27"/>
      <c r="J186" s="29"/>
      <c r="K186" s="30"/>
      <c r="L186" s="31"/>
      <c r="M186" s="32"/>
      <c r="N186" s="30"/>
      <c r="O186" s="30"/>
      <c r="P186" s="39"/>
      <c r="Q186" s="34"/>
      <c r="R186" s="35"/>
      <c r="S186" s="36"/>
      <c r="T186" s="35"/>
      <c r="U186" s="36"/>
      <c r="V186" s="37"/>
    </row>
    <row r="187" spans="1:22" x14ac:dyDescent="0.25">
      <c r="A187" s="27"/>
      <c r="B187" s="27"/>
      <c r="C187" s="27"/>
      <c r="D187" s="27"/>
      <c r="E187" s="27"/>
      <c r="F187" s="27"/>
      <c r="G187" s="27"/>
      <c r="H187" s="28"/>
      <c r="I187" s="27"/>
      <c r="J187" s="29"/>
      <c r="K187" s="30"/>
      <c r="L187" s="31"/>
      <c r="M187" s="32"/>
      <c r="N187" s="30"/>
      <c r="O187" s="30"/>
      <c r="P187" s="39"/>
      <c r="Q187" s="34"/>
      <c r="R187" s="35"/>
      <c r="S187" s="36"/>
      <c r="T187" s="35"/>
      <c r="U187" s="36"/>
      <c r="V187" s="37"/>
    </row>
    <row r="188" spans="1:22" x14ac:dyDescent="0.25">
      <c r="A188" s="27"/>
      <c r="B188" s="27"/>
      <c r="C188" s="27"/>
      <c r="D188" s="27"/>
      <c r="E188" s="27"/>
      <c r="F188" s="27"/>
      <c r="G188" s="27"/>
      <c r="H188" s="28"/>
      <c r="I188" s="27"/>
      <c r="J188" s="29"/>
      <c r="K188" s="30"/>
      <c r="L188" s="31"/>
      <c r="M188" s="32"/>
      <c r="N188" s="30"/>
      <c r="O188" s="30"/>
      <c r="P188" s="39"/>
      <c r="Q188" s="34"/>
      <c r="R188" s="35"/>
      <c r="S188" s="36"/>
      <c r="T188" s="35"/>
      <c r="U188" s="36"/>
      <c r="V188" s="37"/>
    </row>
    <row r="189" spans="1:22" x14ac:dyDescent="0.25">
      <c r="A189" s="27"/>
      <c r="B189" s="27"/>
      <c r="C189" s="27"/>
      <c r="D189" s="27"/>
      <c r="E189" s="27"/>
      <c r="F189" s="27"/>
      <c r="G189" s="27"/>
      <c r="H189" s="28"/>
      <c r="I189" s="27"/>
      <c r="J189" s="29"/>
      <c r="K189" s="30"/>
      <c r="L189" s="31"/>
      <c r="M189" s="32"/>
      <c r="N189" s="30"/>
      <c r="O189" s="30"/>
      <c r="P189" s="39"/>
      <c r="Q189" s="34"/>
      <c r="R189" s="35"/>
      <c r="S189" s="36"/>
      <c r="T189" s="35"/>
      <c r="U189" s="36"/>
      <c r="V189" s="37"/>
    </row>
    <row r="190" spans="1:22" x14ac:dyDescent="0.25">
      <c r="A190" s="27"/>
      <c r="B190" s="27"/>
      <c r="C190" s="27"/>
      <c r="D190" s="27"/>
      <c r="E190" s="27"/>
      <c r="F190" s="27"/>
      <c r="G190" s="27"/>
      <c r="H190" s="28"/>
      <c r="I190" s="27"/>
      <c r="J190" s="29"/>
      <c r="K190" s="30"/>
      <c r="L190" s="31"/>
      <c r="M190" s="32"/>
      <c r="N190" s="30"/>
      <c r="O190" s="30"/>
      <c r="P190" s="39"/>
      <c r="Q190" s="34"/>
      <c r="R190" s="35"/>
      <c r="S190" s="36"/>
      <c r="T190" s="35"/>
      <c r="U190" s="36"/>
      <c r="V190" s="37"/>
    </row>
    <row r="191" spans="1:22" x14ac:dyDescent="0.25">
      <c r="A191" s="27"/>
      <c r="B191" s="27"/>
      <c r="C191" s="27"/>
      <c r="D191" s="27"/>
      <c r="E191" s="27"/>
      <c r="F191" s="27"/>
      <c r="G191" s="27"/>
      <c r="H191" s="28"/>
      <c r="I191" s="27"/>
      <c r="J191" s="29"/>
      <c r="K191" s="30"/>
      <c r="L191" s="31"/>
      <c r="M191" s="32"/>
      <c r="N191" s="30"/>
      <c r="O191" s="30"/>
      <c r="P191" s="39"/>
      <c r="Q191" s="34"/>
      <c r="R191" s="35"/>
      <c r="S191" s="36"/>
      <c r="T191" s="35"/>
      <c r="U191" s="36"/>
      <c r="V191" s="37"/>
    </row>
    <row r="192" spans="1:22" x14ac:dyDescent="0.25">
      <c r="A192" s="27"/>
      <c r="B192" s="27"/>
      <c r="C192" s="27"/>
      <c r="D192" s="27"/>
      <c r="E192" s="27"/>
      <c r="F192" s="27"/>
      <c r="G192" s="27"/>
      <c r="H192" s="28"/>
      <c r="I192" s="27"/>
      <c r="J192" s="29"/>
      <c r="K192" s="30"/>
      <c r="L192" s="31"/>
      <c r="M192" s="32"/>
      <c r="N192" s="30"/>
      <c r="O192" s="30"/>
      <c r="P192" s="39"/>
      <c r="Q192" s="34"/>
      <c r="R192" s="35"/>
      <c r="S192" s="36"/>
      <c r="T192" s="35"/>
      <c r="U192" s="36"/>
      <c r="V192" s="37"/>
    </row>
    <row r="193" spans="1:22" x14ac:dyDescent="0.25">
      <c r="A193" s="27"/>
      <c r="B193" s="27"/>
      <c r="C193" s="27"/>
      <c r="D193" s="27"/>
      <c r="E193" s="27"/>
      <c r="F193" s="27"/>
      <c r="G193" s="27"/>
      <c r="H193" s="28"/>
      <c r="I193" s="27"/>
      <c r="J193" s="29"/>
      <c r="K193" s="30"/>
      <c r="L193" s="31"/>
      <c r="M193" s="32"/>
      <c r="N193" s="30"/>
      <c r="O193" s="30"/>
      <c r="P193" s="39"/>
      <c r="Q193" s="34"/>
      <c r="R193" s="35"/>
      <c r="S193" s="36"/>
      <c r="T193" s="35"/>
      <c r="U193" s="36"/>
      <c r="V193" s="37"/>
    </row>
    <row r="194" spans="1:22" x14ac:dyDescent="0.25">
      <c r="A194" s="27"/>
      <c r="B194" s="27"/>
      <c r="C194" s="27"/>
      <c r="D194" s="27"/>
      <c r="E194" s="27"/>
      <c r="F194" s="27"/>
      <c r="G194" s="27"/>
      <c r="H194" s="28"/>
      <c r="I194" s="27"/>
      <c r="J194" s="29"/>
      <c r="K194" s="30"/>
      <c r="L194" s="31"/>
      <c r="M194" s="32"/>
      <c r="N194" s="30"/>
      <c r="O194" s="30"/>
      <c r="P194" s="39"/>
      <c r="Q194" s="34"/>
      <c r="R194" s="35"/>
      <c r="S194" s="36"/>
      <c r="T194" s="35"/>
      <c r="U194" s="36"/>
      <c r="V194" s="37"/>
    </row>
    <row r="195" spans="1:22" x14ac:dyDescent="0.25">
      <c r="A195" s="27"/>
      <c r="B195" s="27"/>
      <c r="C195" s="27"/>
      <c r="D195" s="27"/>
      <c r="E195" s="27"/>
      <c r="F195" s="27"/>
      <c r="G195" s="27"/>
      <c r="H195" s="28"/>
      <c r="I195" s="27"/>
      <c r="J195" s="29"/>
      <c r="K195" s="30"/>
      <c r="L195" s="31"/>
      <c r="M195" s="32"/>
      <c r="N195" s="30"/>
      <c r="O195" s="30"/>
      <c r="P195" s="39"/>
      <c r="Q195" s="34"/>
      <c r="R195" s="35"/>
      <c r="S195" s="36"/>
      <c r="T195" s="35"/>
      <c r="U195" s="36"/>
      <c r="V195" s="37"/>
    </row>
    <row r="196" spans="1:22" x14ac:dyDescent="0.25">
      <c r="A196" s="27"/>
      <c r="B196" s="27"/>
      <c r="C196" s="27"/>
      <c r="D196" s="27"/>
      <c r="E196" s="27"/>
      <c r="F196" s="27"/>
      <c r="G196" s="27"/>
      <c r="H196" s="28"/>
      <c r="I196" s="27"/>
      <c r="J196" s="29"/>
      <c r="K196" s="30"/>
      <c r="L196" s="31"/>
      <c r="M196" s="32"/>
      <c r="N196" s="30"/>
      <c r="O196" s="30"/>
      <c r="P196" s="39"/>
      <c r="Q196" s="34"/>
      <c r="R196" s="35"/>
      <c r="S196" s="36"/>
      <c r="T196" s="35"/>
      <c r="U196" s="36"/>
      <c r="V196" s="37"/>
    </row>
    <row r="197" spans="1:22" x14ac:dyDescent="0.25">
      <c r="A197" s="27"/>
      <c r="B197" s="27"/>
      <c r="C197" s="27"/>
      <c r="D197" s="27"/>
      <c r="E197" s="27"/>
      <c r="F197" s="27"/>
      <c r="G197" s="27"/>
      <c r="H197" s="28"/>
      <c r="I197" s="27"/>
      <c r="J197" s="29"/>
      <c r="K197" s="30"/>
      <c r="L197" s="31"/>
      <c r="M197" s="32"/>
      <c r="N197" s="30"/>
      <c r="O197" s="30"/>
      <c r="P197" s="39"/>
      <c r="Q197" s="34"/>
      <c r="R197" s="35"/>
      <c r="S197" s="36"/>
      <c r="T197" s="35"/>
      <c r="U197" s="36"/>
      <c r="V197" s="37"/>
    </row>
    <row r="198" spans="1:22" x14ac:dyDescent="0.25">
      <c r="A198" s="27"/>
      <c r="B198" s="27"/>
      <c r="C198" s="27"/>
      <c r="D198" s="27"/>
      <c r="E198" s="27"/>
      <c r="F198" s="27"/>
      <c r="G198" s="27"/>
      <c r="H198" s="28"/>
      <c r="I198" s="27"/>
      <c r="J198" s="29"/>
      <c r="K198" s="30"/>
      <c r="L198" s="31"/>
      <c r="M198" s="32"/>
      <c r="N198" s="30"/>
      <c r="O198" s="30"/>
      <c r="P198" s="39"/>
      <c r="Q198" s="34"/>
      <c r="R198" s="35"/>
      <c r="S198" s="36"/>
      <c r="T198" s="35"/>
      <c r="U198" s="36"/>
      <c r="V198" s="37"/>
    </row>
    <row r="199" spans="1:22" x14ac:dyDescent="0.25">
      <c r="A199" s="27"/>
      <c r="B199" s="27"/>
      <c r="C199" s="27"/>
      <c r="D199" s="27"/>
      <c r="E199" s="27"/>
      <c r="F199" s="27"/>
      <c r="G199" s="27"/>
      <c r="H199" s="28"/>
      <c r="I199" s="27"/>
      <c r="J199" s="29"/>
      <c r="K199" s="30"/>
      <c r="L199" s="31"/>
      <c r="M199" s="32"/>
      <c r="N199" s="30"/>
      <c r="O199" s="30"/>
      <c r="P199" s="39"/>
      <c r="Q199" s="34"/>
      <c r="R199" s="35"/>
      <c r="S199" s="36"/>
      <c r="T199" s="35"/>
      <c r="U199" s="36"/>
      <c r="V199" s="37"/>
    </row>
    <row r="200" spans="1:22" x14ac:dyDescent="0.25">
      <c r="A200" s="27"/>
      <c r="B200" s="27"/>
      <c r="C200" s="27"/>
      <c r="D200" s="27"/>
      <c r="E200" s="27"/>
      <c r="F200" s="27"/>
      <c r="G200" s="27"/>
      <c r="H200" s="28"/>
      <c r="I200" s="27"/>
      <c r="J200" s="29"/>
      <c r="K200" s="30"/>
      <c r="L200" s="31"/>
      <c r="M200" s="32"/>
      <c r="N200" s="30"/>
      <c r="O200" s="30"/>
      <c r="P200" s="39"/>
      <c r="Q200" s="34"/>
      <c r="R200" s="35"/>
      <c r="S200" s="36"/>
      <c r="T200" s="35"/>
      <c r="U200" s="36"/>
      <c r="V200" s="37"/>
    </row>
    <row r="201" spans="1:22" x14ac:dyDescent="0.25">
      <c r="A201" s="27"/>
      <c r="B201" s="27"/>
      <c r="C201" s="27"/>
      <c r="D201" s="27"/>
      <c r="E201" s="27"/>
      <c r="F201" s="27"/>
      <c r="G201" s="27"/>
      <c r="H201" s="28"/>
      <c r="I201" s="27"/>
      <c r="J201" s="29"/>
      <c r="K201" s="30"/>
      <c r="L201" s="31"/>
      <c r="M201" s="32"/>
      <c r="N201" s="30"/>
      <c r="O201" s="30"/>
      <c r="P201" s="39"/>
      <c r="Q201" s="34"/>
      <c r="R201" s="35"/>
      <c r="S201" s="36"/>
      <c r="T201" s="35"/>
      <c r="U201" s="36"/>
      <c r="V201" s="37"/>
    </row>
    <row r="202" spans="1:22" x14ac:dyDescent="0.25">
      <c r="A202" s="27"/>
      <c r="B202" s="27"/>
      <c r="C202" s="27"/>
      <c r="D202" s="27"/>
      <c r="E202" s="27"/>
      <c r="F202" s="27"/>
      <c r="G202" s="27"/>
      <c r="H202" s="28"/>
      <c r="I202" s="27"/>
      <c r="J202" s="29"/>
      <c r="K202" s="30"/>
      <c r="L202" s="31"/>
      <c r="M202" s="32"/>
      <c r="N202" s="30"/>
      <c r="O202" s="30"/>
      <c r="P202" s="39"/>
      <c r="Q202" s="34"/>
      <c r="R202" s="35"/>
      <c r="S202" s="36"/>
      <c r="T202" s="35"/>
      <c r="U202" s="36"/>
      <c r="V202" s="37"/>
    </row>
    <row r="203" spans="1:22" x14ac:dyDescent="0.25">
      <c r="A203" s="27"/>
      <c r="B203" s="27"/>
      <c r="C203" s="27"/>
      <c r="D203" s="27"/>
      <c r="E203" s="27"/>
      <c r="F203" s="27"/>
      <c r="G203" s="27"/>
      <c r="H203" s="28"/>
      <c r="I203" s="27"/>
      <c r="J203" s="29"/>
      <c r="K203" s="30"/>
      <c r="L203" s="31"/>
      <c r="M203" s="32"/>
      <c r="N203" s="30"/>
      <c r="O203" s="30"/>
      <c r="P203" s="39"/>
      <c r="Q203" s="34"/>
      <c r="R203" s="35"/>
      <c r="S203" s="36"/>
      <c r="T203" s="35"/>
      <c r="U203" s="36"/>
      <c r="V203" s="37"/>
    </row>
    <row r="204" spans="1:22" x14ac:dyDescent="0.25">
      <c r="A204" s="27"/>
      <c r="B204" s="27"/>
      <c r="C204" s="27"/>
      <c r="D204" s="27"/>
      <c r="E204" s="27"/>
      <c r="F204" s="27"/>
      <c r="G204" s="27"/>
      <c r="H204" s="28"/>
      <c r="I204" s="27"/>
      <c r="J204" s="29"/>
      <c r="K204" s="30"/>
      <c r="L204" s="31"/>
      <c r="M204" s="32"/>
      <c r="N204" s="30"/>
      <c r="O204" s="30"/>
      <c r="P204" s="39"/>
      <c r="Q204" s="34"/>
      <c r="R204" s="35"/>
      <c r="S204" s="36"/>
      <c r="T204" s="35"/>
      <c r="U204" s="36"/>
      <c r="V204" s="37"/>
    </row>
    <row r="205" spans="1:22" x14ac:dyDescent="0.25">
      <c r="A205" s="27"/>
      <c r="B205" s="27"/>
      <c r="C205" s="27"/>
      <c r="D205" s="27"/>
      <c r="E205" s="27"/>
      <c r="F205" s="27"/>
      <c r="G205" s="27"/>
      <c r="H205" s="28"/>
      <c r="I205" s="27"/>
      <c r="J205" s="29"/>
      <c r="K205" s="30"/>
      <c r="L205" s="31"/>
      <c r="M205" s="32"/>
      <c r="N205" s="30"/>
      <c r="O205" s="30"/>
      <c r="P205" s="39"/>
      <c r="Q205" s="34"/>
      <c r="R205" s="35"/>
      <c r="S205" s="36"/>
      <c r="T205" s="35"/>
      <c r="U205" s="36"/>
      <c r="V205" s="37"/>
    </row>
    <row r="206" spans="1:22" x14ac:dyDescent="0.25">
      <c r="A206" s="27"/>
      <c r="B206" s="27"/>
      <c r="C206" s="27"/>
      <c r="D206" s="27"/>
      <c r="E206" s="27"/>
      <c r="F206" s="27"/>
      <c r="G206" s="27"/>
      <c r="H206" s="28"/>
      <c r="I206" s="27"/>
      <c r="J206" s="29"/>
      <c r="K206" s="30"/>
      <c r="L206" s="31"/>
      <c r="M206" s="32"/>
      <c r="N206" s="30"/>
      <c r="O206" s="30"/>
      <c r="P206" s="39"/>
      <c r="Q206" s="34"/>
      <c r="R206" s="35"/>
      <c r="S206" s="36"/>
      <c r="T206" s="35"/>
      <c r="U206" s="36"/>
      <c r="V206" s="37"/>
    </row>
    <row r="207" spans="1:22" x14ac:dyDescent="0.25">
      <c r="A207" s="27"/>
      <c r="B207" s="27"/>
      <c r="C207" s="27"/>
      <c r="D207" s="27"/>
      <c r="E207" s="27"/>
      <c r="F207" s="27"/>
      <c r="G207" s="27"/>
      <c r="H207" s="28"/>
      <c r="I207" s="27"/>
      <c r="J207" s="29"/>
      <c r="K207" s="30"/>
      <c r="L207" s="31"/>
      <c r="M207" s="32"/>
      <c r="N207" s="30"/>
      <c r="O207" s="30"/>
      <c r="P207" s="39"/>
      <c r="Q207" s="34"/>
      <c r="R207" s="35"/>
      <c r="S207" s="36"/>
      <c r="T207" s="35"/>
      <c r="U207" s="36"/>
      <c r="V207" s="37"/>
    </row>
    <row r="208" spans="1:22" x14ac:dyDescent="0.25">
      <c r="A208" s="27"/>
      <c r="B208" s="27"/>
      <c r="C208" s="27"/>
      <c r="D208" s="27"/>
      <c r="E208" s="27"/>
      <c r="F208" s="27"/>
      <c r="G208" s="27"/>
      <c r="H208" s="28"/>
      <c r="I208" s="27"/>
      <c r="J208" s="29"/>
      <c r="K208" s="30"/>
      <c r="L208" s="31"/>
      <c r="M208" s="32"/>
      <c r="N208" s="30"/>
      <c r="O208" s="30"/>
      <c r="P208" s="39"/>
      <c r="Q208" s="34"/>
      <c r="R208" s="35"/>
      <c r="S208" s="36"/>
      <c r="T208" s="35"/>
      <c r="U208" s="36"/>
      <c r="V208" s="37"/>
    </row>
    <row r="209" spans="1:22" x14ac:dyDescent="0.25">
      <c r="A209" s="27"/>
      <c r="B209" s="27"/>
      <c r="C209" s="27"/>
      <c r="D209" s="27"/>
      <c r="E209" s="27"/>
      <c r="F209" s="27"/>
      <c r="G209" s="27"/>
      <c r="H209" s="28"/>
      <c r="I209" s="27"/>
      <c r="J209" s="29"/>
      <c r="K209" s="30"/>
      <c r="L209" s="31"/>
      <c r="M209" s="32"/>
      <c r="N209" s="30"/>
      <c r="O209" s="30"/>
      <c r="P209" s="39"/>
      <c r="Q209" s="34"/>
      <c r="R209" s="35"/>
      <c r="S209" s="36"/>
      <c r="T209" s="35"/>
      <c r="U209" s="36"/>
      <c r="V209" s="37"/>
    </row>
    <row r="210" spans="1:22" x14ac:dyDescent="0.25">
      <c r="A210" s="27"/>
      <c r="B210" s="27"/>
      <c r="C210" s="27"/>
      <c r="D210" s="27"/>
      <c r="E210" s="27"/>
      <c r="F210" s="27"/>
      <c r="G210" s="27"/>
      <c r="H210" s="28"/>
      <c r="I210" s="27"/>
      <c r="J210" s="29"/>
      <c r="K210" s="30"/>
      <c r="L210" s="31"/>
      <c r="M210" s="32"/>
      <c r="N210" s="30"/>
      <c r="O210" s="30"/>
      <c r="P210" s="39"/>
      <c r="Q210" s="34"/>
      <c r="R210" s="35"/>
      <c r="S210" s="36"/>
      <c r="T210" s="35"/>
      <c r="U210" s="36"/>
      <c r="V210" s="37"/>
    </row>
    <row r="211" spans="1:22" x14ac:dyDescent="0.25">
      <c r="A211" s="27"/>
      <c r="B211" s="27"/>
      <c r="C211" s="27"/>
      <c r="D211" s="27"/>
      <c r="E211" s="27"/>
      <c r="F211" s="27"/>
      <c r="G211" s="27"/>
      <c r="H211" s="28"/>
      <c r="I211" s="27"/>
      <c r="J211" s="29"/>
      <c r="K211" s="30"/>
      <c r="L211" s="31"/>
      <c r="M211" s="32"/>
      <c r="N211" s="30"/>
      <c r="O211" s="30"/>
      <c r="P211" s="39"/>
      <c r="Q211" s="34"/>
      <c r="R211" s="35"/>
      <c r="S211" s="36"/>
      <c r="T211" s="35"/>
      <c r="U211" s="36"/>
      <c r="V211" s="37"/>
    </row>
    <row r="212" spans="1:22" x14ac:dyDescent="0.25">
      <c r="A212" s="27"/>
      <c r="B212" s="27"/>
      <c r="C212" s="27"/>
      <c r="D212" s="27"/>
      <c r="E212" s="27"/>
      <c r="F212" s="27"/>
      <c r="G212" s="27"/>
      <c r="H212" s="28"/>
      <c r="I212" s="27"/>
      <c r="J212" s="29"/>
      <c r="K212" s="30"/>
      <c r="L212" s="31"/>
      <c r="M212" s="32"/>
      <c r="N212" s="30"/>
      <c r="O212" s="30"/>
      <c r="P212" s="39"/>
      <c r="Q212" s="34"/>
      <c r="R212" s="35"/>
      <c r="S212" s="36"/>
      <c r="T212" s="35"/>
      <c r="U212" s="36"/>
      <c r="V212" s="37"/>
    </row>
    <row r="213" spans="1:22" x14ac:dyDescent="0.25">
      <c r="A213" s="27"/>
      <c r="B213" s="27"/>
      <c r="C213" s="27"/>
      <c r="D213" s="27"/>
      <c r="E213" s="27"/>
      <c r="F213" s="27"/>
      <c r="G213" s="27"/>
      <c r="H213" s="28"/>
      <c r="I213" s="27"/>
      <c r="J213" s="29"/>
      <c r="K213" s="30"/>
      <c r="L213" s="31"/>
      <c r="M213" s="32"/>
      <c r="N213" s="30"/>
      <c r="O213" s="30"/>
      <c r="P213" s="39"/>
      <c r="Q213" s="34"/>
      <c r="R213" s="35"/>
      <c r="S213" s="36"/>
      <c r="T213" s="35"/>
      <c r="U213" s="36"/>
      <c r="V213" s="37"/>
    </row>
    <row r="214" spans="1:22" x14ac:dyDescent="0.25">
      <c r="A214" s="27"/>
      <c r="B214" s="27"/>
      <c r="C214" s="27"/>
      <c r="D214" s="27"/>
      <c r="E214" s="27"/>
      <c r="F214" s="27"/>
      <c r="G214" s="27"/>
      <c r="H214" s="28"/>
      <c r="I214" s="27"/>
      <c r="J214" s="29"/>
      <c r="K214" s="30"/>
      <c r="L214" s="31"/>
      <c r="M214" s="32"/>
      <c r="N214" s="30"/>
      <c r="O214" s="30"/>
      <c r="P214" s="39"/>
      <c r="Q214" s="34"/>
      <c r="R214" s="35"/>
      <c r="S214" s="36"/>
      <c r="T214" s="35"/>
      <c r="U214" s="36"/>
      <c r="V214" s="37"/>
    </row>
    <row r="215" spans="1:22" x14ac:dyDescent="0.25">
      <c r="A215" s="27"/>
      <c r="B215" s="27"/>
      <c r="C215" s="27"/>
      <c r="D215" s="27"/>
      <c r="E215" s="27"/>
      <c r="F215" s="27"/>
      <c r="G215" s="27"/>
      <c r="H215" s="28"/>
      <c r="I215" s="27"/>
      <c r="J215" s="29"/>
      <c r="K215" s="30"/>
      <c r="L215" s="31"/>
      <c r="M215" s="32"/>
      <c r="N215" s="30"/>
      <c r="O215" s="30"/>
      <c r="P215" s="39"/>
      <c r="Q215" s="34"/>
      <c r="R215" s="35"/>
      <c r="S215" s="36"/>
      <c r="T215" s="35"/>
      <c r="U215" s="36"/>
      <c r="V215" s="37"/>
    </row>
    <row r="216" spans="1:22" x14ac:dyDescent="0.25">
      <c r="A216" s="27"/>
      <c r="B216" s="27"/>
      <c r="C216" s="27"/>
      <c r="D216" s="27"/>
      <c r="E216" s="27"/>
      <c r="F216" s="27"/>
      <c r="G216" s="27"/>
      <c r="H216" s="28"/>
      <c r="I216" s="27"/>
      <c r="J216" s="29"/>
      <c r="K216" s="30"/>
      <c r="L216" s="31"/>
      <c r="M216" s="32"/>
      <c r="N216" s="30"/>
      <c r="O216" s="30"/>
      <c r="P216" s="39"/>
      <c r="Q216" s="34"/>
      <c r="R216" s="35"/>
      <c r="S216" s="36"/>
      <c r="T216" s="35"/>
      <c r="U216" s="36"/>
      <c r="V216" s="37"/>
    </row>
    <row r="217" spans="1:22" x14ac:dyDescent="0.25">
      <c r="A217" s="27"/>
      <c r="B217" s="27"/>
      <c r="C217" s="27"/>
      <c r="D217" s="27"/>
      <c r="E217" s="27"/>
      <c r="F217" s="27"/>
      <c r="G217" s="27"/>
      <c r="H217" s="28"/>
      <c r="I217" s="27"/>
      <c r="J217" s="29"/>
      <c r="K217" s="30"/>
      <c r="L217" s="31"/>
      <c r="M217" s="32"/>
      <c r="N217" s="30"/>
      <c r="O217" s="30"/>
      <c r="P217" s="39"/>
      <c r="Q217" s="34"/>
      <c r="R217" s="35"/>
      <c r="S217" s="36"/>
      <c r="T217" s="35"/>
      <c r="U217" s="36"/>
      <c r="V217" s="37"/>
    </row>
    <row r="218" spans="1:22" x14ac:dyDescent="0.25">
      <c r="A218" s="27"/>
      <c r="B218" s="27"/>
      <c r="C218" s="27"/>
      <c r="D218" s="27"/>
      <c r="E218" s="27"/>
      <c r="F218" s="27"/>
      <c r="G218" s="27"/>
      <c r="H218" s="28"/>
      <c r="I218" s="27"/>
      <c r="J218" s="29"/>
      <c r="K218" s="30"/>
      <c r="L218" s="31"/>
      <c r="M218" s="32"/>
      <c r="N218" s="30"/>
      <c r="O218" s="30"/>
      <c r="P218" s="39"/>
      <c r="Q218" s="34"/>
      <c r="R218" s="35"/>
      <c r="S218" s="36"/>
      <c r="T218" s="35"/>
      <c r="U218" s="36"/>
      <c r="V218" s="37"/>
    </row>
    <row r="219" spans="1:22" x14ac:dyDescent="0.25">
      <c r="A219" s="27"/>
      <c r="B219" s="27"/>
      <c r="C219" s="27"/>
      <c r="D219" s="27"/>
      <c r="E219" s="27"/>
      <c r="F219" s="27"/>
      <c r="G219" s="27"/>
      <c r="H219" s="28"/>
      <c r="I219" s="27"/>
      <c r="J219" s="29"/>
      <c r="K219" s="30"/>
      <c r="L219" s="31"/>
      <c r="M219" s="32"/>
      <c r="N219" s="30"/>
      <c r="O219" s="30"/>
      <c r="P219" s="39"/>
      <c r="Q219" s="34"/>
      <c r="R219" s="35"/>
      <c r="S219" s="36"/>
      <c r="T219" s="35"/>
      <c r="U219" s="36"/>
      <c r="V219" s="37"/>
    </row>
    <row r="220" spans="1:22" x14ac:dyDescent="0.25">
      <c r="A220" s="27"/>
      <c r="B220" s="27"/>
      <c r="C220" s="27"/>
      <c r="D220" s="27"/>
      <c r="E220" s="27"/>
      <c r="F220" s="27"/>
      <c r="G220" s="27"/>
      <c r="H220" s="28"/>
      <c r="I220" s="27"/>
      <c r="J220" s="29"/>
      <c r="K220" s="30"/>
      <c r="L220" s="31"/>
      <c r="M220" s="32"/>
      <c r="N220" s="30"/>
      <c r="O220" s="30"/>
      <c r="P220" s="39"/>
      <c r="Q220" s="34"/>
      <c r="R220" s="35"/>
      <c r="S220" s="36"/>
      <c r="T220" s="35"/>
      <c r="U220" s="36"/>
      <c r="V220" s="37"/>
    </row>
    <row r="221" spans="1:22" x14ac:dyDescent="0.25">
      <c r="A221" s="27"/>
      <c r="B221" s="27"/>
      <c r="C221" s="27"/>
      <c r="D221" s="27"/>
      <c r="E221" s="27"/>
      <c r="F221" s="27"/>
      <c r="G221" s="27"/>
      <c r="H221" s="28"/>
      <c r="I221" s="27"/>
      <c r="J221" s="29"/>
      <c r="K221" s="30"/>
      <c r="L221" s="31"/>
      <c r="M221" s="32"/>
      <c r="N221" s="30"/>
      <c r="O221" s="30"/>
      <c r="P221" s="39"/>
      <c r="Q221" s="34"/>
      <c r="R221" s="35"/>
      <c r="S221" s="36"/>
      <c r="T221" s="35"/>
      <c r="U221" s="36"/>
      <c r="V221" s="37"/>
    </row>
    <row r="222" spans="1:22" x14ac:dyDescent="0.25">
      <c r="A222" s="27"/>
      <c r="B222" s="27"/>
      <c r="C222" s="27"/>
      <c r="D222" s="27"/>
      <c r="E222" s="27"/>
      <c r="F222" s="27"/>
      <c r="G222" s="27"/>
      <c r="H222" s="28"/>
      <c r="I222" s="27"/>
      <c r="J222" s="29"/>
      <c r="K222" s="30"/>
      <c r="L222" s="31"/>
      <c r="M222" s="32"/>
      <c r="N222" s="30"/>
      <c r="O222" s="30"/>
      <c r="P222" s="39"/>
      <c r="Q222" s="34"/>
      <c r="R222" s="35"/>
      <c r="S222" s="36"/>
      <c r="T222" s="35"/>
      <c r="U222" s="36"/>
      <c r="V222" s="37"/>
    </row>
    <row r="223" spans="1:22" x14ac:dyDescent="0.25">
      <c r="A223" s="27"/>
      <c r="B223" s="27"/>
      <c r="C223" s="27"/>
      <c r="D223" s="27"/>
      <c r="E223" s="27"/>
      <c r="F223" s="27"/>
      <c r="G223" s="27"/>
      <c r="H223" s="28"/>
      <c r="I223" s="27"/>
      <c r="J223" s="29"/>
      <c r="K223" s="30"/>
      <c r="L223" s="31"/>
      <c r="M223" s="32"/>
      <c r="N223" s="30"/>
      <c r="O223" s="30"/>
      <c r="P223" s="39"/>
      <c r="Q223" s="34"/>
      <c r="R223" s="35"/>
      <c r="S223" s="36"/>
      <c r="T223" s="35"/>
      <c r="U223" s="36"/>
      <c r="V223" s="37"/>
    </row>
    <row r="224" spans="1:22" x14ac:dyDescent="0.25">
      <c r="A224" s="27"/>
      <c r="B224" s="27"/>
      <c r="C224" s="27"/>
      <c r="D224" s="27"/>
      <c r="E224" s="27"/>
      <c r="F224" s="27"/>
      <c r="G224" s="27"/>
      <c r="H224" s="28"/>
      <c r="I224" s="27"/>
      <c r="J224" s="29"/>
      <c r="K224" s="30"/>
      <c r="L224" s="31"/>
      <c r="M224" s="32"/>
      <c r="N224" s="30"/>
      <c r="O224" s="30"/>
      <c r="P224" s="39"/>
      <c r="Q224" s="34"/>
      <c r="R224" s="35"/>
      <c r="S224" s="36"/>
      <c r="T224" s="35"/>
      <c r="U224" s="36"/>
      <c r="V224" s="37"/>
    </row>
    <row r="225" spans="1:22" x14ac:dyDescent="0.25">
      <c r="A225" s="27"/>
      <c r="B225" s="27"/>
      <c r="C225" s="27"/>
      <c r="D225" s="27"/>
      <c r="E225" s="27"/>
      <c r="F225" s="27"/>
      <c r="G225" s="27"/>
      <c r="H225" s="28"/>
      <c r="I225" s="27"/>
      <c r="J225" s="29"/>
      <c r="K225" s="30"/>
      <c r="L225" s="31"/>
      <c r="M225" s="32"/>
      <c r="N225" s="30"/>
      <c r="O225" s="30"/>
      <c r="P225" s="39"/>
      <c r="Q225" s="34"/>
      <c r="R225" s="35"/>
      <c r="S225" s="36"/>
      <c r="T225" s="35"/>
      <c r="U225" s="36"/>
      <c r="V225" s="37"/>
    </row>
    <row r="226" spans="1:22" x14ac:dyDescent="0.25">
      <c r="A226" s="27"/>
      <c r="B226" s="27"/>
      <c r="C226" s="27"/>
      <c r="D226" s="27"/>
      <c r="E226" s="27"/>
      <c r="F226" s="27"/>
      <c r="G226" s="27"/>
      <c r="H226" s="28"/>
      <c r="I226" s="27"/>
      <c r="J226" s="29"/>
      <c r="K226" s="30"/>
      <c r="L226" s="31"/>
      <c r="M226" s="32"/>
      <c r="N226" s="30"/>
      <c r="O226" s="30"/>
      <c r="P226" s="39"/>
      <c r="Q226" s="34"/>
      <c r="R226" s="35"/>
      <c r="S226" s="36"/>
      <c r="T226" s="35"/>
      <c r="U226" s="36"/>
      <c r="V226" s="37"/>
    </row>
    <row r="227" spans="1:22" x14ac:dyDescent="0.25">
      <c r="A227" s="27"/>
      <c r="B227" s="27"/>
      <c r="C227" s="27"/>
      <c r="D227" s="27"/>
      <c r="E227" s="27"/>
      <c r="F227" s="27"/>
      <c r="G227" s="27"/>
      <c r="H227" s="28"/>
      <c r="I227" s="27"/>
      <c r="J227" s="29"/>
      <c r="K227" s="30"/>
      <c r="L227" s="31"/>
      <c r="M227" s="32"/>
      <c r="N227" s="30"/>
      <c r="O227" s="30"/>
      <c r="P227" s="39"/>
      <c r="Q227" s="34"/>
      <c r="R227" s="35"/>
      <c r="S227" s="36"/>
      <c r="T227" s="35"/>
      <c r="U227" s="36"/>
      <c r="V227" s="37"/>
    </row>
    <row r="228" spans="1:22" x14ac:dyDescent="0.25">
      <c r="A228" s="27"/>
      <c r="B228" s="27"/>
      <c r="C228" s="27"/>
      <c r="D228" s="27"/>
      <c r="E228" s="27"/>
      <c r="F228" s="27"/>
      <c r="G228" s="27"/>
      <c r="H228" s="28"/>
      <c r="I228" s="27"/>
      <c r="J228" s="29"/>
      <c r="K228" s="30"/>
      <c r="L228" s="31"/>
      <c r="M228" s="32"/>
      <c r="N228" s="30"/>
      <c r="O228" s="30"/>
      <c r="P228" s="39"/>
      <c r="Q228" s="34"/>
      <c r="R228" s="35"/>
      <c r="S228" s="36"/>
      <c r="T228" s="35"/>
      <c r="U228" s="36"/>
      <c r="V228" s="37"/>
    </row>
    <row r="229" spans="1:22" x14ac:dyDescent="0.25">
      <c r="A229" s="27"/>
      <c r="B229" s="27"/>
      <c r="C229" s="27"/>
      <c r="D229" s="27"/>
      <c r="E229" s="27"/>
      <c r="F229" s="27"/>
      <c r="G229" s="27"/>
      <c r="H229" s="28"/>
      <c r="I229" s="27"/>
      <c r="J229" s="29"/>
      <c r="K229" s="30"/>
      <c r="L229" s="31"/>
      <c r="M229" s="32"/>
      <c r="N229" s="30"/>
      <c r="O229" s="30"/>
      <c r="P229" s="39"/>
      <c r="Q229" s="34"/>
      <c r="R229" s="35"/>
      <c r="S229" s="36"/>
      <c r="T229" s="35"/>
      <c r="U229" s="36"/>
      <c r="V229" s="37"/>
    </row>
    <row r="230" spans="1:22" x14ac:dyDescent="0.25">
      <c r="A230" s="27"/>
      <c r="B230" s="27"/>
      <c r="C230" s="27"/>
      <c r="D230" s="27"/>
      <c r="E230" s="27"/>
      <c r="F230" s="27"/>
      <c r="G230" s="27"/>
      <c r="H230" s="28"/>
      <c r="I230" s="27"/>
      <c r="J230" s="29"/>
      <c r="K230" s="30"/>
      <c r="L230" s="31"/>
      <c r="M230" s="32"/>
      <c r="N230" s="30"/>
      <c r="O230" s="30"/>
      <c r="P230" s="39"/>
      <c r="Q230" s="34"/>
      <c r="R230" s="35"/>
      <c r="S230" s="36"/>
      <c r="T230" s="35"/>
      <c r="U230" s="36"/>
      <c r="V230" s="37"/>
    </row>
    <row r="231" spans="1:22" x14ac:dyDescent="0.25">
      <c r="A231" s="27"/>
      <c r="B231" s="27"/>
      <c r="C231" s="27"/>
      <c r="D231" s="27"/>
      <c r="E231" s="27"/>
      <c r="F231" s="27"/>
      <c r="G231" s="27"/>
      <c r="H231" s="28"/>
      <c r="I231" s="27"/>
      <c r="J231" s="29"/>
      <c r="K231" s="30"/>
      <c r="L231" s="31"/>
      <c r="M231" s="32"/>
      <c r="N231" s="30"/>
      <c r="O231" s="30"/>
      <c r="P231" s="39"/>
      <c r="Q231" s="34"/>
      <c r="R231" s="35"/>
      <c r="S231" s="36"/>
      <c r="T231" s="35"/>
      <c r="U231" s="36"/>
      <c r="V231" s="37"/>
    </row>
    <row r="232" spans="1:22" x14ac:dyDescent="0.25">
      <c r="A232" s="27"/>
      <c r="B232" s="27"/>
      <c r="C232" s="27"/>
      <c r="D232" s="27"/>
      <c r="E232" s="27"/>
      <c r="F232" s="27"/>
      <c r="G232" s="27"/>
      <c r="H232" s="28"/>
      <c r="I232" s="27"/>
      <c r="J232" s="29"/>
      <c r="K232" s="30"/>
      <c r="L232" s="31"/>
      <c r="M232" s="32"/>
      <c r="N232" s="30"/>
      <c r="O232" s="30"/>
      <c r="P232" s="39"/>
      <c r="Q232" s="34"/>
      <c r="R232" s="35"/>
      <c r="S232" s="36"/>
      <c r="T232" s="35"/>
      <c r="U232" s="36"/>
      <c r="V232" s="37"/>
    </row>
    <row r="233" spans="1:22" x14ac:dyDescent="0.25">
      <c r="A233" s="27"/>
      <c r="B233" s="27"/>
      <c r="C233" s="27"/>
      <c r="D233" s="27"/>
      <c r="E233" s="27"/>
      <c r="F233" s="27"/>
      <c r="G233" s="27"/>
      <c r="H233" s="28"/>
      <c r="I233" s="27"/>
      <c r="J233" s="29"/>
      <c r="K233" s="30"/>
      <c r="L233" s="31"/>
      <c r="M233" s="32"/>
      <c r="N233" s="30"/>
      <c r="O233" s="30"/>
      <c r="P233" s="39"/>
      <c r="Q233" s="34"/>
      <c r="R233" s="35"/>
      <c r="S233" s="36"/>
      <c r="T233" s="35"/>
      <c r="U233" s="36"/>
      <c r="V233" s="37"/>
    </row>
    <row r="234" spans="1:22" x14ac:dyDescent="0.25">
      <c r="A234" s="27"/>
      <c r="B234" s="27"/>
      <c r="C234" s="27"/>
      <c r="D234" s="27"/>
      <c r="E234" s="27"/>
      <c r="F234" s="27"/>
      <c r="G234" s="27"/>
      <c r="H234" s="28"/>
      <c r="I234" s="27"/>
      <c r="J234" s="29"/>
      <c r="K234" s="30"/>
      <c r="L234" s="31"/>
      <c r="M234" s="32"/>
      <c r="N234" s="30"/>
      <c r="O234" s="30"/>
      <c r="P234" s="39"/>
      <c r="Q234" s="34"/>
      <c r="R234" s="35"/>
      <c r="S234" s="36"/>
      <c r="T234" s="35"/>
      <c r="U234" s="36"/>
      <c r="V234" s="37"/>
    </row>
    <row r="235" spans="1:22" x14ac:dyDescent="0.25">
      <c r="A235" s="27"/>
      <c r="B235" s="27"/>
      <c r="C235" s="27"/>
      <c r="D235" s="27"/>
      <c r="E235" s="27"/>
      <c r="F235" s="27"/>
      <c r="G235" s="27"/>
      <c r="H235" s="28"/>
      <c r="I235" s="27"/>
      <c r="J235" s="29"/>
      <c r="K235" s="30"/>
      <c r="L235" s="31"/>
      <c r="M235" s="32"/>
      <c r="N235" s="30"/>
      <c r="O235" s="30"/>
      <c r="P235" s="39"/>
      <c r="Q235" s="34"/>
      <c r="R235" s="35"/>
      <c r="S235" s="36"/>
      <c r="T235" s="35"/>
      <c r="U235" s="36"/>
      <c r="V235" s="37"/>
    </row>
    <row r="236" spans="1:22" x14ac:dyDescent="0.25">
      <c r="A236" s="27"/>
      <c r="B236" s="27"/>
      <c r="C236" s="27"/>
      <c r="D236" s="27"/>
      <c r="E236" s="27"/>
      <c r="F236" s="27"/>
      <c r="G236" s="27"/>
      <c r="H236" s="28"/>
      <c r="I236" s="27"/>
      <c r="J236" s="29"/>
      <c r="K236" s="30"/>
      <c r="L236" s="31"/>
      <c r="M236" s="32"/>
      <c r="N236" s="30"/>
      <c r="O236" s="30"/>
      <c r="P236" s="39"/>
      <c r="Q236" s="34"/>
      <c r="R236" s="35"/>
      <c r="S236" s="36"/>
      <c r="T236" s="35"/>
      <c r="U236" s="36"/>
      <c r="V236" s="37"/>
    </row>
    <row r="237" spans="1:22" x14ac:dyDescent="0.25">
      <c r="A237" s="27"/>
      <c r="B237" s="27"/>
      <c r="C237" s="27"/>
      <c r="D237" s="27"/>
      <c r="E237" s="27"/>
      <c r="F237" s="27"/>
      <c r="G237" s="27"/>
      <c r="H237" s="28"/>
      <c r="I237" s="27"/>
      <c r="J237" s="29"/>
      <c r="K237" s="30"/>
      <c r="L237" s="31"/>
      <c r="M237" s="32"/>
      <c r="N237" s="30"/>
      <c r="O237" s="30"/>
      <c r="P237" s="39"/>
      <c r="Q237" s="34"/>
      <c r="R237" s="35"/>
      <c r="S237" s="36"/>
      <c r="T237" s="35"/>
      <c r="U237" s="36"/>
      <c r="V237" s="37"/>
    </row>
    <row r="238" spans="1:22" x14ac:dyDescent="0.25">
      <c r="A238" s="27"/>
      <c r="B238" s="27"/>
      <c r="C238" s="27"/>
      <c r="D238" s="27"/>
      <c r="E238" s="27"/>
      <c r="F238" s="27"/>
      <c r="G238" s="27"/>
      <c r="H238" s="28"/>
      <c r="I238" s="27"/>
      <c r="J238" s="29"/>
      <c r="K238" s="30"/>
      <c r="L238" s="31"/>
      <c r="M238" s="32"/>
      <c r="N238" s="30"/>
      <c r="O238" s="30"/>
      <c r="P238" s="39"/>
      <c r="Q238" s="34"/>
      <c r="R238" s="35"/>
      <c r="S238" s="36"/>
      <c r="T238" s="35"/>
      <c r="U238" s="36"/>
      <c r="V238" s="37"/>
    </row>
    <row r="239" spans="1:22" x14ac:dyDescent="0.25">
      <c r="A239" s="27"/>
      <c r="B239" s="27"/>
      <c r="C239" s="27"/>
      <c r="D239" s="27"/>
      <c r="E239" s="27"/>
      <c r="F239" s="27"/>
      <c r="G239" s="27"/>
      <c r="H239" s="28"/>
      <c r="I239" s="27"/>
      <c r="J239" s="29"/>
      <c r="K239" s="30"/>
      <c r="L239" s="31"/>
      <c r="M239" s="32"/>
      <c r="N239" s="30"/>
      <c r="O239" s="30"/>
      <c r="P239" s="39"/>
      <c r="Q239" s="34"/>
      <c r="R239" s="35"/>
      <c r="S239" s="36"/>
      <c r="T239" s="35"/>
      <c r="U239" s="36"/>
      <c r="V239" s="37"/>
    </row>
    <row r="240" spans="1:22" x14ac:dyDescent="0.25">
      <c r="A240" s="27"/>
      <c r="B240" s="27"/>
      <c r="C240" s="27"/>
      <c r="D240" s="27"/>
      <c r="E240" s="27"/>
      <c r="F240" s="27"/>
      <c r="G240" s="27"/>
      <c r="H240" s="28"/>
      <c r="I240" s="27"/>
      <c r="J240" s="29"/>
      <c r="K240" s="30"/>
      <c r="L240" s="31"/>
      <c r="M240" s="32"/>
      <c r="N240" s="30"/>
      <c r="O240" s="30"/>
      <c r="P240" s="39"/>
      <c r="Q240" s="34"/>
      <c r="R240" s="35"/>
      <c r="S240" s="36"/>
      <c r="T240" s="35"/>
      <c r="U240" s="36"/>
      <c r="V240" s="37"/>
    </row>
    <row r="241" spans="1:22" x14ac:dyDescent="0.25">
      <c r="A241" s="27"/>
      <c r="B241" s="27"/>
      <c r="C241" s="27"/>
      <c r="D241" s="27"/>
      <c r="E241" s="27"/>
      <c r="F241" s="27"/>
      <c r="G241" s="27"/>
      <c r="H241" s="28"/>
      <c r="I241" s="27"/>
      <c r="J241" s="29"/>
      <c r="K241" s="30"/>
      <c r="L241" s="31"/>
      <c r="M241" s="32"/>
      <c r="N241" s="30"/>
      <c r="O241" s="30"/>
      <c r="P241" s="39"/>
      <c r="Q241" s="34"/>
      <c r="R241" s="35"/>
      <c r="S241" s="36"/>
      <c r="T241" s="35"/>
      <c r="U241" s="36"/>
      <c r="V241" s="37"/>
    </row>
    <row r="242" spans="1:22" x14ac:dyDescent="0.25">
      <c r="A242" s="27"/>
      <c r="B242" s="27"/>
      <c r="C242" s="27"/>
      <c r="D242" s="27"/>
      <c r="E242" s="27"/>
      <c r="F242" s="27"/>
      <c r="G242" s="27"/>
      <c r="H242" s="28"/>
      <c r="I242" s="27"/>
      <c r="J242" s="29"/>
      <c r="K242" s="30"/>
      <c r="L242" s="31"/>
      <c r="M242" s="32"/>
      <c r="N242" s="30"/>
      <c r="O242" s="30"/>
      <c r="P242" s="39"/>
      <c r="Q242" s="34"/>
      <c r="R242" s="35"/>
      <c r="S242" s="36"/>
      <c r="T242" s="35"/>
      <c r="U242" s="36"/>
      <c r="V242" s="37"/>
    </row>
    <row r="243" spans="1:22" x14ac:dyDescent="0.25">
      <c r="A243" s="27"/>
      <c r="B243" s="27"/>
      <c r="C243" s="27"/>
      <c r="D243" s="27"/>
      <c r="E243" s="27"/>
      <c r="F243" s="27"/>
      <c r="G243" s="27"/>
      <c r="H243" s="28"/>
      <c r="I243" s="27"/>
      <c r="J243" s="29"/>
      <c r="K243" s="30"/>
      <c r="L243" s="31"/>
      <c r="M243" s="32"/>
      <c r="N243" s="30"/>
      <c r="O243" s="30"/>
      <c r="P243" s="39"/>
      <c r="Q243" s="34"/>
      <c r="R243" s="35"/>
      <c r="S243" s="36"/>
      <c r="T243" s="35"/>
      <c r="U243" s="36"/>
      <c r="V243" s="37"/>
    </row>
    <row r="244" spans="1:22" x14ac:dyDescent="0.25">
      <c r="A244" s="27"/>
      <c r="B244" s="27"/>
      <c r="C244" s="27"/>
      <c r="D244" s="27"/>
      <c r="E244" s="27"/>
      <c r="F244" s="27"/>
      <c r="G244" s="27"/>
      <c r="H244" s="28"/>
      <c r="I244" s="27"/>
      <c r="J244" s="29"/>
      <c r="K244" s="30"/>
      <c r="L244" s="31"/>
      <c r="M244" s="32"/>
      <c r="N244" s="30"/>
      <c r="O244" s="30"/>
      <c r="P244" s="39"/>
      <c r="Q244" s="34"/>
      <c r="R244" s="35"/>
      <c r="S244" s="36"/>
      <c r="T244" s="35"/>
      <c r="U244" s="36"/>
      <c r="V244" s="37"/>
    </row>
    <row r="245" spans="1:22" x14ac:dyDescent="0.25">
      <c r="A245" s="27"/>
      <c r="B245" s="27"/>
      <c r="C245" s="27"/>
      <c r="D245" s="27"/>
      <c r="E245" s="27"/>
      <c r="F245" s="27"/>
      <c r="G245" s="27"/>
      <c r="H245" s="28"/>
      <c r="I245" s="27"/>
      <c r="J245" s="29"/>
      <c r="K245" s="30"/>
      <c r="L245" s="31"/>
      <c r="M245" s="32"/>
      <c r="N245" s="30"/>
      <c r="O245" s="30"/>
      <c r="P245" s="39"/>
      <c r="Q245" s="34"/>
      <c r="R245" s="35"/>
      <c r="S245" s="36"/>
      <c r="T245" s="35"/>
      <c r="U245" s="36"/>
      <c r="V245" s="37"/>
    </row>
    <row r="246" spans="1:22" x14ac:dyDescent="0.25">
      <c r="A246" s="27"/>
      <c r="B246" s="27"/>
      <c r="C246" s="27"/>
      <c r="D246" s="27"/>
      <c r="E246" s="27"/>
      <c r="F246" s="27"/>
      <c r="G246" s="27"/>
      <c r="H246" s="28"/>
      <c r="I246" s="27"/>
      <c r="J246" s="29"/>
      <c r="K246" s="30"/>
      <c r="L246" s="31"/>
      <c r="M246" s="32"/>
      <c r="N246" s="30"/>
      <c r="O246" s="30"/>
      <c r="P246" s="39"/>
      <c r="Q246" s="34"/>
      <c r="R246" s="35"/>
      <c r="S246" s="36"/>
      <c r="T246" s="35"/>
      <c r="U246" s="36"/>
      <c r="V246" s="37"/>
    </row>
    <row r="247" spans="1:22" x14ac:dyDescent="0.25">
      <c r="A247" s="27"/>
      <c r="B247" s="27"/>
      <c r="C247" s="27"/>
      <c r="D247" s="27"/>
      <c r="E247" s="27"/>
      <c r="F247" s="27"/>
      <c r="G247" s="27"/>
      <c r="H247" s="28"/>
      <c r="I247" s="27"/>
      <c r="J247" s="29"/>
      <c r="K247" s="30"/>
      <c r="L247" s="31"/>
      <c r="M247" s="32"/>
      <c r="N247" s="30"/>
      <c r="O247" s="30"/>
      <c r="P247" s="39"/>
      <c r="Q247" s="34"/>
      <c r="R247" s="35"/>
      <c r="S247" s="36"/>
      <c r="T247" s="35"/>
      <c r="U247" s="36"/>
      <c r="V247" s="37"/>
    </row>
    <row r="248" spans="1:22" x14ac:dyDescent="0.25">
      <c r="A248" s="27"/>
      <c r="B248" s="27"/>
      <c r="C248" s="27"/>
      <c r="D248" s="27"/>
      <c r="E248" s="27"/>
      <c r="F248" s="27"/>
      <c r="G248" s="27"/>
      <c r="H248" s="28"/>
      <c r="I248" s="27"/>
      <c r="J248" s="29"/>
      <c r="K248" s="30"/>
      <c r="L248" s="31"/>
      <c r="M248" s="32"/>
      <c r="N248" s="30"/>
      <c r="O248" s="30"/>
      <c r="P248" s="39"/>
      <c r="Q248" s="34"/>
      <c r="R248" s="35"/>
      <c r="S248" s="36"/>
      <c r="T248" s="35"/>
      <c r="U248" s="36"/>
      <c r="V248" s="37"/>
    </row>
    <row r="249" spans="1:22" x14ac:dyDescent="0.25">
      <c r="A249" s="27"/>
      <c r="B249" s="27"/>
      <c r="C249" s="27"/>
      <c r="D249" s="27"/>
      <c r="E249" s="27"/>
      <c r="F249" s="27"/>
      <c r="G249" s="27"/>
      <c r="H249" s="28"/>
      <c r="I249" s="27"/>
      <c r="J249" s="29"/>
      <c r="K249" s="30"/>
      <c r="L249" s="31"/>
      <c r="M249" s="32"/>
      <c r="N249" s="30"/>
      <c r="O249" s="30"/>
      <c r="P249" s="39"/>
      <c r="Q249" s="34"/>
      <c r="R249" s="35"/>
      <c r="S249" s="36"/>
      <c r="T249" s="35"/>
      <c r="U249" s="36"/>
      <c r="V249" s="37"/>
    </row>
    <row r="250" spans="1:22" x14ac:dyDescent="0.25">
      <c r="A250" s="27"/>
      <c r="B250" s="27"/>
      <c r="C250" s="27"/>
      <c r="D250" s="27"/>
      <c r="E250" s="27"/>
      <c r="F250" s="27"/>
      <c r="G250" s="27"/>
      <c r="H250" s="28"/>
      <c r="I250" s="27"/>
      <c r="J250" s="29"/>
      <c r="K250" s="30"/>
      <c r="L250" s="31"/>
      <c r="M250" s="32"/>
      <c r="N250" s="30"/>
      <c r="O250" s="30"/>
      <c r="P250" s="39"/>
      <c r="Q250" s="34"/>
      <c r="R250" s="35"/>
      <c r="S250" s="36"/>
      <c r="T250" s="35"/>
      <c r="U250" s="36"/>
      <c r="V250" s="37"/>
    </row>
    <row r="251" spans="1:22" x14ac:dyDescent="0.25">
      <c r="A251" s="27"/>
      <c r="B251" s="27"/>
      <c r="C251" s="27"/>
      <c r="D251" s="27"/>
      <c r="E251" s="27"/>
      <c r="F251" s="27"/>
      <c r="G251" s="27"/>
      <c r="H251" s="28"/>
      <c r="I251" s="27"/>
      <c r="J251" s="29"/>
      <c r="K251" s="30"/>
      <c r="L251" s="31"/>
      <c r="M251" s="32"/>
      <c r="N251" s="30"/>
      <c r="O251" s="30"/>
      <c r="P251" s="39"/>
      <c r="Q251" s="34"/>
      <c r="R251" s="35"/>
      <c r="S251" s="36"/>
      <c r="T251" s="35"/>
      <c r="U251" s="36"/>
      <c r="V251" s="37"/>
    </row>
    <row r="252" spans="1:22" x14ac:dyDescent="0.25">
      <c r="A252" s="27"/>
      <c r="B252" s="27"/>
      <c r="C252" s="27"/>
      <c r="D252" s="27"/>
      <c r="E252" s="27"/>
      <c r="F252" s="27"/>
      <c r="G252" s="27"/>
      <c r="H252" s="28"/>
      <c r="I252" s="27"/>
      <c r="J252" s="29"/>
      <c r="K252" s="30"/>
      <c r="L252" s="31"/>
      <c r="M252" s="32"/>
      <c r="N252" s="30"/>
      <c r="O252" s="30"/>
      <c r="P252" s="39"/>
      <c r="Q252" s="34"/>
      <c r="R252" s="35"/>
      <c r="S252" s="36"/>
      <c r="T252" s="35"/>
      <c r="U252" s="36"/>
      <c r="V252" s="37"/>
    </row>
    <row r="253" spans="1:22" x14ac:dyDescent="0.25">
      <c r="A253" s="27"/>
      <c r="B253" s="27"/>
      <c r="C253" s="27"/>
      <c r="D253" s="27"/>
      <c r="E253" s="27"/>
      <c r="F253" s="27"/>
      <c r="G253" s="27"/>
      <c r="H253" s="28"/>
      <c r="I253" s="27"/>
      <c r="J253" s="29"/>
      <c r="K253" s="30"/>
      <c r="L253" s="31"/>
      <c r="M253" s="32"/>
      <c r="N253" s="30"/>
      <c r="O253" s="30"/>
      <c r="P253" s="39"/>
      <c r="Q253" s="34"/>
      <c r="R253" s="35"/>
      <c r="S253" s="36"/>
      <c r="T253" s="35"/>
      <c r="U253" s="36"/>
      <c r="V253" s="37"/>
    </row>
    <row r="254" spans="1:22" x14ac:dyDescent="0.25">
      <c r="A254" s="27"/>
      <c r="B254" s="27"/>
      <c r="C254" s="27"/>
      <c r="D254" s="27"/>
      <c r="E254" s="27"/>
      <c r="F254" s="27"/>
      <c r="G254" s="27"/>
      <c r="H254" s="28"/>
      <c r="I254" s="27"/>
      <c r="J254" s="29"/>
      <c r="K254" s="30"/>
      <c r="L254" s="31"/>
      <c r="M254" s="32"/>
      <c r="N254" s="30"/>
      <c r="O254" s="30"/>
      <c r="P254" s="39"/>
      <c r="Q254" s="34"/>
      <c r="R254" s="35"/>
      <c r="S254" s="36"/>
      <c r="T254" s="35"/>
      <c r="U254" s="36"/>
      <c r="V254" s="37"/>
    </row>
    <row r="255" spans="1:22" x14ac:dyDescent="0.25">
      <c r="A255" s="27"/>
      <c r="B255" s="27"/>
      <c r="C255" s="27"/>
      <c r="D255" s="27"/>
      <c r="E255" s="27"/>
      <c r="F255" s="27"/>
      <c r="G255" s="27"/>
      <c r="H255" s="28"/>
      <c r="I255" s="27"/>
      <c r="J255" s="29"/>
      <c r="K255" s="30"/>
      <c r="L255" s="31"/>
      <c r="M255" s="32"/>
      <c r="N255" s="30"/>
      <c r="O255" s="30"/>
      <c r="P255" s="39"/>
      <c r="Q255" s="34"/>
      <c r="R255" s="35"/>
      <c r="S255" s="36"/>
      <c r="T255" s="35"/>
      <c r="U255" s="36"/>
      <c r="V255" s="37"/>
    </row>
    <row r="256" spans="1:22" x14ac:dyDescent="0.25">
      <c r="A256" s="27"/>
      <c r="B256" s="27"/>
      <c r="C256" s="27"/>
      <c r="D256" s="27"/>
      <c r="E256" s="27"/>
      <c r="F256" s="27"/>
      <c r="G256" s="27"/>
      <c r="H256" s="28"/>
      <c r="I256" s="27"/>
      <c r="J256" s="29"/>
      <c r="K256" s="30"/>
      <c r="L256" s="31"/>
      <c r="M256" s="32"/>
      <c r="N256" s="30"/>
      <c r="O256" s="30"/>
      <c r="P256" s="39"/>
      <c r="Q256" s="34"/>
      <c r="R256" s="35"/>
      <c r="S256" s="36"/>
      <c r="T256" s="35"/>
      <c r="U256" s="36"/>
      <c r="V256" s="37"/>
    </row>
    <row r="257" spans="1:22" x14ac:dyDescent="0.25">
      <c r="A257" s="27"/>
      <c r="B257" s="27"/>
      <c r="C257" s="27"/>
      <c r="D257" s="27"/>
      <c r="E257" s="27"/>
      <c r="F257" s="27"/>
      <c r="G257" s="27"/>
      <c r="H257" s="28"/>
      <c r="I257" s="27"/>
      <c r="J257" s="29"/>
      <c r="K257" s="30"/>
      <c r="L257" s="31"/>
      <c r="M257" s="32"/>
      <c r="N257" s="30"/>
      <c r="O257" s="30"/>
      <c r="P257" s="39"/>
      <c r="Q257" s="34"/>
      <c r="R257" s="35"/>
      <c r="S257" s="36"/>
      <c r="T257" s="35"/>
      <c r="U257" s="36"/>
      <c r="V257" s="37"/>
    </row>
    <row r="258" spans="1:22" x14ac:dyDescent="0.25">
      <c r="A258" s="27"/>
      <c r="B258" s="27"/>
      <c r="C258" s="27"/>
      <c r="D258" s="27"/>
      <c r="E258" s="27"/>
      <c r="F258" s="27"/>
      <c r="G258" s="27"/>
      <c r="H258" s="28"/>
      <c r="I258" s="27"/>
      <c r="J258" s="29"/>
      <c r="K258" s="30"/>
      <c r="L258" s="31"/>
      <c r="M258" s="32"/>
      <c r="N258" s="30"/>
      <c r="O258" s="30"/>
      <c r="P258" s="39"/>
      <c r="Q258" s="34"/>
      <c r="R258" s="35"/>
      <c r="S258" s="36"/>
      <c r="T258" s="35"/>
      <c r="U258" s="36"/>
      <c r="V258" s="37"/>
    </row>
    <row r="259" spans="1:22" x14ac:dyDescent="0.25">
      <c r="A259" s="27"/>
      <c r="B259" s="27"/>
      <c r="C259" s="27"/>
      <c r="D259" s="27"/>
      <c r="E259" s="27"/>
      <c r="F259" s="27"/>
      <c r="G259" s="27"/>
      <c r="H259" s="28"/>
      <c r="I259" s="27"/>
      <c r="J259" s="29"/>
      <c r="K259" s="30"/>
      <c r="L259" s="31"/>
      <c r="M259" s="32"/>
      <c r="N259" s="30"/>
      <c r="O259" s="30"/>
      <c r="P259" s="39"/>
      <c r="Q259" s="34"/>
      <c r="R259" s="35"/>
      <c r="S259" s="36"/>
      <c r="T259" s="35"/>
      <c r="U259" s="36"/>
      <c r="V259" s="37"/>
    </row>
    <row r="260" spans="1:22" x14ac:dyDescent="0.25">
      <c r="A260" s="27"/>
      <c r="B260" s="27"/>
      <c r="C260" s="27"/>
      <c r="D260" s="27"/>
      <c r="E260" s="27"/>
      <c r="F260" s="27"/>
      <c r="G260" s="27"/>
      <c r="H260" s="28"/>
      <c r="I260" s="27"/>
      <c r="J260" s="29"/>
      <c r="K260" s="30"/>
      <c r="L260" s="31"/>
      <c r="M260" s="32"/>
      <c r="N260" s="30"/>
      <c r="O260" s="30"/>
      <c r="P260" s="39"/>
      <c r="Q260" s="34"/>
      <c r="R260" s="35"/>
      <c r="S260" s="36"/>
      <c r="T260" s="35"/>
      <c r="U260" s="36"/>
      <c r="V260" s="37"/>
    </row>
    <row r="261" spans="1:22" x14ac:dyDescent="0.25">
      <c r="A261" s="27"/>
      <c r="B261" s="27"/>
      <c r="C261" s="27"/>
      <c r="D261" s="27"/>
      <c r="E261" s="27"/>
      <c r="F261" s="27"/>
      <c r="G261" s="27"/>
      <c r="H261" s="28"/>
      <c r="I261" s="27"/>
      <c r="J261" s="29"/>
      <c r="K261" s="30"/>
      <c r="L261" s="31"/>
      <c r="M261" s="32"/>
      <c r="N261" s="30"/>
      <c r="O261" s="30"/>
      <c r="P261" s="39"/>
      <c r="Q261" s="34"/>
      <c r="R261" s="35"/>
      <c r="S261" s="36"/>
      <c r="T261" s="35"/>
      <c r="U261" s="36"/>
      <c r="V261" s="37"/>
    </row>
    <row r="262" spans="1:22" x14ac:dyDescent="0.25">
      <c r="A262" s="27"/>
      <c r="B262" s="27"/>
      <c r="C262" s="27"/>
      <c r="D262" s="27"/>
      <c r="E262" s="27"/>
      <c r="F262" s="27"/>
      <c r="G262" s="27"/>
      <c r="H262" s="28"/>
      <c r="I262" s="27"/>
      <c r="J262" s="29"/>
      <c r="K262" s="30"/>
      <c r="L262" s="31"/>
      <c r="M262" s="32"/>
      <c r="N262" s="30"/>
      <c r="O262" s="30"/>
      <c r="P262" s="39"/>
      <c r="Q262" s="34"/>
      <c r="R262" s="35"/>
      <c r="S262" s="36"/>
      <c r="T262" s="35"/>
      <c r="U262" s="36"/>
      <c r="V262" s="37"/>
    </row>
    <row r="263" spans="1:22" x14ac:dyDescent="0.25">
      <c r="A263" s="27"/>
      <c r="B263" s="27"/>
      <c r="C263" s="27"/>
      <c r="D263" s="27"/>
      <c r="E263" s="27"/>
      <c r="F263" s="27"/>
      <c r="G263" s="27"/>
      <c r="H263" s="28"/>
      <c r="I263" s="27"/>
      <c r="J263" s="29"/>
      <c r="K263" s="30"/>
      <c r="L263" s="31"/>
      <c r="M263" s="32"/>
      <c r="N263" s="30"/>
      <c r="O263" s="30"/>
      <c r="P263" s="39"/>
      <c r="Q263" s="34"/>
      <c r="R263" s="35"/>
      <c r="S263" s="36"/>
      <c r="T263" s="35"/>
      <c r="U263" s="36"/>
      <c r="V263" s="37"/>
    </row>
    <row r="264" spans="1:22" x14ac:dyDescent="0.25">
      <c r="A264" s="27"/>
      <c r="B264" s="27"/>
      <c r="C264" s="27"/>
      <c r="D264" s="27"/>
      <c r="E264" s="27"/>
      <c r="F264" s="27"/>
      <c r="G264" s="27"/>
      <c r="H264" s="28"/>
      <c r="I264" s="27"/>
      <c r="J264" s="29"/>
      <c r="K264" s="30"/>
      <c r="L264" s="31"/>
      <c r="M264" s="32"/>
      <c r="N264" s="30"/>
      <c r="O264" s="30"/>
      <c r="P264" s="39"/>
      <c r="Q264" s="34"/>
      <c r="R264" s="35"/>
      <c r="S264" s="36"/>
      <c r="T264" s="35"/>
      <c r="U264" s="36"/>
      <c r="V264" s="37"/>
    </row>
    <row r="265" spans="1:22" x14ac:dyDescent="0.25">
      <c r="A265" s="27"/>
      <c r="B265" s="27"/>
      <c r="C265" s="27"/>
      <c r="D265" s="27"/>
      <c r="E265" s="27"/>
      <c r="F265" s="27"/>
      <c r="G265" s="27"/>
      <c r="H265" s="28"/>
      <c r="I265" s="27"/>
      <c r="J265" s="29"/>
      <c r="K265" s="30"/>
      <c r="L265" s="31"/>
      <c r="M265" s="32"/>
      <c r="N265" s="30"/>
      <c r="O265" s="30"/>
      <c r="P265" s="39"/>
      <c r="Q265" s="34"/>
      <c r="R265" s="35"/>
      <c r="S265" s="36"/>
      <c r="T265" s="35"/>
      <c r="U265" s="36"/>
      <c r="V265" s="37"/>
    </row>
    <row r="266" spans="1:22" x14ac:dyDescent="0.25">
      <c r="A266" s="27"/>
      <c r="B266" s="27"/>
      <c r="C266" s="27"/>
      <c r="D266" s="27"/>
      <c r="E266" s="27"/>
      <c r="F266" s="27"/>
      <c r="G266" s="27"/>
      <c r="H266" s="28"/>
      <c r="I266" s="27"/>
      <c r="J266" s="29"/>
      <c r="K266" s="30"/>
      <c r="L266" s="31"/>
      <c r="M266" s="32"/>
      <c r="N266" s="30"/>
      <c r="O266" s="30"/>
      <c r="P266" s="39"/>
      <c r="Q266" s="34"/>
      <c r="R266" s="35"/>
      <c r="S266" s="36"/>
      <c r="T266" s="35"/>
      <c r="U266" s="36"/>
      <c r="V266" s="37"/>
    </row>
    <row r="267" spans="1:22" x14ac:dyDescent="0.25">
      <c r="A267" s="27"/>
      <c r="B267" s="27"/>
      <c r="C267" s="27"/>
      <c r="D267" s="27"/>
      <c r="E267" s="27"/>
      <c r="F267" s="27"/>
      <c r="G267" s="27"/>
      <c r="H267" s="28"/>
      <c r="I267" s="27"/>
      <c r="J267" s="29"/>
      <c r="K267" s="30"/>
      <c r="L267" s="31"/>
      <c r="M267" s="32"/>
      <c r="N267" s="30"/>
      <c r="O267" s="30"/>
      <c r="P267" s="39"/>
      <c r="Q267" s="34"/>
      <c r="R267" s="35"/>
      <c r="S267" s="36"/>
      <c r="T267" s="35"/>
      <c r="U267" s="36"/>
      <c r="V267" s="37"/>
    </row>
    <row r="268" spans="1:22" x14ac:dyDescent="0.25">
      <c r="A268" s="27"/>
      <c r="B268" s="27"/>
      <c r="C268" s="27"/>
      <c r="D268" s="27"/>
      <c r="E268" s="27"/>
      <c r="F268" s="27"/>
      <c r="G268" s="27"/>
      <c r="H268" s="28"/>
      <c r="I268" s="27"/>
      <c r="J268" s="29"/>
      <c r="K268" s="30"/>
      <c r="L268" s="31"/>
      <c r="M268" s="32"/>
      <c r="N268" s="30"/>
      <c r="O268" s="30"/>
      <c r="P268" s="39"/>
      <c r="Q268" s="34"/>
      <c r="R268" s="35"/>
      <c r="S268" s="36"/>
      <c r="T268" s="35"/>
      <c r="U268" s="36"/>
      <c r="V268" s="37"/>
    </row>
    <row r="269" spans="1:22" x14ac:dyDescent="0.25">
      <c r="A269" s="27"/>
      <c r="B269" s="27"/>
      <c r="C269" s="27"/>
      <c r="D269" s="27"/>
      <c r="E269" s="27"/>
      <c r="F269" s="27"/>
      <c r="G269" s="27"/>
      <c r="H269" s="28"/>
      <c r="I269" s="27"/>
      <c r="J269" s="29"/>
      <c r="K269" s="30"/>
      <c r="L269" s="31"/>
      <c r="M269" s="32"/>
      <c r="N269" s="30"/>
      <c r="O269" s="30"/>
      <c r="P269" s="39"/>
      <c r="Q269" s="34"/>
      <c r="R269" s="35"/>
      <c r="S269" s="36"/>
      <c r="T269" s="35"/>
      <c r="U269" s="36"/>
      <c r="V269" s="37"/>
    </row>
    <row r="270" spans="1:22" x14ac:dyDescent="0.25">
      <c r="A270" s="27"/>
      <c r="B270" s="27"/>
      <c r="C270" s="27"/>
      <c r="D270" s="27"/>
      <c r="E270" s="27"/>
      <c r="F270" s="27"/>
      <c r="G270" s="27"/>
      <c r="H270" s="28"/>
      <c r="I270" s="27"/>
      <c r="J270" s="29"/>
      <c r="K270" s="30"/>
      <c r="L270" s="31"/>
      <c r="M270" s="32"/>
      <c r="N270" s="30"/>
      <c r="O270" s="30"/>
      <c r="P270" s="39"/>
      <c r="Q270" s="34"/>
      <c r="R270" s="35"/>
      <c r="S270" s="36"/>
      <c r="T270" s="35"/>
      <c r="U270" s="36"/>
      <c r="V270" s="37"/>
    </row>
    <row r="271" spans="1:22" x14ac:dyDescent="0.25">
      <c r="A271" s="27"/>
      <c r="B271" s="27"/>
      <c r="C271" s="27"/>
      <c r="D271" s="27"/>
      <c r="E271" s="27"/>
      <c r="F271" s="27"/>
      <c r="G271" s="27"/>
      <c r="H271" s="28"/>
      <c r="I271" s="27"/>
      <c r="J271" s="29"/>
      <c r="K271" s="30"/>
      <c r="L271" s="31"/>
      <c r="M271" s="32"/>
      <c r="N271" s="30"/>
      <c r="O271" s="30"/>
      <c r="P271" s="39"/>
      <c r="Q271" s="34"/>
      <c r="R271" s="35"/>
      <c r="S271" s="36"/>
      <c r="T271" s="35"/>
      <c r="U271" s="36"/>
      <c r="V271" s="37"/>
    </row>
    <row r="272" spans="1:22" x14ac:dyDescent="0.25">
      <c r="A272" s="27"/>
      <c r="B272" s="27"/>
      <c r="C272" s="27"/>
      <c r="D272" s="27"/>
      <c r="E272" s="27"/>
      <c r="F272" s="27"/>
      <c r="G272" s="27"/>
      <c r="H272" s="28"/>
      <c r="I272" s="27"/>
      <c r="J272" s="29"/>
      <c r="K272" s="30"/>
      <c r="L272" s="31"/>
      <c r="M272" s="32"/>
      <c r="N272" s="30"/>
      <c r="O272" s="30"/>
      <c r="P272" s="39"/>
      <c r="Q272" s="34"/>
      <c r="R272" s="35"/>
      <c r="S272" s="36"/>
      <c r="T272" s="35"/>
      <c r="U272" s="36"/>
      <c r="V272" s="37"/>
    </row>
    <row r="273" spans="1:22" x14ac:dyDescent="0.25">
      <c r="A273" s="27"/>
      <c r="B273" s="27"/>
      <c r="C273" s="27"/>
      <c r="D273" s="27"/>
      <c r="E273" s="27"/>
      <c r="F273" s="27"/>
      <c r="G273" s="27"/>
      <c r="H273" s="28"/>
      <c r="I273" s="27"/>
      <c r="J273" s="29"/>
      <c r="K273" s="30"/>
      <c r="L273" s="31"/>
      <c r="M273" s="32"/>
      <c r="N273" s="30"/>
      <c r="O273" s="30"/>
      <c r="P273" s="39"/>
      <c r="Q273" s="34"/>
      <c r="R273" s="35"/>
      <c r="S273" s="36"/>
      <c r="T273" s="35"/>
      <c r="U273" s="36"/>
      <c r="V273" s="37"/>
    </row>
    <row r="274" spans="1:22" x14ac:dyDescent="0.25">
      <c r="A274" s="27"/>
      <c r="B274" s="27"/>
      <c r="C274" s="27"/>
      <c r="D274" s="27"/>
      <c r="E274" s="27"/>
      <c r="F274" s="27"/>
      <c r="G274" s="27"/>
      <c r="H274" s="28"/>
      <c r="I274" s="27"/>
      <c r="J274" s="29"/>
      <c r="K274" s="30"/>
      <c r="L274" s="31"/>
      <c r="M274" s="32"/>
      <c r="N274" s="30"/>
      <c r="O274" s="30"/>
      <c r="P274" s="39"/>
      <c r="Q274" s="34"/>
      <c r="R274" s="35"/>
      <c r="S274" s="36"/>
      <c r="T274" s="35"/>
      <c r="U274" s="36"/>
      <c r="V274" s="37"/>
    </row>
    <row r="275" spans="1:22" x14ac:dyDescent="0.25">
      <c r="A275" s="27"/>
      <c r="B275" s="27"/>
      <c r="C275" s="27"/>
      <c r="D275" s="27"/>
      <c r="E275" s="27"/>
      <c r="F275" s="27"/>
      <c r="G275" s="27"/>
      <c r="H275" s="28"/>
      <c r="I275" s="27"/>
      <c r="J275" s="29"/>
      <c r="K275" s="30"/>
      <c r="L275" s="31"/>
      <c r="M275" s="32"/>
      <c r="N275" s="30"/>
      <c r="O275" s="30"/>
      <c r="P275" s="39"/>
      <c r="Q275" s="34"/>
      <c r="R275" s="35"/>
      <c r="S275" s="36"/>
      <c r="T275" s="35"/>
      <c r="U275" s="36"/>
      <c r="V275" s="37"/>
    </row>
    <row r="276" spans="1:22" x14ac:dyDescent="0.25">
      <c r="A276" s="27"/>
      <c r="B276" s="27"/>
      <c r="C276" s="27"/>
      <c r="D276" s="27"/>
      <c r="E276" s="27"/>
      <c r="F276" s="27"/>
      <c r="G276" s="27"/>
      <c r="H276" s="28"/>
      <c r="I276" s="27"/>
      <c r="J276" s="29"/>
      <c r="K276" s="30"/>
      <c r="L276" s="31"/>
      <c r="M276" s="32"/>
      <c r="N276" s="30"/>
      <c r="O276" s="30"/>
      <c r="P276" s="39"/>
      <c r="Q276" s="34"/>
      <c r="R276" s="35"/>
      <c r="S276" s="36"/>
      <c r="T276" s="35"/>
      <c r="U276" s="36"/>
      <c r="V276" s="37"/>
    </row>
    <row r="277" spans="1:22" x14ac:dyDescent="0.25">
      <c r="A277" s="27"/>
      <c r="B277" s="27"/>
      <c r="C277" s="27"/>
      <c r="D277" s="27"/>
      <c r="E277" s="27"/>
      <c r="F277" s="27"/>
      <c r="G277" s="27"/>
      <c r="H277" s="28"/>
      <c r="I277" s="27"/>
      <c r="J277" s="29"/>
      <c r="K277" s="30"/>
      <c r="L277" s="31"/>
      <c r="M277" s="32"/>
      <c r="N277" s="30"/>
      <c r="O277" s="30"/>
      <c r="P277" s="39"/>
      <c r="Q277" s="34"/>
      <c r="R277" s="35"/>
      <c r="S277" s="36"/>
      <c r="T277" s="35"/>
      <c r="U277" s="36"/>
      <c r="V277" s="37"/>
    </row>
    <row r="278" spans="1:22" x14ac:dyDescent="0.25">
      <c r="A278" s="27"/>
      <c r="B278" s="27"/>
      <c r="C278" s="27"/>
      <c r="D278" s="27"/>
      <c r="E278" s="27"/>
      <c r="F278" s="27"/>
      <c r="G278" s="27"/>
      <c r="H278" s="28"/>
      <c r="I278" s="27"/>
      <c r="J278" s="29"/>
      <c r="K278" s="30"/>
      <c r="L278" s="31"/>
      <c r="M278" s="32"/>
      <c r="N278" s="30"/>
      <c r="O278" s="30"/>
      <c r="P278" s="39"/>
      <c r="Q278" s="34"/>
      <c r="R278" s="35"/>
      <c r="S278" s="36"/>
      <c r="T278" s="35"/>
      <c r="U278" s="36"/>
      <c r="V278" s="37"/>
    </row>
    <row r="279" spans="1:22" x14ac:dyDescent="0.25">
      <c r="A279" s="27"/>
      <c r="B279" s="27"/>
      <c r="C279" s="27"/>
      <c r="D279" s="27"/>
      <c r="E279" s="27"/>
      <c r="F279" s="27"/>
      <c r="G279" s="27"/>
      <c r="H279" s="28"/>
      <c r="I279" s="27"/>
      <c r="J279" s="29"/>
      <c r="K279" s="30"/>
      <c r="L279" s="31"/>
      <c r="M279" s="32"/>
      <c r="N279" s="30"/>
      <c r="O279" s="30"/>
      <c r="P279" s="39"/>
      <c r="Q279" s="34"/>
      <c r="R279" s="35"/>
      <c r="S279" s="36"/>
      <c r="T279" s="35"/>
      <c r="U279" s="36"/>
      <c r="V279" s="37"/>
    </row>
    <row r="280" spans="1:22" x14ac:dyDescent="0.25">
      <c r="A280" s="27"/>
      <c r="B280" s="27"/>
      <c r="C280" s="27"/>
      <c r="D280" s="27"/>
      <c r="E280" s="27"/>
      <c r="F280" s="27"/>
      <c r="G280" s="27"/>
      <c r="H280" s="28"/>
      <c r="I280" s="27"/>
      <c r="J280" s="29"/>
      <c r="K280" s="30"/>
      <c r="L280" s="31"/>
      <c r="M280" s="32"/>
      <c r="N280" s="30"/>
      <c r="O280" s="30"/>
      <c r="P280" s="39"/>
      <c r="Q280" s="34"/>
      <c r="R280" s="35"/>
      <c r="S280" s="36"/>
      <c r="T280" s="35"/>
      <c r="U280" s="36"/>
      <c r="V280" s="37"/>
    </row>
    <row r="281" spans="1:22" x14ac:dyDescent="0.25">
      <c r="A281" s="27"/>
      <c r="B281" s="27"/>
      <c r="C281" s="27"/>
      <c r="D281" s="27"/>
      <c r="E281" s="27"/>
      <c r="F281" s="27"/>
      <c r="G281" s="27"/>
      <c r="H281" s="28"/>
      <c r="I281" s="27"/>
      <c r="J281" s="29"/>
      <c r="K281" s="30"/>
      <c r="L281" s="31"/>
      <c r="M281" s="32"/>
      <c r="N281" s="30"/>
      <c r="O281" s="30"/>
      <c r="P281" s="39"/>
      <c r="Q281" s="34"/>
      <c r="R281" s="35"/>
      <c r="S281" s="36"/>
      <c r="T281" s="35"/>
      <c r="U281" s="36"/>
      <c r="V281" s="37"/>
    </row>
    <row r="282" spans="1:22" x14ac:dyDescent="0.25">
      <c r="A282" s="27"/>
      <c r="B282" s="27"/>
      <c r="C282" s="27"/>
      <c r="D282" s="27"/>
      <c r="E282" s="27"/>
      <c r="F282" s="27"/>
      <c r="G282" s="27"/>
      <c r="H282" s="28"/>
      <c r="I282" s="27"/>
      <c r="J282" s="29"/>
      <c r="K282" s="30"/>
      <c r="L282" s="31"/>
      <c r="M282" s="32"/>
      <c r="N282" s="30"/>
      <c r="O282" s="30"/>
      <c r="P282" s="39"/>
      <c r="Q282" s="34"/>
      <c r="R282" s="35"/>
      <c r="S282" s="36"/>
      <c r="T282" s="35"/>
      <c r="U282" s="36"/>
      <c r="V282" s="37"/>
    </row>
    <row r="283" spans="1:22" x14ac:dyDescent="0.25">
      <c r="A283" s="27"/>
      <c r="B283" s="27"/>
      <c r="C283" s="27"/>
      <c r="D283" s="27"/>
      <c r="E283" s="27"/>
      <c r="F283" s="27"/>
      <c r="G283" s="27"/>
      <c r="H283" s="28"/>
      <c r="I283" s="27"/>
      <c r="J283" s="29"/>
      <c r="K283" s="30"/>
      <c r="L283" s="31"/>
      <c r="M283" s="32"/>
      <c r="N283" s="30"/>
      <c r="O283" s="30"/>
      <c r="P283" s="39"/>
      <c r="Q283" s="34"/>
      <c r="R283" s="35"/>
      <c r="S283" s="36"/>
      <c r="T283" s="35"/>
      <c r="U283" s="36"/>
      <c r="V283" s="37"/>
    </row>
    <row r="284" spans="1:22" x14ac:dyDescent="0.25">
      <c r="A284" s="27"/>
      <c r="B284" s="27"/>
      <c r="C284" s="27"/>
      <c r="D284" s="27"/>
      <c r="E284" s="27"/>
      <c r="F284" s="27"/>
      <c r="G284" s="27"/>
      <c r="H284" s="28"/>
      <c r="I284" s="27"/>
      <c r="J284" s="29"/>
      <c r="K284" s="30"/>
      <c r="L284" s="31"/>
      <c r="M284" s="32"/>
      <c r="N284" s="30"/>
      <c r="O284" s="30"/>
      <c r="P284" s="39"/>
      <c r="Q284" s="34"/>
      <c r="R284" s="35"/>
      <c r="S284" s="36"/>
      <c r="T284" s="35"/>
      <c r="U284" s="36"/>
      <c r="V284" s="37"/>
    </row>
    <row r="285" spans="1:22" x14ac:dyDescent="0.25">
      <c r="A285" s="27"/>
      <c r="B285" s="27"/>
      <c r="C285" s="27"/>
      <c r="D285" s="27"/>
      <c r="E285" s="27"/>
      <c r="F285" s="27"/>
      <c r="G285" s="27"/>
      <c r="H285" s="28"/>
      <c r="I285" s="27"/>
      <c r="J285" s="29"/>
      <c r="K285" s="30"/>
      <c r="L285" s="31"/>
      <c r="M285" s="32"/>
      <c r="N285" s="30"/>
      <c r="O285" s="30"/>
      <c r="P285" s="39"/>
      <c r="Q285" s="34"/>
      <c r="R285" s="35"/>
      <c r="S285" s="36"/>
      <c r="T285" s="35"/>
      <c r="U285" s="36"/>
      <c r="V285" s="37"/>
    </row>
    <row r="286" spans="1:22" x14ac:dyDescent="0.25">
      <c r="A286" s="27"/>
      <c r="B286" s="27"/>
      <c r="C286" s="27"/>
      <c r="D286" s="27"/>
      <c r="E286" s="27"/>
      <c r="F286" s="27"/>
      <c r="G286" s="27"/>
      <c r="H286" s="28"/>
      <c r="I286" s="27"/>
      <c r="J286" s="29"/>
      <c r="K286" s="30"/>
      <c r="L286" s="31"/>
      <c r="M286" s="32"/>
      <c r="N286" s="30"/>
      <c r="O286" s="30"/>
      <c r="P286" s="39"/>
      <c r="Q286" s="34"/>
      <c r="R286" s="35"/>
      <c r="S286" s="36"/>
      <c r="T286" s="35"/>
      <c r="U286" s="36"/>
      <c r="V286" s="37"/>
    </row>
    <row r="287" spans="1:22" x14ac:dyDescent="0.25">
      <c r="A287" s="27"/>
      <c r="B287" s="27"/>
      <c r="C287" s="27"/>
      <c r="D287" s="27"/>
      <c r="E287" s="27"/>
      <c r="F287" s="27"/>
      <c r="G287" s="27"/>
      <c r="H287" s="28"/>
      <c r="I287" s="27"/>
      <c r="J287" s="29"/>
      <c r="K287" s="30"/>
      <c r="L287" s="31"/>
      <c r="M287" s="32"/>
      <c r="N287" s="30"/>
      <c r="O287" s="30"/>
      <c r="P287" s="39"/>
      <c r="Q287" s="34"/>
      <c r="R287" s="35"/>
      <c r="S287" s="36"/>
      <c r="T287" s="35"/>
      <c r="U287" s="36"/>
      <c r="V287" s="37"/>
    </row>
    <row r="288" spans="1:22" x14ac:dyDescent="0.25">
      <c r="A288" s="27"/>
      <c r="B288" s="27"/>
      <c r="C288" s="27"/>
      <c r="D288" s="27"/>
      <c r="E288" s="27"/>
      <c r="F288" s="27"/>
      <c r="G288" s="27"/>
      <c r="H288" s="28"/>
      <c r="I288" s="27"/>
      <c r="J288" s="29"/>
      <c r="K288" s="30"/>
      <c r="L288" s="31"/>
      <c r="M288" s="32"/>
      <c r="N288" s="30"/>
      <c r="O288" s="30"/>
      <c r="P288" s="39"/>
      <c r="Q288" s="34"/>
      <c r="R288" s="35"/>
      <c r="S288" s="36"/>
      <c r="T288" s="35"/>
      <c r="U288" s="36"/>
      <c r="V288" s="37"/>
    </row>
    <row r="289" spans="1:22" x14ac:dyDescent="0.25">
      <c r="A289" s="27"/>
      <c r="B289" s="27"/>
      <c r="C289" s="27"/>
      <c r="D289" s="27"/>
      <c r="E289" s="27"/>
      <c r="F289" s="27"/>
      <c r="G289" s="27"/>
      <c r="H289" s="28"/>
      <c r="I289" s="27"/>
      <c r="J289" s="29"/>
      <c r="K289" s="30"/>
      <c r="L289" s="31"/>
      <c r="M289" s="32"/>
      <c r="N289" s="30"/>
      <c r="O289" s="30"/>
      <c r="P289" s="39"/>
      <c r="Q289" s="34"/>
      <c r="R289" s="35"/>
      <c r="S289" s="36"/>
      <c r="T289" s="35"/>
      <c r="U289" s="36"/>
      <c r="V289" s="37"/>
    </row>
    <row r="290" spans="1:22" x14ac:dyDescent="0.25">
      <c r="A290" s="27"/>
      <c r="B290" s="27"/>
      <c r="C290" s="27"/>
      <c r="D290" s="27"/>
      <c r="E290" s="27"/>
      <c r="F290" s="27"/>
      <c r="G290" s="27"/>
      <c r="H290" s="28"/>
      <c r="I290" s="27"/>
      <c r="J290" s="29"/>
      <c r="K290" s="30"/>
      <c r="L290" s="31"/>
      <c r="M290" s="32"/>
      <c r="N290" s="30"/>
      <c r="O290" s="30"/>
      <c r="P290" s="39"/>
      <c r="Q290" s="34"/>
      <c r="R290" s="35"/>
      <c r="S290" s="36"/>
      <c r="T290" s="35"/>
      <c r="U290" s="36"/>
      <c r="V290" s="37"/>
    </row>
    <row r="291" spans="1:22" x14ac:dyDescent="0.25">
      <c r="A291" s="27"/>
      <c r="B291" s="27"/>
      <c r="C291" s="27"/>
      <c r="D291" s="27"/>
      <c r="E291" s="27"/>
      <c r="F291" s="27"/>
      <c r="G291" s="27"/>
      <c r="H291" s="28"/>
      <c r="I291" s="27"/>
      <c r="J291" s="29"/>
      <c r="K291" s="30"/>
      <c r="L291" s="31"/>
      <c r="M291" s="32"/>
      <c r="N291" s="30"/>
      <c r="O291" s="30"/>
      <c r="P291" s="39"/>
      <c r="Q291" s="34"/>
      <c r="R291" s="35"/>
      <c r="S291" s="36"/>
      <c r="T291" s="35"/>
      <c r="U291" s="36"/>
      <c r="V291" s="37"/>
    </row>
    <row r="292" spans="1:22" x14ac:dyDescent="0.25">
      <c r="A292" s="27"/>
      <c r="B292" s="27"/>
      <c r="C292" s="27"/>
      <c r="D292" s="27"/>
      <c r="E292" s="27"/>
      <c r="F292" s="27"/>
      <c r="G292" s="27"/>
      <c r="H292" s="28"/>
      <c r="I292" s="27"/>
      <c r="J292" s="29"/>
      <c r="K292" s="30"/>
      <c r="L292" s="31"/>
      <c r="M292" s="32"/>
      <c r="N292" s="30"/>
      <c r="O292" s="30"/>
      <c r="P292" s="39"/>
      <c r="Q292" s="34"/>
      <c r="R292" s="35"/>
      <c r="S292" s="36"/>
      <c r="T292" s="35"/>
      <c r="U292" s="36"/>
      <c r="V292" s="37"/>
    </row>
    <row r="293" spans="1:22" x14ac:dyDescent="0.25">
      <c r="A293" s="27"/>
      <c r="B293" s="27"/>
      <c r="C293" s="27"/>
      <c r="D293" s="27"/>
      <c r="E293" s="27"/>
      <c r="F293" s="27"/>
      <c r="G293" s="27"/>
      <c r="H293" s="28"/>
      <c r="I293" s="27"/>
      <c r="J293" s="29"/>
      <c r="K293" s="30"/>
      <c r="L293" s="31"/>
      <c r="M293" s="32"/>
      <c r="N293" s="30"/>
      <c r="O293" s="30"/>
      <c r="P293" s="39"/>
      <c r="Q293" s="34"/>
      <c r="R293" s="35"/>
      <c r="S293" s="36"/>
      <c r="T293" s="35"/>
      <c r="U293" s="36"/>
      <c r="V293" s="37"/>
    </row>
    <row r="294" spans="1:22" x14ac:dyDescent="0.25">
      <c r="A294" s="27"/>
      <c r="B294" s="27"/>
      <c r="C294" s="27"/>
      <c r="D294" s="27"/>
      <c r="E294" s="27"/>
      <c r="F294" s="27"/>
      <c r="G294" s="27"/>
      <c r="H294" s="28"/>
      <c r="I294" s="27"/>
      <c r="J294" s="29"/>
      <c r="K294" s="30"/>
      <c r="L294" s="31"/>
      <c r="M294" s="32"/>
      <c r="N294" s="30"/>
      <c r="O294" s="30"/>
      <c r="P294" s="39"/>
      <c r="Q294" s="34"/>
      <c r="R294" s="35"/>
      <c r="S294" s="36"/>
      <c r="T294" s="35"/>
      <c r="U294" s="36"/>
      <c r="V294" s="37"/>
    </row>
    <row r="295" spans="1:22" x14ac:dyDescent="0.25">
      <c r="A295" s="27"/>
      <c r="B295" s="27"/>
      <c r="C295" s="27"/>
      <c r="D295" s="27"/>
      <c r="E295" s="27"/>
      <c r="F295" s="27"/>
      <c r="G295" s="27"/>
      <c r="H295" s="28"/>
      <c r="I295" s="27"/>
      <c r="J295" s="29"/>
      <c r="K295" s="30"/>
      <c r="L295" s="31"/>
      <c r="M295" s="32"/>
      <c r="N295" s="30"/>
      <c r="O295" s="30"/>
      <c r="P295" s="39"/>
      <c r="Q295" s="34"/>
      <c r="R295" s="35"/>
      <c r="S295" s="36"/>
      <c r="T295" s="35"/>
      <c r="U295" s="36"/>
      <c r="V295" s="37"/>
    </row>
    <row r="296" spans="1:22" x14ac:dyDescent="0.25">
      <c r="A296" s="27"/>
      <c r="B296" s="27"/>
      <c r="C296" s="27"/>
      <c r="D296" s="27"/>
      <c r="E296" s="27"/>
      <c r="F296" s="27"/>
      <c r="G296" s="27"/>
      <c r="H296" s="28"/>
      <c r="I296" s="27"/>
      <c r="J296" s="29"/>
      <c r="K296" s="30"/>
      <c r="L296" s="31"/>
      <c r="M296" s="32"/>
      <c r="N296" s="30"/>
      <c r="O296" s="30"/>
      <c r="P296" s="39"/>
      <c r="Q296" s="34"/>
      <c r="R296" s="35"/>
      <c r="S296" s="36"/>
      <c r="T296" s="35"/>
      <c r="U296" s="36"/>
      <c r="V296" s="37"/>
    </row>
    <row r="297" spans="1:22" x14ac:dyDescent="0.25">
      <c r="A297" s="27"/>
      <c r="B297" s="27"/>
      <c r="C297" s="27"/>
      <c r="D297" s="27"/>
      <c r="E297" s="27"/>
      <c r="F297" s="27"/>
      <c r="G297" s="27"/>
      <c r="H297" s="28"/>
      <c r="I297" s="27"/>
      <c r="J297" s="29"/>
      <c r="K297" s="30"/>
      <c r="L297" s="31"/>
      <c r="M297" s="32"/>
      <c r="N297" s="30"/>
      <c r="O297" s="30"/>
      <c r="P297" s="39"/>
      <c r="Q297" s="34"/>
      <c r="R297" s="35"/>
      <c r="S297" s="36"/>
      <c r="T297" s="35"/>
      <c r="U297" s="36"/>
      <c r="V297" s="37"/>
    </row>
    <row r="298" spans="1:22" x14ac:dyDescent="0.25">
      <c r="A298" s="27"/>
      <c r="B298" s="27"/>
      <c r="C298" s="27"/>
      <c r="D298" s="27"/>
      <c r="E298" s="27"/>
      <c r="F298" s="27"/>
      <c r="G298" s="27"/>
      <c r="H298" s="28"/>
      <c r="I298" s="27"/>
      <c r="J298" s="29"/>
      <c r="K298" s="30"/>
      <c r="L298" s="31"/>
      <c r="M298" s="32"/>
      <c r="N298" s="30"/>
      <c r="O298" s="30"/>
      <c r="P298" s="39"/>
      <c r="Q298" s="34"/>
      <c r="R298" s="35"/>
      <c r="S298" s="36"/>
      <c r="T298" s="35"/>
      <c r="U298" s="36"/>
      <c r="V298" s="37"/>
    </row>
    <row r="299" spans="1:22" x14ac:dyDescent="0.25">
      <c r="A299" s="27"/>
      <c r="B299" s="27"/>
      <c r="C299" s="27"/>
      <c r="D299" s="27"/>
      <c r="E299" s="27"/>
      <c r="F299" s="27"/>
      <c r="G299" s="27"/>
      <c r="H299" s="28"/>
      <c r="I299" s="27"/>
      <c r="J299" s="29"/>
      <c r="K299" s="30"/>
      <c r="L299" s="31"/>
      <c r="M299" s="32"/>
      <c r="N299" s="30"/>
      <c r="O299" s="30"/>
      <c r="P299" s="39"/>
      <c r="Q299" s="34"/>
      <c r="R299" s="35"/>
      <c r="S299" s="36"/>
      <c r="T299" s="35"/>
      <c r="U299" s="36"/>
      <c r="V299" s="37"/>
    </row>
    <row r="300" spans="1:22" x14ac:dyDescent="0.25">
      <c r="A300" s="27"/>
      <c r="B300" s="27"/>
      <c r="C300" s="27"/>
      <c r="D300" s="27"/>
      <c r="E300" s="27"/>
      <c r="F300" s="27"/>
      <c r="G300" s="27"/>
      <c r="H300" s="28"/>
      <c r="I300" s="27"/>
      <c r="J300" s="29"/>
      <c r="K300" s="30"/>
      <c r="L300" s="31"/>
      <c r="M300" s="32"/>
      <c r="N300" s="30"/>
      <c r="O300" s="30"/>
      <c r="P300" s="39"/>
      <c r="Q300" s="34"/>
      <c r="R300" s="35"/>
      <c r="S300" s="36"/>
      <c r="T300" s="35"/>
      <c r="U300" s="36"/>
      <c r="V300" s="37"/>
    </row>
    <row r="301" spans="1:22" x14ac:dyDescent="0.25">
      <c r="A301" s="27"/>
      <c r="B301" s="27"/>
      <c r="C301" s="27"/>
      <c r="D301" s="27"/>
      <c r="E301" s="27"/>
      <c r="F301" s="27"/>
      <c r="G301" s="27"/>
      <c r="H301" s="28"/>
      <c r="I301" s="27"/>
      <c r="J301" s="29"/>
      <c r="K301" s="30"/>
      <c r="L301" s="31"/>
      <c r="M301" s="32"/>
      <c r="N301" s="30"/>
      <c r="O301" s="30"/>
      <c r="P301" s="39"/>
      <c r="Q301" s="34"/>
      <c r="R301" s="35"/>
      <c r="S301" s="36"/>
      <c r="T301" s="35"/>
      <c r="U301" s="36"/>
      <c r="V301" s="37"/>
    </row>
    <row r="302" spans="1:22" x14ac:dyDescent="0.25">
      <c r="A302" s="27"/>
      <c r="B302" s="27"/>
      <c r="C302" s="27"/>
      <c r="D302" s="27"/>
      <c r="E302" s="27"/>
      <c r="F302" s="27"/>
      <c r="G302" s="27"/>
      <c r="H302" s="28"/>
      <c r="I302" s="27"/>
      <c r="J302" s="29"/>
      <c r="K302" s="30"/>
      <c r="L302" s="31"/>
      <c r="M302" s="32"/>
      <c r="N302" s="30"/>
      <c r="O302" s="30"/>
      <c r="P302" s="39"/>
      <c r="Q302" s="34"/>
      <c r="R302" s="35"/>
      <c r="S302" s="36"/>
      <c r="T302" s="35"/>
      <c r="U302" s="36"/>
      <c r="V302" s="37"/>
    </row>
    <row r="303" spans="1:22" x14ac:dyDescent="0.25">
      <c r="A303" s="27"/>
      <c r="B303" s="27"/>
      <c r="C303" s="27"/>
      <c r="D303" s="27"/>
      <c r="E303" s="27"/>
      <c r="F303" s="27"/>
      <c r="G303" s="27"/>
      <c r="H303" s="28"/>
      <c r="I303" s="27"/>
      <c r="J303" s="29"/>
      <c r="K303" s="30"/>
      <c r="L303" s="31"/>
      <c r="M303" s="32"/>
      <c r="N303" s="30"/>
      <c r="O303" s="30"/>
      <c r="P303" s="39"/>
      <c r="Q303" s="34"/>
      <c r="R303" s="35"/>
      <c r="S303" s="36"/>
      <c r="T303" s="35"/>
      <c r="U303" s="36"/>
      <c r="V303" s="37"/>
    </row>
    <row r="304" spans="1:22" x14ac:dyDescent="0.25">
      <c r="A304" s="27"/>
      <c r="B304" s="27"/>
      <c r="C304" s="27"/>
      <c r="D304" s="27"/>
      <c r="E304" s="27"/>
      <c r="F304" s="27"/>
      <c r="G304" s="27"/>
      <c r="H304" s="28"/>
      <c r="I304" s="27"/>
      <c r="J304" s="29"/>
      <c r="K304" s="30"/>
      <c r="L304" s="31"/>
      <c r="M304" s="32"/>
      <c r="N304" s="30"/>
      <c r="O304" s="30"/>
      <c r="P304" s="39"/>
      <c r="Q304" s="34"/>
      <c r="R304" s="35"/>
      <c r="S304" s="36"/>
      <c r="T304" s="35"/>
      <c r="U304" s="36"/>
      <c r="V304" s="37"/>
    </row>
    <row r="305" spans="1:22" x14ac:dyDescent="0.25">
      <c r="A305" s="27"/>
      <c r="B305" s="27"/>
      <c r="C305" s="27"/>
      <c r="D305" s="27"/>
      <c r="E305" s="27"/>
      <c r="F305" s="27"/>
      <c r="G305" s="27"/>
      <c r="H305" s="28"/>
      <c r="I305" s="27"/>
      <c r="J305" s="29"/>
      <c r="K305" s="30"/>
      <c r="L305" s="31"/>
      <c r="M305" s="32"/>
      <c r="N305" s="30"/>
      <c r="O305" s="30"/>
      <c r="P305" s="39"/>
      <c r="Q305" s="34"/>
      <c r="R305" s="35"/>
      <c r="S305" s="36"/>
      <c r="T305" s="35"/>
      <c r="U305" s="36"/>
      <c r="V305" s="37"/>
    </row>
    <row r="306" spans="1:22" x14ac:dyDescent="0.25">
      <c r="A306" s="27"/>
      <c r="B306" s="27"/>
      <c r="C306" s="27"/>
      <c r="D306" s="27"/>
      <c r="E306" s="27"/>
      <c r="F306" s="27"/>
      <c r="G306" s="27"/>
      <c r="H306" s="28"/>
      <c r="I306" s="27"/>
      <c r="J306" s="29"/>
      <c r="K306" s="30"/>
      <c r="L306" s="31"/>
      <c r="M306" s="32"/>
      <c r="N306" s="30"/>
      <c r="O306" s="30"/>
      <c r="P306" s="39"/>
      <c r="Q306" s="34"/>
      <c r="R306" s="35"/>
      <c r="S306" s="36"/>
      <c r="T306" s="35"/>
      <c r="U306" s="36"/>
      <c r="V306" s="37"/>
    </row>
    <row r="307" spans="1:22" x14ac:dyDescent="0.25">
      <c r="A307" s="27"/>
      <c r="B307" s="27"/>
      <c r="C307" s="27"/>
      <c r="D307" s="27"/>
      <c r="E307" s="27"/>
      <c r="F307" s="27"/>
      <c r="G307" s="27"/>
      <c r="H307" s="28"/>
      <c r="I307" s="27"/>
      <c r="J307" s="29"/>
      <c r="K307" s="30"/>
      <c r="L307" s="31"/>
      <c r="M307" s="32"/>
      <c r="N307" s="30"/>
      <c r="O307" s="30"/>
      <c r="P307" s="39"/>
      <c r="Q307" s="34"/>
      <c r="R307" s="35"/>
      <c r="S307" s="36"/>
      <c r="T307" s="35"/>
      <c r="U307" s="36"/>
      <c r="V307" s="37"/>
    </row>
    <row r="308" spans="1:22" x14ac:dyDescent="0.25">
      <c r="A308" s="27"/>
      <c r="B308" s="27"/>
      <c r="C308" s="27"/>
      <c r="D308" s="27"/>
      <c r="E308" s="27"/>
      <c r="F308" s="27"/>
      <c r="G308" s="27"/>
      <c r="H308" s="28"/>
      <c r="I308" s="27"/>
      <c r="J308" s="29"/>
      <c r="K308" s="30"/>
      <c r="L308" s="31"/>
      <c r="M308" s="32"/>
      <c r="N308" s="30"/>
      <c r="O308" s="30"/>
      <c r="P308" s="39"/>
      <c r="Q308" s="34"/>
      <c r="R308" s="35"/>
      <c r="S308" s="36"/>
      <c r="T308" s="35"/>
      <c r="U308" s="36"/>
      <c r="V308" s="37"/>
    </row>
    <row r="309" spans="1:22" x14ac:dyDescent="0.25">
      <c r="A309" s="27"/>
      <c r="B309" s="27"/>
      <c r="C309" s="27"/>
      <c r="D309" s="27"/>
      <c r="E309" s="27"/>
      <c r="F309" s="27"/>
      <c r="G309" s="27"/>
      <c r="H309" s="28"/>
      <c r="I309" s="27"/>
      <c r="J309" s="29"/>
      <c r="K309" s="30"/>
      <c r="L309" s="31"/>
      <c r="M309" s="32"/>
      <c r="N309" s="30"/>
      <c r="O309" s="30"/>
      <c r="P309" s="39"/>
      <c r="Q309" s="34"/>
      <c r="R309" s="35"/>
      <c r="S309" s="36"/>
      <c r="T309" s="35"/>
      <c r="U309" s="36"/>
      <c r="V309" s="37"/>
    </row>
    <row r="310" spans="1:22" x14ac:dyDescent="0.25">
      <c r="A310" s="27"/>
      <c r="B310" s="27"/>
      <c r="C310" s="27"/>
      <c r="D310" s="27"/>
      <c r="E310" s="27"/>
      <c r="F310" s="27"/>
      <c r="G310" s="27"/>
      <c r="H310" s="28"/>
      <c r="I310" s="27"/>
      <c r="J310" s="29"/>
      <c r="K310" s="30"/>
      <c r="L310" s="31"/>
      <c r="M310" s="32"/>
      <c r="N310" s="30"/>
      <c r="O310" s="30"/>
      <c r="P310" s="39"/>
      <c r="Q310" s="34"/>
      <c r="R310" s="35"/>
      <c r="S310" s="36"/>
      <c r="T310" s="35"/>
      <c r="U310" s="36"/>
      <c r="V310" s="37"/>
    </row>
    <row r="311" spans="1:22" x14ac:dyDescent="0.25">
      <c r="A311" s="27"/>
      <c r="B311" s="27"/>
      <c r="C311" s="27"/>
      <c r="D311" s="27"/>
      <c r="E311" s="27"/>
      <c r="F311" s="27"/>
      <c r="G311" s="27"/>
      <c r="H311" s="28"/>
      <c r="I311" s="27"/>
      <c r="J311" s="29"/>
      <c r="K311" s="30"/>
      <c r="L311" s="31"/>
      <c r="M311" s="32"/>
      <c r="N311" s="30"/>
      <c r="O311" s="30"/>
      <c r="P311" s="39"/>
      <c r="Q311" s="34"/>
      <c r="R311" s="35"/>
      <c r="S311" s="36"/>
      <c r="T311" s="35"/>
      <c r="U311" s="36"/>
      <c r="V311" s="37"/>
    </row>
    <row r="312" spans="1:22" x14ac:dyDescent="0.25">
      <c r="A312" s="27"/>
      <c r="B312" s="27"/>
      <c r="C312" s="27"/>
      <c r="D312" s="27"/>
      <c r="E312" s="27"/>
      <c r="F312" s="27"/>
      <c r="G312" s="27"/>
      <c r="H312" s="28"/>
      <c r="I312" s="27"/>
      <c r="J312" s="29"/>
      <c r="K312" s="30"/>
      <c r="L312" s="31"/>
      <c r="M312" s="32"/>
      <c r="N312" s="30"/>
      <c r="O312" s="30"/>
      <c r="P312" s="39"/>
      <c r="Q312" s="34"/>
      <c r="R312" s="35"/>
      <c r="S312" s="36"/>
      <c r="T312" s="35"/>
      <c r="U312" s="36"/>
      <c r="V312" s="37"/>
    </row>
    <row r="313" spans="1:22" x14ac:dyDescent="0.25">
      <c r="A313" s="27"/>
      <c r="B313" s="27"/>
      <c r="C313" s="27"/>
      <c r="D313" s="27"/>
      <c r="E313" s="27"/>
      <c r="F313" s="27"/>
      <c r="G313" s="27"/>
      <c r="H313" s="28"/>
      <c r="I313" s="27"/>
      <c r="J313" s="29"/>
      <c r="K313" s="30"/>
      <c r="L313" s="31"/>
      <c r="M313" s="32"/>
      <c r="N313" s="30"/>
      <c r="O313" s="30"/>
      <c r="P313" s="39"/>
      <c r="Q313" s="34"/>
      <c r="R313" s="35"/>
      <c r="S313" s="36"/>
      <c r="T313" s="35"/>
      <c r="U313" s="36"/>
      <c r="V313" s="37"/>
    </row>
    <row r="314" spans="1:22" x14ac:dyDescent="0.25">
      <c r="A314" s="27"/>
      <c r="B314" s="27"/>
      <c r="C314" s="27"/>
      <c r="D314" s="27"/>
      <c r="E314" s="27"/>
      <c r="F314" s="27"/>
      <c r="G314" s="27"/>
      <c r="H314" s="28"/>
      <c r="I314" s="27"/>
      <c r="J314" s="29"/>
      <c r="K314" s="30"/>
      <c r="L314" s="31"/>
      <c r="M314" s="32"/>
      <c r="N314" s="30"/>
      <c r="O314" s="30"/>
      <c r="P314" s="39"/>
      <c r="Q314" s="34"/>
      <c r="R314" s="35"/>
      <c r="S314" s="36"/>
      <c r="T314" s="35"/>
      <c r="U314" s="36"/>
      <c r="V314" s="37"/>
    </row>
    <row r="315" spans="1:22" x14ac:dyDescent="0.25">
      <c r="A315" s="27"/>
      <c r="B315" s="27"/>
      <c r="C315" s="27"/>
      <c r="D315" s="27"/>
      <c r="E315" s="27"/>
      <c r="F315" s="27"/>
      <c r="G315" s="27"/>
      <c r="H315" s="28"/>
      <c r="I315" s="27"/>
      <c r="J315" s="29"/>
      <c r="K315" s="30"/>
      <c r="L315" s="31"/>
      <c r="M315" s="32"/>
      <c r="N315" s="30"/>
      <c r="O315" s="30"/>
      <c r="P315" s="39"/>
      <c r="Q315" s="34"/>
      <c r="R315" s="35"/>
      <c r="S315" s="36"/>
      <c r="T315" s="35"/>
      <c r="U315" s="36"/>
      <c r="V315" s="37"/>
    </row>
    <row r="316" spans="1:22" x14ac:dyDescent="0.25">
      <c r="A316" s="27"/>
      <c r="B316" s="27"/>
      <c r="C316" s="27"/>
      <c r="D316" s="27"/>
      <c r="E316" s="27"/>
      <c r="F316" s="27"/>
      <c r="G316" s="27"/>
      <c r="H316" s="28"/>
      <c r="I316" s="27"/>
      <c r="J316" s="29"/>
      <c r="K316" s="30"/>
      <c r="L316" s="31"/>
      <c r="M316" s="32"/>
      <c r="N316" s="30"/>
      <c r="O316" s="30"/>
      <c r="P316" s="39"/>
      <c r="Q316" s="34"/>
      <c r="R316" s="35"/>
      <c r="S316" s="36"/>
      <c r="T316" s="35"/>
      <c r="U316" s="36"/>
      <c r="V316" s="37"/>
    </row>
    <row r="317" spans="1:22" x14ac:dyDescent="0.25">
      <c r="A317" s="27"/>
      <c r="B317" s="27"/>
      <c r="C317" s="27"/>
      <c r="D317" s="27"/>
      <c r="E317" s="27"/>
      <c r="F317" s="27"/>
      <c r="G317" s="27"/>
      <c r="H317" s="28"/>
      <c r="I317" s="27"/>
      <c r="J317" s="29"/>
      <c r="K317" s="30"/>
      <c r="L317" s="31"/>
      <c r="M317" s="32"/>
      <c r="N317" s="30"/>
      <c r="O317" s="30"/>
      <c r="P317" s="39"/>
      <c r="Q317" s="34"/>
      <c r="R317" s="35"/>
      <c r="S317" s="36"/>
      <c r="T317" s="35"/>
      <c r="U317" s="36"/>
      <c r="V317" s="37"/>
    </row>
    <row r="318" spans="1:22" x14ac:dyDescent="0.25">
      <c r="A318" s="27"/>
      <c r="B318" s="27"/>
      <c r="C318" s="27"/>
      <c r="D318" s="27"/>
      <c r="E318" s="27"/>
      <c r="F318" s="27"/>
      <c r="G318" s="27"/>
      <c r="H318" s="28"/>
      <c r="I318" s="27"/>
      <c r="J318" s="29"/>
      <c r="K318" s="30"/>
      <c r="L318" s="31"/>
      <c r="M318" s="32"/>
      <c r="N318" s="30"/>
      <c r="O318" s="30"/>
      <c r="P318" s="39"/>
      <c r="Q318" s="34"/>
      <c r="R318" s="35"/>
      <c r="S318" s="36"/>
      <c r="T318" s="35"/>
      <c r="U318" s="36"/>
      <c r="V318" s="37"/>
    </row>
    <row r="319" spans="1:22" x14ac:dyDescent="0.25">
      <c r="A319" s="27"/>
      <c r="B319" s="27"/>
      <c r="C319" s="27"/>
      <c r="D319" s="27"/>
      <c r="E319" s="27"/>
      <c r="F319" s="27"/>
      <c r="G319" s="27"/>
      <c r="H319" s="28"/>
      <c r="I319" s="27"/>
      <c r="J319" s="29"/>
      <c r="K319" s="30"/>
      <c r="L319" s="31"/>
      <c r="M319" s="32"/>
      <c r="N319" s="30"/>
      <c r="O319" s="30"/>
      <c r="P319" s="39"/>
      <c r="Q319" s="34"/>
      <c r="R319" s="35"/>
      <c r="S319" s="36"/>
      <c r="T319" s="35"/>
      <c r="U319" s="36"/>
      <c r="V319" s="37"/>
    </row>
    <row r="320" spans="1:22" x14ac:dyDescent="0.25">
      <c r="A320" s="27"/>
      <c r="B320" s="27"/>
      <c r="C320" s="27"/>
      <c r="D320" s="27"/>
      <c r="E320" s="27"/>
      <c r="F320" s="27"/>
      <c r="G320" s="27"/>
      <c r="H320" s="28"/>
      <c r="I320" s="27"/>
      <c r="J320" s="29"/>
      <c r="K320" s="30"/>
      <c r="L320" s="31"/>
      <c r="M320" s="32"/>
      <c r="N320" s="30"/>
      <c r="O320" s="30"/>
      <c r="P320" s="39"/>
      <c r="Q320" s="34"/>
      <c r="R320" s="35"/>
      <c r="S320" s="36"/>
      <c r="T320" s="35"/>
      <c r="U320" s="36"/>
      <c r="V320" s="37"/>
    </row>
    <row r="321" spans="1:22" x14ac:dyDescent="0.25">
      <c r="A321" s="27"/>
      <c r="B321" s="27"/>
      <c r="C321" s="27"/>
      <c r="D321" s="27"/>
      <c r="E321" s="27"/>
      <c r="F321" s="27"/>
      <c r="G321" s="27"/>
      <c r="H321" s="28"/>
      <c r="I321" s="27"/>
      <c r="J321" s="29"/>
      <c r="K321" s="30"/>
      <c r="L321" s="31"/>
      <c r="M321" s="32"/>
      <c r="N321" s="30"/>
      <c r="O321" s="30"/>
      <c r="P321" s="39"/>
      <c r="Q321" s="34"/>
      <c r="R321" s="35"/>
      <c r="S321" s="36"/>
      <c r="T321" s="35"/>
      <c r="U321" s="36"/>
      <c r="V321" s="37"/>
    </row>
    <row r="322" spans="1:22" x14ac:dyDescent="0.25">
      <c r="A322" s="27"/>
      <c r="B322" s="27"/>
      <c r="C322" s="27"/>
      <c r="D322" s="27"/>
      <c r="E322" s="27"/>
      <c r="F322" s="27"/>
      <c r="G322" s="27"/>
      <c r="H322" s="28"/>
      <c r="I322" s="27"/>
      <c r="J322" s="29"/>
      <c r="K322" s="30"/>
      <c r="L322" s="31"/>
      <c r="M322" s="32"/>
      <c r="N322" s="30"/>
      <c r="O322" s="30"/>
      <c r="P322" s="39"/>
      <c r="Q322" s="34"/>
      <c r="R322" s="35"/>
      <c r="S322" s="36"/>
      <c r="T322" s="35"/>
      <c r="U322" s="36"/>
      <c r="V322" s="37"/>
    </row>
    <row r="323" spans="1:22" x14ac:dyDescent="0.25">
      <c r="A323" s="27"/>
      <c r="B323" s="27"/>
      <c r="C323" s="27"/>
      <c r="D323" s="27"/>
      <c r="E323" s="27"/>
      <c r="F323" s="27"/>
      <c r="G323" s="27"/>
      <c r="H323" s="28"/>
      <c r="I323" s="27"/>
      <c r="J323" s="29"/>
      <c r="K323" s="30"/>
      <c r="L323" s="31"/>
      <c r="M323" s="32"/>
      <c r="N323" s="30"/>
      <c r="O323" s="30"/>
      <c r="P323" s="39"/>
      <c r="Q323" s="34"/>
      <c r="R323" s="35"/>
      <c r="S323" s="36"/>
      <c r="T323" s="35"/>
      <c r="U323" s="36"/>
      <c r="V323" s="37"/>
    </row>
    <row r="324" spans="1:22" x14ac:dyDescent="0.25">
      <c r="A324" s="27"/>
      <c r="B324" s="27"/>
      <c r="C324" s="27"/>
      <c r="D324" s="27"/>
      <c r="E324" s="27"/>
      <c r="F324" s="27"/>
      <c r="G324" s="27"/>
      <c r="H324" s="28"/>
      <c r="I324" s="27"/>
      <c r="J324" s="29"/>
      <c r="K324" s="30"/>
      <c r="L324" s="31"/>
      <c r="M324" s="32"/>
      <c r="N324" s="30"/>
      <c r="O324" s="30"/>
      <c r="P324" s="39"/>
      <c r="Q324" s="34"/>
      <c r="R324" s="35"/>
      <c r="S324" s="36"/>
      <c r="T324" s="35"/>
      <c r="U324" s="36"/>
      <c r="V324" s="37"/>
    </row>
    <row r="325" spans="1:22" x14ac:dyDescent="0.25">
      <c r="A325" s="27"/>
      <c r="B325" s="27"/>
      <c r="C325" s="27"/>
      <c r="D325" s="27"/>
      <c r="E325" s="27"/>
      <c r="F325" s="27"/>
      <c r="G325" s="27"/>
      <c r="H325" s="28"/>
      <c r="I325" s="27"/>
      <c r="J325" s="29"/>
      <c r="K325" s="30"/>
      <c r="L325" s="31"/>
      <c r="M325" s="32"/>
      <c r="N325" s="30"/>
      <c r="O325" s="30"/>
      <c r="P325" s="39"/>
      <c r="Q325" s="34"/>
      <c r="R325" s="35"/>
      <c r="S325" s="36"/>
      <c r="T325" s="35"/>
      <c r="U325" s="36"/>
      <c r="V325" s="37"/>
    </row>
    <row r="326" spans="1:22" x14ac:dyDescent="0.25">
      <c r="A326" s="27"/>
      <c r="B326" s="27"/>
      <c r="C326" s="27"/>
      <c r="D326" s="27"/>
      <c r="E326" s="27"/>
      <c r="F326" s="27"/>
      <c r="G326" s="27"/>
      <c r="H326" s="28"/>
      <c r="I326" s="27"/>
      <c r="J326" s="29"/>
      <c r="K326" s="30"/>
      <c r="L326" s="31"/>
      <c r="M326" s="32"/>
      <c r="N326" s="30"/>
      <c r="O326" s="30"/>
      <c r="P326" s="39"/>
      <c r="Q326" s="34"/>
      <c r="R326" s="35"/>
      <c r="S326" s="36"/>
      <c r="T326" s="35"/>
      <c r="U326" s="36"/>
      <c r="V326" s="37"/>
    </row>
    <row r="327" spans="1:22" x14ac:dyDescent="0.25">
      <c r="A327" s="27"/>
      <c r="B327" s="27"/>
      <c r="C327" s="27"/>
      <c r="D327" s="27"/>
      <c r="E327" s="27"/>
      <c r="F327" s="27"/>
      <c r="G327" s="27"/>
      <c r="H327" s="28"/>
      <c r="I327" s="27"/>
      <c r="J327" s="29"/>
      <c r="K327" s="30"/>
      <c r="L327" s="31"/>
      <c r="M327" s="32"/>
      <c r="N327" s="30"/>
      <c r="O327" s="30"/>
      <c r="P327" s="39"/>
      <c r="Q327" s="34"/>
      <c r="R327" s="35"/>
      <c r="S327" s="36"/>
      <c r="T327" s="35"/>
      <c r="U327" s="36"/>
      <c r="V327" s="37"/>
    </row>
    <row r="328" spans="1:22" x14ac:dyDescent="0.25">
      <c r="A328" s="27"/>
      <c r="B328" s="27"/>
      <c r="C328" s="27"/>
      <c r="D328" s="27"/>
      <c r="E328" s="27"/>
      <c r="F328" s="27"/>
      <c r="G328" s="27"/>
      <c r="H328" s="28"/>
      <c r="I328" s="27"/>
      <c r="J328" s="29"/>
      <c r="K328" s="30"/>
      <c r="L328" s="31"/>
      <c r="M328" s="32"/>
      <c r="N328" s="30"/>
      <c r="O328" s="30"/>
      <c r="P328" s="39"/>
      <c r="Q328" s="34"/>
      <c r="R328" s="35"/>
      <c r="S328" s="36"/>
      <c r="T328" s="35"/>
      <c r="U328" s="36"/>
      <c r="V328" s="37"/>
    </row>
    <row r="329" spans="1:22" x14ac:dyDescent="0.25">
      <c r="A329" s="27"/>
      <c r="B329" s="27"/>
      <c r="C329" s="27"/>
      <c r="D329" s="27"/>
      <c r="E329" s="27"/>
      <c r="F329" s="27"/>
      <c r="G329" s="27"/>
      <c r="H329" s="28"/>
      <c r="I329" s="27"/>
      <c r="J329" s="29"/>
      <c r="K329" s="30"/>
      <c r="L329" s="31"/>
      <c r="M329" s="32"/>
      <c r="N329" s="30"/>
      <c r="O329" s="30"/>
      <c r="P329" s="39"/>
      <c r="Q329" s="34"/>
      <c r="R329" s="35"/>
      <c r="S329" s="36"/>
      <c r="T329" s="35"/>
      <c r="U329" s="36"/>
      <c r="V329" s="37"/>
    </row>
    <row r="330" spans="1:22" x14ac:dyDescent="0.25">
      <c r="A330" s="27"/>
      <c r="B330" s="27"/>
      <c r="C330" s="27"/>
      <c r="D330" s="27"/>
      <c r="E330" s="27"/>
      <c r="F330" s="27"/>
      <c r="G330" s="27"/>
      <c r="H330" s="28"/>
      <c r="I330" s="27"/>
      <c r="J330" s="29"/>
      <c r="K330" s="30"/>
      <c r="L330" s="31"/>
      <c r="M330" s="32"/>
      <c r="N330" s="30"/>
      <c r="O330" s="30"/>
      <c r="P330" s="39"/>
      <c r="Q330" s="34"/>
      <c r="R330" s="35"/>
      <c r="S330" s="36"/>
      <c r="T330" s="35"/>
      <c r="U330" s="36"/>
      <c r="V330" s="37"/>
    </row>
    <row r="331" spans="1:22" x14ac:dyDescent="0.25">
      <c r="A331" s="27"/>
      <c r="B331" s="27"/>
      <c r="C331" s="27"/>
      <c r="D331" s="27"/>
      <c r="E331" s="27"/>
      <c r="F331" s="27"/>
      <c r="G331" s="27"/>
      <c r="H331" s="28"/>
      <c r="I331" s="27"/>
      <c r="J331" s="29"/>
      <c r="K331" s="30"/>
      <c r="L331" s="31"/>
      <c r="M331" s="32"/>
      <c r="N331" s="30"/>
      <c r="O331" s="30"/>
      <c r="P331" s="39"/>
      <c r="Q331" s="34"/>
      <c r="R331" s="35"/>
      <c r="S331" s="36"/>
      <c r="T331" s="35"/>
      <c r="U331" s="36"/>
      <c r="V331" s="37"/>
    </row>
    <row r="332" spans="1:22" x14ac:dyDescent="0.25">
      <c r="A332" s="27"/>
      <c r="B332" s="27"/>
      <c r="C332" s="27"/>
      <c r="D332" s="27"/>
      <c r="E332" s="27"/>
      <c r="F332" s="27"/>
      <c r="G332" s="27"/>
      <c r="H332" s="28"/>
      <c r="I332" s="27"/>
      <c r="J332" s="29"/>
      <c r="K332" s="30"/>
      <c r="L332" s="31"/>
      <c r="M332" s="32"/>
      <c r="N332" s="30"/>
      <c r="O332" s="30"/>
      <c r="P332" s="39"/>
      <c r="Q332" s="34"/>
      <c r="R332" s="35"/>
      <c r="S332" s="36"/>
      <c r="T332" s="35"/>
      <c r="U332" s="36"/>
      <c r="V332" s="37"/>
    </row>
    <row r="333" spans="1:22" x14ac:dyDescent="0.25">
      <c r="A333" s="27"/>
      <c r="B333" s="27"/>
      <c r="C333" s="27"/>
      <c r="D333" s="27"/>
      <c r="E333" s="27"/>
      <c r="F333" s="27"/>
      <c r="G333" s="27"/>
      <c r="H333" s="28"/>
      <c r="I333" s="27"/>
      <c r="J333" s="29"/>
      <c r="K333" s="30"/>
      <c r="L333" s="31"/>
      <c r="M333" s="32"/>
      <c r="N333" s="30"/>
      <c r="O333" s="30"/>
      <c r="P333" s="39"/>
      <c r="Q333" s="34"/>
      <c r="R333" s="35"/>
      <c r="S333" s="36"/>
      <c r="T333" s="35"/>
      <c r="U333" s="36"/>
      <c r="V333" s="37"/>
    </row>
    <row r="334" spans="1:22" x14ac:dyDescent="0.25">
      <c r="A334" s="27"/>
      <c r="B334" s="27"/>
      <c r="C334" s="27"/>
      <c r="D334" s="27"/>
      <c r="E334" s="27"/>
      <c r="F334" s="27"/>
      <c r="G334" s="27"/>
      <c r="H334" s="28"/>
      <c r="I334" s="27"/>
      <c r="J334" s="29"/>
      <c r="K334" s="30"/>
      <c r="L334" s="31"/>
      <c r="M334" s="32"/>
      <c r="N334" s="30"/>
      <c r="O334" s="30"/>
      <c r="P334" s="39"/>
      <c r="Q334" s="34"/>
      <c r="R334" s="35"/>
      <c r="S334" s="36"/>
      <c r="T334" s="35"/>
      <c r="U334" s="36"/>
      <c r="V334" s="37"/>
    </row>
    <row r="335" spans="1:22" x14ac:dyDescent="0.25">
      <c r="A335" s="27"/>
      <c r="B335" s="27"/>
      <c r="C335" s="27"/>
      <c r="D335" s="27"/>
      <c r="E335" s="27"/>
      <c r="F335" s="27"/>
      <c r="G335" s="27"/>
      <c r="H335" s="28"/>
      <c r="I335" s="27"/>
      <c r="J335" s="29"/>
      <c r="K335" s="30"/>
      <c r="L335" s="31"/>
      <c r="M335" s="32"/>
      <c r="N335" s="30"/>
      <c r="O335" s="30"/>
      <c r="P335" s="39"/>
      <c r="Q335" s="34"/>
      <c r="R335" s="35"/>
      <c r="S335" s="36"/>
      <c r="T335" s="35"/>
      <c r="U335" s="36"/>
      <c r="V335" s="37"/>
    </row>
    <row r="336" spans="1:22" x14ac:dyDescent="0.25">
      <c r="A336" s="27"/>
      <c r="B336" s="27"/>
      <c r="C336" s="27"/>
      <c r="D336" s="27"/>
      <c r="E336" s="27"/>
      <c r="F336" s="27"/>
      <c r="G336" s="27"/>
      <c r="H336" s="28"/>
      <c r="I336" s="27"/>
      <c r="J336" s="29"/>
      <c r="K336" s="30"/>
      <c r="L336" s="31"/>
      <c r="M336" s="32"/>
      <c r="N336" s="30"/>
      <c r="O336" s="30"/>
      <c r="P336" s="39"/>
      <c r="Q336" s="34"/>
      <c r="R336" s="35"/>
      <c r="S336" s="36"/>
      <c r="T336" s="35"/>
      <c r="U336" s="36"/>
      <c r="V336" s="37"/>
    </row>
    <row r="337" spans="1:22" x14ac:dyDescent="0.25">
      <c r="A337" s="27"/>
      <c r="B337" s="27"/>
      <c r="C337" s="27"/>
      <c r="D337" s="27"/>
      <c r="E337" s="27"/>
      <c r="F337" s="27"/>
      <c r="G337" s="27"/>
      <c r="H337" s="28"/>
      <c r="I337" s="27"/>
      <c r="J337" s="29"/>
      <c r="K337" s="30"/>
      <c r="L337" s="31"/>
      <c r="M337" s="32"/>
      <c r="N337" s="30"/>
      <c r="O337" s="30"/>
      <c r="P337" s="39"/>
      <c r="Q337" s="34"/>
      <c r="R337" s="35"/>
      <c r="S337" s="36"/>
      <c r="T337" s="35"/>
      <c r="U337" s="36"/>
      <c r="V337" s="37"/>
    </row>
    <row r="338" spans="1:22" x14ac:dyDescent="0.25">
      <c r="A338" s="27"/>
      <c r="B338" s="27"/>
      <c r="C338" s="27"/>
      <c r="D338" s="27"/>
      <c r="E338" s="27"/>
      <c r="F338" s="27"/>
      <c r="G338" s="27"/>
      <c r="H338" s="28"/>
      <c r="I338" s="27"/>
      <c r="J338" s="29"/>
      <c r="K338" s="30"/>
      <c r="L338" s="31"/>
      <c r="M338" s="32"/>
      <c r="N338" s="30"/>
      <c r="O338" s="30"/>
      <c r="P338" s="39"/>
      <c r="Q338" s="34"/>
      <c r="R338" s="35"/>
      <c r="S338" s="36"/>
      <c r="T338" s="35"/>
      <c r="U338" s="36"/>
      <c r="V338" s="37"/>
    </row>
    <row r="339" spans="1:22" x14ac:dyDescent="0.25">
      <c r="A339" s="27"/>
      <c r="B339" s="27"/>
      <c r="C339" s="27"/>
      <c r="D339" s="27"/>
      <c r="E339" s="27"/>
      <c r="F339" s="27"/>
      <c r="G339" s="27"/>
      <c r="H339" s="28"/>
      <c r="I339" s="27"/>
      <c r="J339" s="29"/>
      <c r="K339" s="30"/>
      <c r="L339" s="31"/>
      <c r="M339" s="32"/>
      <c r="N339" s="30"/>
      <c r="O339" s="30"/>
      <c r="P339" s="39"/>
      <c r="Q339" s="34"/>
      <c r="R339" s="35"/>
      <c r="S339" s="36"/>
      <c r="T339" s="35"/>
      <c r="U339" s="36"/>
      <c r="V339" s="37"/>
    </row>
    <row r="340" spans="1:22" x14ac:dyDescent="0.25">
      <c r="A340" s="27"/>
      <c r="B340" s="27"/>
      <c r="C340" s="27"/>
      <c r="D340" s="27"/>
      <c r="E340" s="27"/>
      <c r="F340" s="27"/>
      <c r="G340" s="27"/>
      <c r="H340" s="28"/>
      <c r="I340" s="27"/>
      <c r="J340" s="29"/>
      <c r="K340" s="30"/>
      <c r="L340" s="31"/>
      <c r="M340" s="32"/>
      <c r="N340" s="30"/>
      <c r="O340" s="30"/>
      <c r="P340" s="39"/>
      <c r="Q340" s="34"/>
      <c r="R340" s="35"/>
      <c r="S340" s="36"/>
      <c r="T340" s="35"/>
      <c r="U340" s="36"/>
      <c r="V340" s="37"/>
    </row>
    <row r="341" spans="1:22" x14ac:dyDescent="0.25">
      <c r="A341" s="27"/>
      <c r="B341" s="27"/>
      <c r="C341" s="27"/>
      <c r="D341" s="27"/>
      <c r="E341" s="27"/>
      <c r="F341" s="27"/>
      <c r="G341" s="27"/>
      <c r="H341" s="28"/>
      <c r="I341" s="27"/>
      <c r="J341" s="29"/>
      <c r="K341" s="30"/>
      <c r="L341" s="31"/>
      <c r="M341" s="32"/>
      <c r="N341" s="30"/>
      <c r="O341" s="30"/>
      <c r="P341" s="39"/>
      <c r="Q341" s="34"/>
      <c r="R341" s="35"/>
      <c r="S341" s="36"/>
      <c r="T341" s="35"/>
      <c r="U341" s="36"/>
      <c r="V341" s="37"/>
    </row>
    <row r="342" spans="1:22" x14ac:dyDescent="0.25">
      <c r="A342" s="27"/>
      <c r="B342" s="27"/>
      <c r="C342" s="27"/>
      <c r="D342" s="27"/>
      <c r="E342" s="27"/>
      <c r="F342" s="27"/>
      <c r="G342" s="27"/>
      <c r="H342" s="28"/>
      <c r="I342" s="27"/>
      <c r="J342" s="29"/>
      <c r="K342" s="30"/>
      <c r="L342" s="31"/>
      <c r="M342" s="32"/>
      <c r="N342" s="30"/>
      <c r="O342" s="30"/>
      <c r="P342" s="39"/>
      <c r="Q342" s="34"/>
      <c r="R342" s="35"/>
      <c r="S342" s="36"/>
      <c r="T342" s="35"/>
      <c r="U342" s="36"/>
      <c r="V342" s="37"/>
    </row>
    <row r="343" spans="1:22" x14ac:dyDescent="0.25">
      <c r="A343" s="27"/>
      <c r="B343" s="27"/>
      <c r="C343" s="27"/>
      <c r="D343" s="27"/>
      <c r="E343" s="27"/>
      <c r="F343" s="27"/>
      <c r="G343" s="27"/>
      <c r="H343" s="28"/>
      <c r="I343" s="27"/>
      <c r="J343" s="29"/>
      <c r="K343" s="30"/>
      <c r="L343" s="31"/>
      <c r="M343" s="32"/>
      <c r="N343" s="30"/>
      <c r="O343" s="30"/>
      <c r="P343" s="39"/>
      <c r="Q343" s="34"/>
      <c r="R343" s="35"/>
      <c r="S343" s="36"/>
      <c r="T343" s="35"/>
      <c r="U343" s="36"/>
      <c r="V343" s="37"/>
    </row>
    <row r="344" spans="1:22" x14ac:dyDescent="0.25">
      <c r="A344" s="27"/>
      <c r="B344" s="27"/>
      <c r="C344" s="27"/>
      <c r="D344" s="27"/>
      <c r="E344" s="27"/>
      <c r="F344" s="27"/>
      <c r="G344" s="27"/>
      <c r="H344" s="28"/>
      <c r="I344" s="27"/>
      <c r="J344" s="29"/>
      <c r="K344" s="30"/>
      <c r="L344" s="31"/>
      <c r="M344" s="32"/>
      <c r="N344" s="30"/>
      <c r="O344" s="30"/>
      <c r="P344" s="39"/>
      <c r="Q344" s="34"/>
      <c r="R344" s="35"/>
      <c r="S344" s="36"/>
      <c r="T344" s="35"/>
      <c r="U344" s="36"/>
      <c r="V344" s="37"/>
    </row>
    <row r="345" spans="1:22" x14ac:dyDescent="0.25">
      <c r="A345" s="27"/>
      <c r="B345" s="27"/>
      <c r="C345" s="27"/>
      <c r="D345" s="27"/>
      <c r="E345" s="27"/>
      <c r="F345" s="27"/>
      <c r="G345" s="27"/>
      <c r="H345" s="28"/>
      <c r="I345" s="27"/>
      <c r="J345" s="29"/>
      <c r="K345" s="30"/>
      <c r="L345" s="31"/>
      <c r="M345" s="32"/>
      <c r="N345" s="30"/>
      <c r="O345" s="30"/>
      <c r="P345" s="39"/>
      <c r="Q345" s="34"/>
      <c r="R345" s="35"/>
      <c r="S345" s="36"/>
      <c r="T345" s="35"/>
      <c r="U345" s="36"/>
      <c r="V345" s="37"/>
    </row>
    <row r="346" spans="1:22" x14ac:dyDescent="0.25">
      <c r="A346" s="27"/>
      <c r="B346" s="27"/>
      <c r="C346" s="27"/>
      <c r="D346" s="27"/>
      <c r="E346" s="27"/>
      <c r="F346" s="27"/>
      <c r="G346" s="27"/>
      <c r="H346" s="28"/>
      <c r="I346" s="27"/>
      <c r="J346" s="29"/>
      <c r="K346" s="30"/>
      <c r="L346" s="31"/>
      <c r="M346" s="32"/>
      <c r="N346" s="30"/>
      <c r="O346" s="30"/>
      <c r="P346" s="39"/>
      <c r="Q346" s="34"/>
      <c r="R346" s="35"/>
      <c r="S346" s="36"/>
      <c r="T346" s="35"/>
      <c r="U346" s="36"/>
      <c r="V346" s="37"/>
    </row>
    <row r="347" spans="1:22" x14ac:dyDescent="0.25">
      <c r="A347" s="27"/>
      <c r="B347" s="27"/>
      <c r="C347" s="27"/>
      <c r="D347" s="27"/>
      <c r="E347" s="27"/>
      <c r="F347" s="27"/>
      <c r="G347" s="27"/>
      <c r="H347" s="28"/>
      <c r="I347" s="27"/>
      <c r="J347" s="29"/>
      <c r="K347" s="30"/>
      <c r="L347" s="31"/>
      <c r="M347" s="32"/>
      <c r="N347" s="30"/>
      <c r="O347" s="30"/>
      <c r="P347" s="39"/>
      <c r="Q347" s="34"/>
      <c r="R347" s="35"/>
      <c r="S347" s="36"/>
      <c r="T347" s="35"/>
      <c r="U347" s="36"/>
      <c r="V347" s="37"/>
    </row>
    <row r="348" spans="1:22" x14ac:dyDescent="0.25">
      <c r="A348" s="27"/>
      <c r="B348" s="27"/>
      <c r="C348" s="27"/>
      <c r="D348" s="27"/>
      <c r="E348" s="27"/>
      <c r="F348" s="27"/>
      <c r="G348" s="27"/>
      <c r="H348" s="28"/>
      <c r="I348" s="27"/>
      <c r="J348" s="29"/>
      <c r="K348" s="30"/>
      <c r="L348" s="31"/>
      <c r="M348" s="32"/>
      <c r="N348" s="30"/>
      <c r="O348" s="30"/>
      <c r="P348" s="39"/>
      <c r="Q348" s="34"/>
      <c r="R348" s="35"/>
      <c r="S348" s="36"/>
      <c r="T348" s="35"/>
      <c r="U348" s="36"/>
      <c r="V348" s="37"/>
    </row>
    <row r="349" spans="1:22" x14ac:dyDescent="0.25">
      <c r="A349" s="27"/>
      <c r="B349" s="27"/>
      <c r="C349" s="27"/>
      <c r="D349" s="27"/>
      <c r="E349" s="27"/>
      <c r="F349" s="27"/>
      <c r="G349" s="27"/>
      <c r="H349" s="28"/>
      <c r="I349" s="27"/>
      <c r="J349" s="29"/>
      <c r="K349" s="30"/>
      <c r="L349" s="31"/>
      <c r="M349" s="32"/>
      <c r="N349" s="30"/>
      <c r="O349" s="30"/>
      <c r="P349" s="39"/>
      <c r="Q349" s="34"/>
      <c r="R349" s="35"/>
      <c r="S349" s="36"/>
      <c r="T349" s="35"/>
      <c r="U349" s="36"/>
      <c r="V349" s="37"/>
    </row>
    <row r="350" spans="1:22" x14ac:dyDescent="0.25">
      <c r="A350" s="27"/>
      <c r="B350" s="27"/>
      <c r="C350" s="27"/>
      <c r="D350" s="27"/>
      <c r="E350" s="27"/>
      <c r="F350" s="27"/>
      <c r="G350" s="27"/>
      <c r="H350" s="28"/>
      <c r="I350" s="27"/>
      <c r="J350" s="29"/>
      <c r="K350" s="30"/>
      <c r="L350" s="31"/>
      <c r="M350" s="32"/>
      <c r="N350" s="30"/>
      <c r="O350" s="30"/>
      <c r="P350" s="39"/>
      <c r="Q350" s="34"/>
      <c r="R350" s="35"/>
      <c r="S350" s="36"/>
      <c r="T350" s="35"/>
      <c r="U350" s="36"/>
      <c r="V350" s="37"/>
    </row>
    <row r="351" spans="1:22" x14ac:dyDescent="0.25">
      <c r="A351" s="27"/>
      <c r="B351" s="27"/>
      <c r="C351" s="27"/>
      <c r="D351" s="27"/>
      <c r="E351" s="27"/>
      <c r="F351" s="27"/>
      <c r="G351" s="27"/>
      <c r="H351" s="28"/>
      <c r="I351" s="27"/>
      <c r="J351" s="29"/>
      <c r="K351" s="30"/>
      <c r="L351" s="31"/>
      <c r="M351" s="32"/>
      <c r="N351" s="30"/>
      <c r="O351" s="30"/>
      <c r="P351" s="39"/>
      <c r="Q351" s="34"/>
      <c r="R351" s="35"/>
      <c r="S351" s="36"/>
      <c r="T351" s="35"/>
      <c r="U351" s="36"/>
      <c r="V351" s="37"/>
    </row>
    <row r="352" spans="1:22" x14ac:dyDescent="0.25">
      <c r="A352" s="27"/>
      <c r="B352" s="27"/>
      <c r="C352" s="27"/>
      <c r="D352" s="27"/>
      <c r="E352" s="27"/>
      <c r="F352" s="27"/>
      <c r="G352" s="27"/>
      <c r="H352" s="28"/>
      <c r="I352" s="27"/>
      <c r="J352" s="29"/>
      <c r="K352" s="30"/>
      <c r="L352" s="31"/>
      <c r="M352" s="32"/>
      <c r="N352" s="30"/>
      <c r="O352" s="30"/>
      <c r="P352" s="39"/>
      <c r="Q352" s="34"/>
      <c r="R352" s="35"/>
      <c r="S352" s="36"/>
      <c r="T352" s="35"/>
      <c r="U352" s="36"/>
      <c r="V352" s="37"/>
    </row>
    <row r="353" spans="1:22" x14ac:dyDescent="0.25">
      <c r="A353" s="27"/>
      <c r="B353" s="27"/>
      <c r="C353" s="27"/>
      <c r="D353" s="27"/>
      <c r="E353" s="27"/>
      <c r="F353" s="27"/>
      <c r="G353" s="27"/>
      <c r="H353" s="28"/>
      <c r="I353" s="27"/>
      <c r="J353" s="29"/>
      <c r="K353" s="30"/>
      <c r="L353" s="31"/>
      <c r="M353" s="32"/>
      <c r="N353" s="30"/>
      <c r="O353" s="30"/>
      <c r="P353" s="39"/>
      <c r="Q353" s="34"/>
      <c r="R353" s="35"/>
      <c r="S353" s="36"/>
      <c r="T353" s="35"/>
      <c r="U353" s="36"/>
      <c r="V353" s="37"/>
    </row>
    <row r="354" spans="1:22" x14ac:dyDescent="0.25">
      <c r="A354" s="27"/>
      <c r="B354" s="27"/>
      <c r="C354" s="27"/>
      <c r="D354" s="27"/>
      <c r="E354" s="27"/>
      <c r="F354" s="27"/>
      <c r="G354" s="27"/>
      <c r="H354" s="28"/>
      <c r="I354" s="27"/>
      <c r="J354" s="29"/>
      <c r="K354" s="30"/>
      <c r="L354" s="31"/>
      <c r="M354" s="32"/>
      <c r="N354" s="30"/>
      <c r="O354" s="30"/>
      <c r="P354" s="39"/>
      <c r="Q354" s="34"/>
      <c r="R354" s="35"/>
      <c r="S354" s="36"/>
      <c r="T354" s="35"/>
      <c r="U354" s="36"/>
      <c r="V354" s="37"/>
    </row>
    <row r="355" spans="1:22" x14ac:dyDescent="0.25">
      <c r="A355" s="27"/>
      <c r="B355" s="27"/>
      <c r="C355" s="27"/>
      <c r="D355" s="27"/>
      <c r="E355" s="27"/>
      <c r="F355" s="27"/>
      <c r="G355" s="27"/>
      <c r="H355" s="28"/>
      <c r="I355" s="27"/>
      <c r="J355" s="29"/>
      <c r="K355" s="30"/>
      <c r="L355" s="31"/>
      <c r="M355" s="32"/>
      <c r="N355" s="30"/>
      <c r="O355" s="30"/>
      <c r="P355" s="39"/>
      <c r="Q355" s="34"/>
      <c r="R355" s="35"/>
      <c r="S355" s="36"/>
      <c r="T355" s="35"/>
      <c r="U355" s="36"/>
      <c r="V355" s="37"/>
    </row>
    <row r="356" spans="1:22" x14ac:dyDescent="0.25">
      <c r="A356" s="27"/>
      <c r="B356" s="27"/>
      <c r="C356" s="27"/>
      <c r="D356" s="27"/>
      <c r="E356" s="27"/>
      <c r="F356" s="27"/>
      <c r="G356" s="27"/>
      <c r="H356" s="28"/>
      <c r="I356" s="27"/>
      <c r="J356" s="29"/>
      <c r="K356" s="30"/>
      <c r="L356" s="31"/>
      <c r="M356" s="32"/>
      <c r="N356" s="30"/>
      <c r="O356" s="30"/>
      <c r="P356" s="39"/>
      <c r="Q356" s="34"/>
      <c r="R356" s="35"/>
      <c r="S356" s="36"/>
      <c r="T356" s="35"/>
      <c r="U356" s="36"/>
      <c r="V356" s="37"/>
    </row>
    <row r="357" spans="1:22" x14ac:dyDescent="0.25">
      <c r="A357" s="27"/>
      <c r="B357" s="27"/>
      <c r="C357" s="27"/>
      <c r="D357" s="27"/>
      <c r="E357" s="27"/>
      <c r="F357" s="27"/>
      <c r="G357" s="27"/>
      <c r="H357" s="28"/>
      <c r="I357" s="27"/>
      <c r="J357" s="29"/>
      <c r="K357" s="30"/>
      <c r="L357" s="31"/>
      <c r="M357" s="32"/>
      <c r="N357" s="30"/>
      <c r="O357" s="30"/>
      <c r="P357" s="39"/>
      <c r="Q357" s="34"/>
      <c r="R357" s="35"/>
      <c r="S357" s="36"/>
      <c r="T357" s="35"/>
      <c r="U357" s="36"/>
      <c r="V357" s="37"/>
    </row>
    <row r="358" spans="1:22" x14ac:dyDescent="0.25">
      <c r="A358" s="27"/>
      <c r="B358" s="27"/>
      <c r="C358" s="27"/>
      <c r="D358" s="27"/>
      <c r="E358" s="27"/>
      <c r="F358" s="27"/>
      <c r="G358" s="27"/>
      <c r="H358" s="28"/>
      <c r="I358" s="27"/>
      <c r="J358" s="29"/>
      <c r="K358" s="30"/>
      <c r="L358" s="31"/>
      <c r="M358" s="32"/>
      <c r="N358" s="30"/>
      <c r="O358" s="30"/>
      <c r="P358" s="39"/>
      <c r="Q358" s="34"/>
      <c r="R358" s="35"/>
      <c r="S358" s="36"/>
      <c r="T358" s="35"/>
      <c r="U358" s="36"/>
      <c r="V358" s="37"/>
    </row>
    <row r="359" spans="1:22" x14ac:dyDescent="0.25">
      <c r="A359" s="27"/>
      <c r="B359" s="27"/>
      <c r="C359" s="27"/>
      <c r="D359" s="27"/>
      <c r="E359" s="27"/>
      <c r="F359" s="27"/>
      <c r="G359" s="27"/>
      <c r="H359" s="28"/>
      <c r="I359" s="27"/>
      <c r="J359" s="29"/>
      <c r="K359" s="30"/>
      <c r="L359" s="31"/>
      <c r="M359" s="32"/>
      <c r="N359" s="30"/>
      <c r="O359" s="30"/>
      <c r="P359" s="39"/>
      <c r="Q359" s="34"/>
      <c r="R359" s="35"/>
      <c r="S359" s="36"/>
      <c r="T359" s="35"/>
      <c r="U359" s="36"/>
      <c r="V359" s="37"/>
    </row>
    <row r="360" spans="1:22" x14ac:dyDescent="0.25">
      <c r="A360" s="27"/>
      <c r="B360" s="27"/>
      <c r="C360" s="27"/>
      <c r="D360" s="27"/>
      <c r="E360" s="27"/>
      <c r="F360" s="27"/>
      <c r="G360" s="27"/>
      <c r="H360" s="28"/>
      <c r="I360" s="27"/>
      <c r="J360" s="29"/>
      <c r="K360" s="30"/>
      <c r="L360" s="31"/>
      <c r="M360" s="32"/>
      <c r="N360" s="30"/>
      <c r="O360" s="30"/>
      <c r="P360" s="39"/>
      <c r="Q360" s="34"/>
      <c r="R360" s="35"/>
      <c r="S360" s="36"/>
      <c r="T360" s="35"/>
      <c r="U360" s="36"/>
      <c r="V360" s="37"/>
    </row>
    <row r="361" spans="1:22" x14ac:dyDescent="0.25">
      <c r="A361" s="27"/>
      <c r="B361" s="27"/>
      <c r="C361" s="27"/>
      <c r="D361" s="27"/>
      <c r="E361" s="27"/>
      <c r="F361" s="27"/>
      <c r="G361" s="27"/>
      <c r="H361" s="28"/>
      <c r="I361" s="27"/>
      <c r="J361" s="29"/>
      <c r="K361" s="30"/>
      <c r="L361" s="31"/>
      <c r="M361" s="32"/>
      <c r="N361" s="30"/>
      <c r="O361" s="30"/>
      <c r="P361" s="39"/>
      <c r="Q361" s="34"/>
      <c r="R361" s="35"/>
      <c r="S361" s="36"/>
      <c r="T361" s="35"/>
      <c r="U361" s="36"/>
      <c r="V361" s="37"/>
    </row>
    <row r="362" spans="1:22" x14ac:dyDescent="0.25">
      <c r="A362" s="27"/>
      <c r="B362" s="27"/>
      <c r="C362" s="27"/>
      <c r="D362" s="27"/>
      <c r="E362" s="27"/>
      <c r="F362" s="27"/>
      <c r="G362" s="27"/>
      <c r="H362" s="28"/>
      <c r="I362" s="27"/>
      <c r="J362" s="29"/>
      <c r="K362" s="30"/>
      <c r="L362" s="31"/>
      <c r="M362" s="32"/>
      <c r="N362" s="30"/>
      <c r="O362" s="30"/>
      <c r="P362" s="39"/>
      <c r="Q362" s="34"/>
      <c r="R362" s="35"/>
      <c r="S362" s="36"/>
      <c r="T362" s="35"/>
      <c r="U362" s="36"/>
      <c r="V362" s="37"/>
    </row>
    <row r="363" spans="1:22" x14ac:dyDescent="0.25">
      <c r="A363" s="27"/>
      <c r="B363" s="27"/>
      <c r="C363" s="27"/>
      <c r="D363" s="27"/>
      <c r="E363" s="27"/>
      <c r="F363" s="27"/>
      <c r="G363" s="27"/>
      <c r="H363" s="28"/>
      <c r="I363" s="27"/>
      <c r="J363" s="29"/>
      <c r="K363" s="30"/>
      <c r="L363" s="31"/>
      <c r="M363" s="32"/>
      <c r="N363" s="30"/>
      <c r="O363" s="30"/>
      <c r="P363" s="39"/>
      <c r="Q363" s="34"/>
      <c r="R363" s="35"/>
      <c r="S363" s="36"/>
      <c r="T363" s="35"/>
      <c r="U363" s="36"/>
      <c r="V363" s="37"/>
    </row>
    <row r="364" spans="1:22" x14ac:dyDescent="0.25">
      <c r="A364" s="27"/>
      <c r="B364" s="27"/>
      <c r="C364" s="27"/>
      <c r="D364" s="27"/>
      <c r="E364" s="27"/>
      <c r="F364" s="27"/>
      <c r="G364" s="27"/>
      <c r="H364" s="28"/>
      <c r="I364" s="27"/>
      <c r="J364" s="29"/>
      <c r="K364" s="30"/>
      <c r="L364" s="31"/>
      <c r="M364" s="32"/>
      <c r="N364" s="30"/>
      <c r="O364" s="30"/>
      <c r="P364" s="39"/>
      <c r="Q364" s="34"/>
      <c r="R364" s="35"/>
      <c r="S364" s="36"/>
      <c r="T364" s="35"/>
      <c r="U364" s="36"/>
      <c r="V364" s="37"/>
    </row>
    <row r="365" spans="1:22" x14ac:dyDescent="0.25">
      <c r="A365" s="27"/>
      <c r="B365" s="27"/>
      <c r="C365" s="27"/>
      <c r="D365" s="27"/>
      <c r="E365" s="27"/>
      <c r="F365" s="27"/>
      <c r="G365" s="27"/>
      <c r="H365" s="28"/>
      <c r="I365" s="27"/>
      <c r="J365" s="29"/>
      <c r="K365" s="30"/>
      <c r="L365" s="31"/>
      <c r="M365" s="32"/>
      <c r="N365" s="30"/>
      <c r="O365" s="30"/>
      <c r="P365" s="39"/>
      <c r="Q365" s="34"/>
      <c r="R365" s="35"/>
      <c r="S365" s="36"/>
      <c r="T365" s="35"/>
      <c r="U365" s="36"/>
      <c r="V365" s="37"/>
    </row>
    <row r="366" spans="1:22" x14ac:dyDescent="0.25">
      <c r="A366" s="27"/>
      <c r="B366" s="27"/>
      <c r="C366" s="27"/>
      <c r="D366" s="27"/>
      <c r="E366" s="27"/>
      <c r="F366" s="27"/>
      <c r="G366" s="27"/>
      <c r="H366" s="28"/>
      <c r="I366" s="27"/>
      <c r="J366" s="29"/>
      <c r="K366" s="30"/>
      <c r="L366" s="31"/>
      <c r="M366" s="32"/>
      <c r="N366" s="30"/>
      <c r="O366" s="30"/>
      <c r="P366" s="39"/>
      <c r="Q366" s="34"/>
      <c r="R366" s="35"/>
      <c r="S366" s="36"/>
      <c r="T366" s="35"/>
      <c r="U366" s="36"/>
      <c r="V366" s="37"/>
    </row>
    <row r="367" spans="1:22" x14ac:dyDescent="0.25">
      <c r="A367" s="27"/>
      <c r="B367" s="27"/>
      <c r="C367" s="27"/>
      <c r="D367" s="27"/>
      <c r="E367" s="27"/>
      <c r="F367" s="27"/>
      <c r="G367" s="27"/>
      <c r="H367" s="28"/>
      <c r="I367" s="27"/>
      <c r="J367" s="29"/>
      <c r="K367" s="30"/>
      <c r="L367" s="31"/>
      <c r="M367" s="32"/>
      <c r="N367" s="30"/>
      <c r="O367" s="30"/>
      <c r="P367" s="39"/>
      <c r="Q367" s="34"/>
      <c r="R367" s="35"/>
      <c r="S367" s="36"/>
      <c r="T367" s="35"/>
      <c r="U367" s="36"/>
      <c r="V367" s="37"/>
    </row>
    <row r="368" spans="1:22" x14ac:dyDescent="0.25">
      <c r="A368" s="27"/>
      <c r="B368" s="27"/>
      <c r="C368" s="27"/>
      <c r="D368" s="27"/>
      <c r="E368" s="27"/>
      <c r="F368" s="27"/>
      <c r="G368" s="27"/>
      <c r="H368" s="28"/>
      <c r="I368" s="27"/>
      <c r="J368" s="29"/>
      <c r="K368" s="30"/>
      <c r="L368" s="31"/>
      <c r="M368" s="32"/>
      <c r="N368" s="30"/>
      <c r="O368" s="30"/>
      <c r="P368" s="39"/>
      <c r="Q368" s="34"/>
      <c r="R368" s="35"/>
      <c r="S368" s="36"/>
      <c r="T368" s="35"/>
      <c r="U368" s="36"/>
      <c r="V368" s="37"/>
    </row>
    <row r="369" spans="1:22" x14ac:dyDescent="0.25">
      <c r="A369" s="27"/>
      <c r="B369" s="27"/>
      <c r="C369" s="27"/>
      <c r="D369" s="27"/>
      <c r="E369" s="27"/>
      <c r="F369" s="27"/>
      <c r="G369" s="27"/>
      <c r="H369" s="28"/>
      <c r="I369" s="27"/>
      <c r="J369" s="29"/>
      <c r="K369" s="30"/>
      <c r="L369" s="31"/>
      <c r="M369" s="32"/>
      <c r="N369" s="30"/>
      <c r="O369" s="30"/>
      <c r="P369" s="39"/>
      <c r="Q369" s="34"/>
      <c r="R369" s="35"/>
      <c r="S369" s="36"/>
      <c r="T369" s="35"/>
      <c r="U369" s="36"/>
      <c r="V369" s="37"/>
    </row>
    <row r="370" spans="1:22" x14ac:dyDescent="0.25">
      <c r="A370" s="27"/>
      <c r="B370" s="27"/>
      <c r="C370" s="27"/>
      <c r="D370" s="27"/>
      <c r="E370" s="27"/>
      <c r="F370" s="27"/>
      <c r="G370" s="27"/>
      <c r="H370" s="28"/>
      <c r="I370" s="27"/>
      <c r="J370" s="29"/>
      <c r="K370" s="30"/>
      <c r="L370" s="31"/>
      <c r="M370" s="32"/>
      <c r="N370" s="30"/>
      <c r="O370" s="30"/>
      <c r="P370" s="39"/>
      <c r="Q370" s="34"/>
      <c r="R370" s="35"/>
      <c r="S370" s="36"/>
      <c r="T370" s="35"/>
      <c r="U370" s="36"/>
      <c r="V370" s="37"/>
    </row>
    <row r="371" spans="1:22" x14ac:dyDescent="0.25">
      <c r="A371" s="27"/>
      <c r="B371" s="27"/>
      <c r="C371" s="27"/>
      <c r="D371" s="27"/>
      <c r="E371" s="27"/>
      <c r="F371" s="27"/>
      <c r="G371" s="27"/>
      <c r="H371" s="28"/>
      <c r="I371" s="27"/>
      <c r="J371" s="29"/>
      <c r="K371" s="30"/>
      <c r="L371" s="31"/>
      <c r="M371" s="32"/>
      <c r="N371" s="30"/>
      <c r="O371" s="30"/>
      <c r="P371" s="39"/>
      <c r="Q371" s="34"/>
      <c r="R371" s="35"/>
      <c r="S371" s="36"/>
      <c r="T371" s="35"/>
      <c r="U371" s="36"/>
      <c r="V371" s="37"/>
    </row>
    <row r="372" spans="1:22" x14ac:dyDescent="0.25">
      <c r="A372" s="27"/>
      <c r="B372" s="27"/>
      <c r="C372" s="27"/>
      <c r="D372" s="27"/>
      <c r="E372" s="27"/>
      <c r="F372" s="27"/>
      <c r="G372" s="27"/>
      <c r="H372" s="28"/>
      <c r="I372" s="27"/>
      <c r="J372" s="29"/>
      <c r="K372" s="30"/>
      <c r="L372" s="31"/>
      <c r="M372" s="32"/>
      <c r="N372" s="30"/>
      <c r="O372" s="30"/>
      <c r="P372" s="39"/>
      <c r="Q372" s="34"/>
      <c r="R372" s="35"/>
      <c r="S372" s="36"/>
      <c r="T372" s="35"/>
      <c r="U372" s="36"/>
      <c r="V372" s="37"/>
    </row>
    <row r="373" spans="1:22" x14ac:dyDescent="0.25">
      <c r="A373" s="27"/>
      <c r="B373" s="27"/>
      <c r="C373" s="27"/>
      <c r="D373" s="27"/>
      <c r="E373" s="27"/>
      <c r="F373" s="27"/>
      <c r="G373" s="27"/>
      <c r="H373" s="28"/>
      <c r="I373" s="27"/>
      <c r="J373" s="29"/>
      <c r="K373" s="30"/>
      <c r="L373" s="31"/>
      <c r="M373" s="32"/>
      <c r="N373" s="30"/>
      <c r="O373" s="30"/>
      <c r="P373" s="39"/>
      <c r="Q373" s="34"/>
      <c r="R373" s="35"/>
      <c r="S373" s="36"/>
      <c r="T373" s="35"/>
      <c r="U373" s="36"/>
      <c r="V373" s="37"/>
    </row>
    <row r="374" spans="1:22" x14ac:dyDescent="0.25">
      <c r="A374" s="27"/>
      <c r="B374" s="27"/>
      <c r="C374" s="27"/>
      <c r="D374" s="27"/>
      <c r="E374" s="27"/>
      <c r="F374" s="27"/>
      <c r="G374" s="27"/>
      <c r="H374" s="28"/>
      <c r="I374" s="27"/>
      <c r="J374" s="29"/>
      <c r="K374" s="30"/>
      <c r="L374" s="31"/>
      <c r="M374" s="32"/>
      <c r="N374" s="30"/>
      <c r="O374" s="30"/>
      <c r="P374" s="39"/>
      <c r="Q374" s="34"/>
      <c r="R374" s="35"/>
      <c r="S374" s="36"/>
      <c r="T374" s="35"/>
      <c r="U374" s="36"/>
      <c r="V374" s="37"/>
    </row>
    <row r="375" spans="1:22" x14ac:dyDescent="0.25">
      <c r="A375" s="27"/>
      <c r="B375" s="27"/>
      <c r="C375" s="27"/>
      <c r="D375" s="27"/>
      <c r="E375" s="27"/>
      <c r="F375" s="27"/>
      <c r="G375" s="27"/>
      <c r="H375" s="28"/>
      <c r="I375" s="27"/>
      <c r="J375" s="29"/>
      <c r="K375" s="30"/>
      <c r="L375" s="31"/>
      <c r="M375" s="32"/>
      <c r="N375" s="30"/>
      <c r="O375" s="30"/>
      <c r="P375" s="39"/>
      <c r="Q375" s="34"/>
      <c r="R375" s="35"/>
      <c r="S375" s="36"/>
      <c r="T375" s="35"/>
      <c r="U375" s="36"/>
      <c r="V375" s="37"/>
    </row>
    <row r="376" spans="1:22" x14ac:dyDescent="0.25">
      <c r="A376" s="27"/>
      <c r="B376" s="27"/>
      <c r="C376" s="27"/>
      <c r="D376" s="27"/>
      <c r="E376" s="27"/>
      <c r="F376" s="27"/>
      <c r="G376" s="27"/>
      <c r="H376" s="28"/>
      <c r="I376" s="27"/>
      <c r="J376" s="29"/>
      <c r="K376" s="30"/>
      <c r="L376" s="31"/>
      <c r="M376" s="32"/>
      <c r="N376" s="30"/>
      <c r="O376" s="30"/>
      <c r="P376" s="39"/>
      <c r="Q376" s="34"/>
      <c r="R376" s="35"/>
      <c r="S376" s="36"/>
      <c r="T376" s="35"/>
      <c r="U376" s="36"/>
      <c r="V376" s="37"/>
    </row>
    <row r="377" spans="1:22" x14ac:dyDescent="0.25">
      <c r="A377" s="27"/>
      <c r="B377" s="27"/>
      <c r="C377" s="27"/>
      <c r="D377" s="27"/>
      <c r="E377" s="27"/>
      <c r="F377" s="27"/>
      <c r="G377" s="27"/>
      <c r="H377" s="28"/>
      <c r="I377" s="27"/>
      <c r="J377" s="29"/>
      <c r="K377" s="30"/>
      <c r="L377" s="31"/>
      <c r="M377" s="32"/>
      <c r="N377" s="30"/>
      <c r="O377" s="30"/>
      <c r="P377" s="39"/>
      <c r="Q377" s="34"/>
      <c r="R377" s="35"/>
      <c r="S377" s="36"/>
      <c r="T377" s="35"/>
      <c r="U377" s="36"/>
      <c r="V377" s="37"/>
    </row>
    <row r="378" spans="1:22" x14ac:dyDescent="0.25">
      <c r="A378" s="27"/>
      <c r="B378" s="27"/>
      <c r="C378" s="27"/>
      <c r="D378" s="27"/>
      <c r="E378" s="27"/>
      <c r="F378" s="27"/>
      <c r="G378" s="27"/>
      <c r="H378" s="28"/>
      <c r="I378" s="27"/>
      <c r="J378" s="29"/>
      <c r="K378" s="30"/>
      <c r="L378" s="31"/>
      <c r="M378" s="32"/>
      <c r="N378" s="30"/>
      <c r="O378" s="30"/>
      <c r="P378" s="39"/>
      <c r="Q378" s="34"/>
      <c r="R378" s="35"/>
      <c r="S378" s="36"/>
      <c r="T378" s="35"/>
      <c r="U378" s="36"/>
      <c r="V378" s="37"/>
    </row>
    <row r="379" spans="1:22" x14ac:dyDescent="0.25">
      <c r="A379" s="27"/>
      <c r="B379" s="27"/>
      <c r="C379" s="27"/>
      <c r="D379" s="27"/>
      <c r="E379" s="27"/>
      <c r="F379" s="27"/>
      <c r="G379" s="27"/>
      <c r="H379" s="28"/>
      <c r="I379" s="27"/>
      <c r="J379" s="29"/>
      <c r="K379" s="30"/>
      <c r="L379" s="31"/>
      <c r="M379" s="32"/>
      <c r="N379" s="30"/>
      <c r="O379" s="30"/>
      <c r="P379" s="39"/>
      <c r="Q379" s="34"/>
      <c r="R379" s="35"/>
      <c r="S379" s="36"/>
      <c r="T379" s="35"/>
      <c r="U379" s="36"/>
      <c r="V379" s="37"/>
    </row>
    <row r="380" spans="1:22" x14ac:dyDescent="0.25">
      <c r="A380" s="27"/>
      <c r="B380" s="27"/>
      <c r="C380" s="27"/>
      <c r="D380" s="27"/>
      <c r="E380" s="27"/>
      <c r="F380" s="27"/>
      <c r="G380" s="27"/>
      <c r="H380" s="28"/>
      <c r="I380" s="27"/>
      <c r="J380" s="29"/>
      <c r="K380" s="30"/>
      <c r="L380" s="31"/>
      <c r="M380" s="32"/>
      <c r="N380" s="30"/>
      <c r="O380" s="30"/>
      <c r="P380" s="39"/>
      <c r="Q380" s="34"/>
      <c r="R380" s="35"/>
      <c r="S380" s="36"/>
      <c r="T380" s="35"/>
      <c r="U380" s="36"/>
      <c r="V380" s="37"/>
    </row>
    <row r="381" spans="1:22" x14ac:dyDescent="0.25">
      <c r="A381" s="27"/>
      <c r="B381" s="27"/>
      <c r="C381" s="27"/>
      <c r="D381" s="27"/>
      <c r="E381" s="27"/>
      <c r="F381" s="27"/>
      <c r="G381" s="27"/>
      <c r="H381" s="28"/>
      <c r="I381" s="27"/>
      <c r="J381" s="29"/>
      <c r="K381" s="30"/>
      <c r="L381" s="31"/>
      <c r="M381" s="32"/>
      <c r="N381" s="30"/>
      <c r="O381" s="30"/>
      <c r="P381" s="39"/>
      <c r="Q381" s="34"/>
      <c r="R381" s="35"/>
      <c r="S381" s="36"/>
      <c r="T381" s="35"/>
      <c r="U381" s="36"/>
      <c r="V381" s="37"/>
    </row>
    <row r="382" spans="1:22" x14ac:dyDescent="0.25">
      <c r="A382" s="27"/>
      <c r="B382" s="27"/>
      <c r="C382" s="27"/>
      <c r="D382" s="27"/>
      <c r="E382" s="27"/>
      <c r="F382" s="27"/>
      <c r="G382" s="27"/>
      <c r="H382" s="28"/>
      <c r="I382" s="27"/>
      <c r="J382" s="29"/>
      <c r="K382" s="30"/>
      <c r="L382" s="31"/>
      <c r="M382" s="32"/>
      <c r="N382" s="30"/>
      <c r="O382" s="30"/>
      <c r="P382" s="39"/>
      <c r="Q382" s="34"/>
      <c r="R382" s="35"/>
      <c r="S382" s="36"/>
      <c r="T382" s="35"/>
      <c r="U382" s="36"/>
      <c r="V382" s="37"/>
    </row>
    <row r="383" spans="1:22" x14ac:dyDescent="0.25">
      <c r="A383" s="27"/>
      <c r="B383" s="27"/>
      <c r="C383" s="27"/>
      <c r="D383" s="27"/>
      <c r="E383" s="27"/>
      <c r="F383" s="27"/>
      <c r="G383" s="27"/>
      <c r="H383" s="28"/>
      <c r="I383" s="27"/>
      <c r="J383" s="29"/>
      <c r="K383" s="30"/>
      <c r="L383" s="31"/>
      <c r="M383" s="32"/>
      <c r="N383" s="30"/>
      <c r="O383" s="30"/>
      <c r="P383" s="39"/>
      <c r="Q383" s="34"/>
      <c r="R383" s="35"/>
      <c r="S383" s="36"/>
      <c r="T383" s="35"/>
      <c r="U383" s="36"/>
      <c r="V383" s="37"/>
    </row>
    <row r="384" spans="1:22" x14ac:dyDescent="0.25">
      <c r="A384" s="27"/>
      <c r="B384" s="27"/>
      <c r="C384" s="27"/>
      <c r="D384" s="27"/>
      <c r="E384" s="27"/>
      <c r="F384" s="27"/>
      <c r="G384" s="27"/>
      <c r="H384" s="28"/>
      <c r="I384" s="27"/>
      <c r="J384" s="29"/>
      <c r="K384" s="30"/>
      <c r="L384" s="31"/>
      <c r="M384" s="32"/>
      <c r="N384" s="30"/>
      <c r="O384" s="30"/>
      <c r="P384" s="39"/>
      <c r="Q384" s="34"/>
      <c r="R384" s="35"/>
      <c r="S384" s="36"/>
      <c r="T384" s="35"/>
      <c r="U384" s="36"/>
      <c r="V384" s="37"/>
    </row>
    <row r="385" spans="1:22" x14ac:dyDescent="0.25">
      <c r="A385" s="27"/>
      <c r="B385" s="27"/>
      <c r="C385" s="27"/>
      <c r="D385" s="27"/>
      <c r="E385" s="27"/>
      <c r="F385" s="27"/>
      <c r="G385" s="27"/>
      <c r="H385" s="28"/>
      <c r="I385" s="27"/>
      <c r="J385" s="29"/>
      <c r="K385" s="30"/>
      <c r="L385" s="31"/>
      <c r="M385" s="32"/>
      <c r="N385" s="30"/>
      <c r="O385" s="30"/>
      <c r="P385" s="39"/>
      <c r="Q385" s="34"/>
      <c r="R385" s="35"/>
      <c r="S385" s="36"/>
      <c r="T385" s="35"/>
      <c r="U385" s="36"/>
      <c r="V385" s="37"/>
    </row>
    <row r="386" spans="1:22" x14ac:dyDescent="0.25">
      <c r="A386" s="27"/>
      <c r="B386" s="27"/>
      <c r="C386" s="27"/>
      <c r="D386" s="27"/>
      <c r="E386" s="27"/>
      <c r="F386" s="27"/>
      <c r="G386" s="27"/>
      <c r="H386" s="28"/>
      <c r="I386" s="27"/>
      <c r="J386" s="29"/>
      <c r="K386" s="30"/>
      <c r="L386" s="31"/>
      <c r="M386" s="32"/>
      <c r="N386" s="30"/>
      <c r="O386" s="30"/>
      <c r="P386" s="39"/>
      <c r="Q386" s="34"/>
      <c r="R386" s="35"/>
      <c r="S386" s="36"/>
      <c r="T386" s="35"/>
      <c r="U386" s="36"/>
      <c r="V386" s="37"/>
    </row>
    <row r="387" spans="1:22" x14ac:dyDescent="0.25">
      <c r="A387" s="27"/>
      <c r="B387" s="27"/>
      <c r="C387" s="27"/>
      <c r="D387" s="27"/>
      <c r="E387" s="27"/>
      <c r="F387" s="27"/>
      <c r="G387" s="27"/>
      <c r="H387" s="28"/>
      <c r="I387" s="27"/>
      <c r="J387" s="29"/>
      <c r="K387" s="30"/>
      <c r="L387" s="31"/>
      <c r="M387" s="32"/>
      <c r="N387" s="30"/>
      <c r="O387" s="30"/>
      <c r="P387" s="39"/>
      <c r="Q387" s="34"/>
      <c r="R387" s="35"/>
      <c r="S387" s="36"/>
      <c r="T387" s="35"/>
      <c r="U387" s="36"/>
      <c r="V387" s="37"/>
    </row>
    <row r="388" spans="1:22" x14ac:dyDescent="0.25">
      <c r="A388" s="27"/>
      <c r="B388" s="27"/>
      <c r="C388" s="27"/>
      <c r="D388" s="27"/>
      <c r="E388" s="27"/>
      <c r="F388" s="27"/>
      <c r="G388" s="27"/>
      <c r="H388" s="28"/>
      <c r="I388" s="27"/>
      <c r="J388" s="29"/>
      <c r="K388" s="30"/>
      <c r="L388" s="31"/>
      <c r="M388" s="32"/>
      <c r="N388" s="30"/>
      <c r="O388" s="30"/>
      <c r="P388" s="39"/>
      <c r="Q388" s="34"/>
      <c r="R388" s="35"/>
      <c r="S388" s="36"/>
      <c r="T388" s="35"/>
      <c r="U388" s="36"/>
      <c r="V388" s="37"/>
    </row>
    <row r="389" spans="1:22" x14ac:dyDescent="0.25">
      <c r="A389" s="27"/>
      <c r="B389" s="27"/>
      <c r="C389" s="27"/>
      <c r="D389" s="27"/>
      <c r="E389" s="27"/>
      <c r="F389" s="27"/>
      <c r="G389" s="27"/>
      <c r="H389" s="28"/>
      <c r="I389" s="27"/>
      <c r="J389" s="29"/>
      <c r="K389" s="30"/>
      <c r="L389" s="31"/>
      <c r="M389" s="32"/>
      <c r="N389" s="30"/>
      <c r="O389" s="30"/>
      <c r="P389" s="39"/>
      <c r="Q389" s="34"/>
      <c r="R389" s="35"/>
      <c r="S389" s="36"/>
      <c r="T389" s="35"/>
      <c r="U389" s="36"/>
      <c r="V389" s="37"/>
    </row>
    <row r="390" spans="1:22" x14ac:dyDescent="0.25">
      <c r="A390" s="27"/>
      <c r="B390" s="27"/>
      <c r="C390" s="27"/>
      <c r="D390" s="27"/>
      <c r="E390" s="27"/>
      <c r="F390" s="27"/>
      <c r="G390" s="27"/>
      <c r="H390" s="28"/>
      <c r="I390" s="27"/>
      <c r="J390" s="29"/>
      <c r="K390" s="30"/>
      <c r="L390" s="31"/>
      <c r="M390" s="32"/>
      <c r="N390" s="30"/>
      <c r="O390" s="30"/>
      <c r="P390" s="39"/>
      <c r="Q390" s="34"/>
      <c r="R390" s="35"/>
      <c r="S390" s="36"/>
      <c r="T390" s="35"/>
      <c r="U390" s="36"/>
      <c r="V390" s="37"/>
    </row>
    <row r="391" spans="1:22" x14ac:dyDescent="0.25">
      <c r="A391" s="27"/>
      <c r="B391" s="27"/>
      <c r="C391" s="27"/>
      <c r="D391" s="27"/>
      <c r="E391" s="27"/>
      <c r="F391" s="27"/>
      <c r="G391" s="27"/>
      <c r="H391" s="28"/>
      <c r="I391" s="27"/>
      <c r="J391" s="29"/>
      <c r="K391" s="30"/>
      <c r="L391" s="31"/>
      <c r="M391" s="32"/>
      <c r="N391" s="30"/>
      <c r="O391" s="30"/>
      <c r="P391" s="39"/>
      <c r="Q391" s="34"/>
      <c r="R391" s="35"/>
      <c r="S391" s="36"/>
      <c r="T391" s="35"/>
      <c r="U391" s="36"/>
      <c r="V391" s="37"/>
    </row>
    <row r="392" spans="1:22" x14ac:dyDescent="0.25">
      <c r="A392" s="27"/>
      <c r="B392" s="27"/>
      <c r="C392" s="27"/>
      <c r="D392" s="27"/>
      <c r="E392" s="27"/>
      <c r="F392" s="27"/>
      <c r="G392" s="27"/>
      <c r="H392" s="28"/>
      <c r="I392" s="27"/>
      <c r="J392" s="29"/>
      <c r="K392" s="30"/>
      <c r="L392" s="31"/>
      <c r="M392" s="32"/>
      <c r="N392" s="30"/>
      <c r="O392" s="30"/>
      <c r="P392" s="39"/>
      <c r="Q392" s="34"/>
      <c r="R392" s="35"/>
      <c r="S392" s="36"/>
      <c r="T392" s="35"/>
      <c r="U392" s="36"/>
      <c r="V392" s="37"/>
    </row>
    <row r="393" spans="1:22" x14ac:dyDescent="0.25">
      <c r="A393" s="27"/>
      <c r="B393" s="27"/>
      <c r="C393" s="27"/>
      <c r="D393" s="27"/>
      <c r="E393" s="27"/>
      <c r="F393" s="27"/>
      <c r="G393" s="27"/>
      <c r="H393" s="28"/>
      <c r="I393" s="27"/>
      <c r="J393" s="29"/>
      <c r="K393" s="30"/>
      <c r="L393" s="31"/>
      <c r="M393" s="32"/>
      <c r="N393" s="30"/>
      <c r="O393" s="30"/>
      <c r="P393" s="39"/>
      <c r="Q393" s="34"/>
      <c r="R393" s="35"/>
      <c r="S393" s="36"/>
      <c r="T393" s="35"/>
      <c r="U393" s="36"/>
      <c r="V393" s="37"/>
    </row>
    <row r="394" spans="1:22" x14ac:dyDescent="0.25">
      <c r="A394" s="27"/>
      <c r="B394" s="27"/>
      <c r="C394" s="27"/>
      <c r="D394" s="27"/>
      <c r="E394" s="27"/>
      <c r="F394" s="27"/>
      <c r="G394" s="27"/>
      <c r="H394" s="28"/>
      <c r="I394" s="27"/>
      <c r="J394" s="29"/>
      <c r="K394" s="30"/>
      <c r="L394" s="31"/>
      <c r="M394" s="32"/>
      <c r="N394" s="30"/>
      <c r="O394" s="30"/>
      <c r="P394" s="39"/>
      <c r="Q394" s="34"/>
      <c r="R394" s="35"/>
      <c r="S394" s="36"/>
      <c r="T394" s="35"/>
      <c r="U394" s="36"/>
      <c r="V394" s="37"/>
    </row>
    <row r="395" spans="1:22" x14ac:dyDescent="0.25">
      <c r="A395" s="27"/>
      <c r="B395" s="27"/>
      <c r="C395" s="27"/>
      <c r="D395" s="27"/>
      <c r="E395" s="27"/>
      <c r="F395" s="27"/>
      <c r="G395" s="27"/>
      <c r="H395" s="28"/>
      <c r="I395" s="27"/>
      <c r="J395" s="29"/>
      <c r="K395" s="30"/>
      <c r="L395" s="31"/>
      <c r="M395" s="32"/>
      <c r="N395" s="30"/>
      <c r="O395" s="30"/>
      <c r="P395" s="39"/>
      <c r="Q395" s="34"/>
      <c r="R395" s="35"/>
      <c r="S395" s="36"/>
      <c r="T395" s="35"/>
      <c r="U395" s="36"/>
      <c r="V395" s="37"/>
    </row>
    <row r="396" spans="1:22" x14ac:dyDescent="0.25">
      <c r="A396" s="27"/>
      <c r="B396" s="27"/>
      <c r="C396" s="27"/>
      <c r="D396" s="27"/>
      <c r="E396" s="27"/>
      <c r="F396" s="27"/>
      <c r="G396" s="27"/>
      <c r="H396" s="28"/>
      <c r="I396" s="27"/>
      <c r="J396" s="29"/>
      <c r="K396" s="30"/>
      <c r="L396" s="31"/>
      <c r="M396" s="32"/>
      <c r="N396" s="30"/>
      <c r="O396" s="30"/>
      <c r="P396" s="39"/>
      <c r="Q396" s="34"/>
      <c r="R396" s="35"/>
      <c r="S396" s="36"/>
      <c r="T396" s="35"/>
      <c r="U396" s="36"/>
      <c r="V396" s="37"/>
    </row>
    <row r="397" spans="1:22" x14ac:dyDescent="0.25">
      <c r="A397" s="27"/>
      <c r="B397" s="27"/>
      <c r="C397" s="27"/>
      <c r="D397" s="27"/>
      <c r="E397" s="27"/>
      <c r="F397" s="27"/>
      <c r="G397" s="27"/>
      <c r="H397" s="28"/>
      <c r="I397" s="27"/>
      <c r="J397" s="29"/>
      <c r="K397" s="30"/>
      <c r="L397" s="31"/>
      <c r="M397" s="32"/>
      <c r="N397" s="30"/>
      <c r="O397" s="30"/>
      <c r="P397" s="39"/>
      <c r="Q397" s="34"/>
      <c r="R397" s="35"/>
      <c r="S397" s="36"/>
      <c r="T397" s="35"/>
      <c r="U397" s="36"/>
      <c r="V397" s="37"/>
    </row>
    <row r="398" spans="1:22" x14ac:dyDescent="0.25">
      <c r="A398" s="27"/>
      <c r="B398" s="27"/>
      <c r="C398" s="27"/>
      <c r="D398" s="27"/>
      <c r="E398" s="27"/>
      <c r="F398" s="27"/>
      <c r="G398" s="27"/>
      <c r="H398" s="28"/>
      <c r="I398" s="27"/>
      <c r="J398" s="29"/>
      <c r="K398" s="30"/>
      <c r="L398" s="31"/>
      <c r="M398" s="32"/>
      <c r="N398" s="30"/>
      <c r="O398" s="30"/>
      <c r="P398" s="39"/>
      <c r="Q398" s="34"/>
      <c r="R398" s="35"/>
      <c r="S398" s="36"/>
      <c r="T398" s="35"/>
      <c r="U398" s="36"/>
      <c r="V398" s="37"/>
    </row>
    <row r="399" spans="1:22" x14ac:dyDescent="0.25">
      <c r="A399" s="27"/>
      <c r="B399" s="27"/>
      <c r="C399" s="27"/>
      <c r="D399" s="27"/>
      <c r="E399" s="27"/>
      <c r="F399" s="27"/>
      <c r="G399" s="27"/>
      <c r="H399" s="28"/>
      <c r="I399" s="27"/>
      <c r="J399" s="29"/>
      <c r="K399" s="30"/>
      <c r="L399" s="31"/>
      <c r="M399" s="32"/>
      <c r="N399" s="30"/>
      <c r="O399" s="30"/>
      <c r="P399" s="39"/>
      <c r="Q399" s="34"/>
      <c r="R399" s="35"/>
      <c r="S399" s="36"/>
      <c r="T399" s="35"/>
      <c r="U399" s="36"/>
      <c r="V399" s="37"/>
    </row>
    <row r="400" spans="1:22" x14ac:dyDescent="0.25">
      <c r="A400" s="27"/>
      <c r="B400" s="27"/>
      <c r="C400" s="27"/>
      <c r="D400" s="27"/>
      <c r="E400" s="27"/>
      <c r="F400" s="27"/>
      <c r="G400" s="27"/>
      <c r="H400" s="28"/>
      <c r="I400" s="27"/>
      <c r="J400" s="29"/>
      <c r="K400" s="30"/>
      <c r="L400" s="31"/>
      <c r="M400" s="32"/>
      <c r="N400" s="30"/>
      <c r="O400" s="30"/>
      <c r="P400" s="39"/>
      <c r="Q400" s="34"/>
      <c r="R400" s="35"/>
      <c r="S400" s="36"/>
      <c r="T400" s="35"/>
      <c r="U400" s="36"/>
      <c r="V400" s="37"/>
    </row>
    <row r="401" spans="1:22" x14ac:dyDescent="0.25">
      <c r="A401" s="27"/>
      <c r="B401" s="27"/>
      <c r="C401" s="27"/>
      <c r="D401" s="27"/>
      <c r="E401" s="27"/>
      <c r="F401" s="27"/>
      <c r="G401" s="27"/>
      <c r="H401" s="28"/>
      <c r="I401" s="27"/>
      <c r="J401" s="29"/>
      <c r="K401" s="30"/>
      <c r="L401" s="31"/>
      <c r="M401" s="32"/>
      <c r="N401" s="30"/>
      <c r="O401" s="30"/>
      <c r="P401" s="39"/>
      <c r="Q401" s="34"/>
      <c r="R401" s="35"/>
      <c r="S401" s="36"/>
      <c r="T401" s="35"/>
      <c r="U401" s="36"/>
      <c r="V401" s="37"/>
    </row>
    <row r="402" spans="1:22" x14ac:dyDescent="0.25">
      <c r="A402" s="27"/>
      <c r="B402" s="27"/>
      <c r="C402" s="27"/>
      <c r="D402" s="27"/>
      <c r="E402" s="27"/>
      <c r="F402" s="27"/>
      <c r="G402" s="27"/>
      <c r="H402" s="28"/>
      <c r="I402" s="27"/>
      <c r="J402" s="29"/>
      <c r="K402" s="30"/>
      <c r="L402" s="31"/>
      <c r="M402" s="32"/>
      <c r="N402" s="30"/>
      <c r="O402" s="30"/>
      <c r="P402" s="39"/>
      <c r="Q402" s="34"/>
      <c r="R402" s="35"/>
      <c r="S402" s="36"/>
      <c r="T402" s="35"/>
      <c r="U402" s="36"/>
      <c r="V402" s="37"/>
    </row>
    <row r="403" spans="1:22" x14ac:dyDescent="0.25">
      <c r="A403" s="27"/>
      <c r="B403" s="27"/>
      <c r="C403" s="27"/>
      <c r="D403" s="27"/>
      <c r="E403" s="27"/>
      <c r="F403" s="27"/>
      <c r="G403" s="27"/>
      <c r="H403" s="28"/>
      <c r="I403" s="27"/>
      <c r="J403" s="29"/>
      <c r="K403" s="30"/>
      <c r="L403" s="31"/>
      <c r="M403" s="32"/>
      <c r="N403" s="30"/>
      <c r="O403" s="30"/>
      <c r="P403" s="39"/>
      <c r="Q403" s="34"/>
      <c r="R403" s="35"/>
      <c r="S403" s="36"/>
      <c r="T403" s="35"/>
      <c r="U403" s="36"/>
      <c r="V403" s="37"/>
    </row>
    <row r="404" spans="1:22" x14ac:dyDescent="0.25">
      <c r="A404" s="27"/>
      <c r="B404" s="27"/>
      <c r="C404" s="27"/>
      <c r="D404" s="27"/>
      <c r="E404" s="27"/>
      <c r="F404" s="27"/>
      <c r="G404" s="27"/>
      <c r="H404" s="28"/>
      <c r="I404" s="27"/>
      <c r="J404" s="29"/>
      <c r="K404" s="30"/>
      <c r="L404" s="31"/>
      <c r="M404" s="32"/>
      <c r="N404" s="30"/>
      <c r="O404" s="30"/>
      <c r="P404" s="39"/>
      <c r="Q404" s="34"/>
      <c r="R404" s="35"/>
      <c r="S404" s="36"/>
      <c r="T404" s="35"/>
      <c r="U404" s="36"/>
      <c r="V404" s="37"/>
    </row>
    <row r="405" spans="1:22" x14ac:dyDescent="0.25">
      <c r="A405" s="27"/>
      <c r="B405" s="27"/>
      <c r="C405" s="27"/>
      <c r="D405" s="27"/>
      <c r="E405" s="27"/>
      <c r="F405" s="27"/>
      <c r="G405" s="27"/>
      <c r="H405" s="28"/>
      <c r="I405" s="27"/>
      <c r="J405" s="29"/>
      <c r="K405" s="30"/>
      <c r="L405" s="31"/>
      <c r="M405" s="32"/>
      <c r="N405" s="30"/>
      <c r="O405" s="30"/>
      <c r="P405" s="39"/>
      <c r="Q405" s="34"/>
      <c r="R405" s="35"/>
      <c r="S405" s="36"/>
      <c r="T405" s="35"/>
      <c r="U405" s="36"/>
      <c r="V405" s="37"/>
    </row>
    <row r="406" spans="1:22" x14ac:dyDescent="0.25">
      <c r="A406" s="27"/>
      <c r="B406" s="27"/>
      <c r="C406" s="27"/>
      <c r="D406" s="27"/>
      <c r="E406" s="27"/>
      <c r="F406" s="27"/>
      <c r="G406" s="27"/>
      <c r="H406" s="28"/>
      <c r="I406" s="27"/>
      <c r="J406" s="29"/>
      <c r="K406" s="30"/>
      <c r="L406" s="31"/>
      <c r="M406" s="32"/>
      <c r="N406" s="30"/>
      <c r="O406" s="30"/>
      <c r="P406" s="39"/>
      <c r="Q406" s="34"/>
      <c r="R406" s="35"/>
      <c r="S406" s="36"/>
      <c r="T406" s="35"/>
      <c r="U406" s="36"/>
      <c r="V406" s="37"/>
    </row>
    <row r="407" spans="1:22" x14ac:dyDescent="0.25">
      <c r="A407" s="27"/>
      <c r="B407" s="27"/>
      <c r="C407" s="27"/>
      <c r="D407" s="27"/>
      <c r="E407" s="27"/>
      <c r="F407" s="27"/>
      <c r="G407" s="27"/>
      <c r="H407" s="28"/>
      <c r="I407" s="27"/>
      <c r="J407" s="29"/>
      <c r="K407" s="30"/>
      <c r="L407" s="31"/>
      <c r="M407" s="32"/>
      <c r="N407" s="30"/>
      <c r="O407" s="30"/>
      <c r="P407" s="39"/>
      <c r="Q407" s="34"/>
      <c r="R407" s="35"/>
      <c r="S407" s="36"/>
      <c r="T407" s="35"/>
      <c r="U407" s="36"/>
      <c r="V407" s="37"/>
    </row>
    <row r="408" spans="1:22" x14ac:dyDescent="0.25">
      <c r="A408" s="27"/>
      <c r="B408" s="27"/>
      <c r="C408" s="27"/>
      <c r="D408" s="27"/>
      <c r="E408" s="27"/>
      <c r="F408" s="27"/>
      <c r="G408" s="27"/>
      <c r="H408" s="28"/>
      <c r="I408" s="27"/>
      <c r="J408" s="29"/>
      <c r="K408" s="30"/>
      <c r="L408" s="31"/>
      <c r="M408" s="32"/>
      <c r="N408" s="30"/>
      <c r="O408" s="30"/>
      <c r="P408" s="39"/>
      <c r="Q408" s="34"/>
      <c r="R408" s="35"/>
      <c r="S408" s="36"/>
      <c r="T408" s="35"/>
      <c r="U408" s="36"/>
      <c r="V408" s="37"/>
    </row>
    <row r="409" spans="1:22" x14ac:dyDescent="0.25">
      <c r="A409" s="27"/>
      <c r="B409" s="27"/>
      <c r="C409" s="27"/>
      <c r="D409" s="27"/>
      <c r="E409" s="27"/>
      <c r="F409" s="27"/>
      <c r="G409" s="27"/>
      <c r="H409" s="28"/>
      <c r="I409" s="27"/>
      <c r="J409" s="29"/>
      <c r="K409" s="30"/>
      <c r="L409" s="31"/>
      <c r="M409" s="32"/>
      <c r="N409" s="30"/>
      <c r="O409" s="30"/>
      <c r="P409" s="39"/>
      <c r="Q409" s="34"/>
      <c r="R409" s="35"/>
      <c r="S409" s="36"/>
      <c r="T409" s="35"/>
      <c r="U409" s="36"/>
      <c r="V409" s="37"/>
    </row>
    <row r="410" spans="1:22" x14ac:dyDescent="0.25">
      <c r="A410" s="27"/>
      <c r="B410" s="27"/>
      <c r="C410" s="27"/>
      <c r="D410" s="27"/>
      <c r="E410" s="27"/>
      <c r="F410" s="27"/>
      <c r="G410" s="27"/>
      <c r="H410" s="28"/>
      <c r="I410" s="27"/>
      <c r="J410" s="29"/>
      <c r="K410" s="30"/>
      <c r="L410" s="31"/>
      <c r="M410" s="32"/>
      <c r="N410" s="30"/>
      <c r="O410" s="30"/>
      <c r="P410" s="39"/>
      <c r="Q410" s="34"/>
      <c r="R410" s="35"/>
      <c r="S410" s="36"/>
      <c r="T410" s="35"/>
      <c r="U410" s="36"/>
      <c r="V410" s="37"/>
    </row>
    <row r="411" spans="1:22" x14ac:dyDescent="0.25">
      <c r="A411" s="27"/>
      <c r="B411" s="27"/>
      <c r="C411" s="27"/>
      <c r="D411" s="27"/>
      <c r="E411" s="27"/>
      <c r="F411" s="27"/>
      <c r="G411" s="27"/>
      <c r="H411" s="28"/>
      <c r="I411" s="27"/>
      <c r="J411" s="29"/>
      <c r="K411" s="30"/>
      <c r="L411" s="31"/>
      <c r="M411" s="32"/>
      <c r="N411" s="30"/>
      <c r="O411" s="30"/>
      <c r="P411" s="39"/>
      <c r="Q411" s="34"/>
      <c r="R411" s="35"/>
      <c r="S411" s="36"/>
      <c r="T411" s="35"/>
      <c r="U411" s="36"/>
      <c r="V411" s="37"/>
    </row>
    <row r="412" spans="1:22" x14ac:dyDescent="0.25">
      <c r="A412" s="27"/>
      <c r="B412" s="27"/>
      <c r="C412" s="27"/>
      <c r="D412" s="27"/>
      <c r="E412" s="27"/>
      <c r="F412" s="27"/>
      <c r="G412" s="27"/>
      <c r="H412" s="28"/>
      <c r="I412" s="27"/>
      <c r="J412" s="29"/>
      <c r="K412" s="30"/>
      <c r="L412" s="31"/>
      <c r="M412" s="32"/>
      <c r="N412" s="30"/>
      <c r="O412" s="30"/>
      <c r="P412" s="39"/>
      <c r="Q412" s="34"/>
      <c r="R412" s="35"/>
      <c r="S412" s="36"/>
      <c r="T412" s="35"/>
      <c r="U412" s="36"/>
      <c r="V412" s="37"/>
    </row>
    <row r="413" spans="1:22" x14ac:dyDescent="0.25">
      <c r="A413" s="27"/>
      <c r="B413" s="27"/>
      <c r="C413" s="27"/>
      <c r="D413" s="27"/>
      <c r="E413" s="27"/>
      <c r="F413" s="27"/>
      <c r="G413" s="27"/>
      <c r="H413" s="28"/>
      <c r="I413" s="27"/>
      <c r="J413" s="29"/>
      <c r="K413" s="30"/>
      <c r="L413" s="31"/>
      <c r="M413" s="32"/>
      <c r="N413" s="30"/>
      <c r="O413" s="30"/>
      <c r="P413" s="39"/>
      <c r="Q413" s="34"/>
      <c r="R413" s="35"/>
      <c r="S413" s="36"/>
      <c r="T413" s="35"/>
      <c r="U413" s="36"/>
      <c r="V413" s="37"/>
    </row>
    <row r="414" spans="1:22" x14ac:dyDescent="0.25">
      <c r="A414" s="27"/>
      <c r="B414" s="27"/>
      <c r="C414" s="27"/>
      <c r="D414" s="27"/>
      <c r="E414" s="27"/>
      <c r="F414" s="27"/>
      <c r="G414" s="27"/>
      <c r="H414" s="28"/>
      <c r="I414" s="27"/>
      <c r="J414" s="29"/>
      <c r="K414" s="30"/>
      <c r="L414" s="31"/>
      <c r="M414" s="32"/>
      <c r="N414" s="30"/>
      <c r="O414" s="30"/>
      <c r="P414" s="39"/>
      <c r="Q414" s="34"/>
      <c r="R414" s="35"/>
      <c r="S414" s="36"/>
      <c r="T414" s="35"/>
      <c r="U414" s="36"/>
      <c r="V414" s="37"/>
    </row>
    <row r="415" spans="1:22" x14ac:dyDescent="0.25">
      <c r="A415" s="27"/>
      <c r="B415" s="27"/>
      <c r="C415" s="27"/>
      <c r="D415" s="27"/>
      <c r="E415" s="27"/>
      <c r="F415" s="27"/>
      <c r="G415" s="27"/>
      <c r="H415" s="28"/>
      <c r="I415" s="27"/>
      <c r="J415" s="29"/>
      <c r="K415" s="30"/>
      <c r="L415" s="31"/>
      <c r="M415" s="32"/>
      <c r="N415" s="30"/>
      <c r="O415" s="30"/>
      <c r="P415" s="39"/>
      <c r="Q415" s="34"/>
      <c r="R415" s="35"/>
      <c r="S415" s="36"/>
      <c r="T415" s="35"/>
      <c r="U415" s="36"/>
      <c r="V415" s="37"/>
    </row>
    <row r="416" spans="1:22" x14ac:dyDescent="0.25">
      <c r="A416" s="27"/>
      <c r="B416" s="27"/>
      <c r="C416" s="27"/>
      <c r="D416" s="27"/>
      <c r="E416" s="27"/>
      <c r="F416" s="27"/>
      <c r="G416" s="27"/>
      <c r="H416" s="28"/>
      <c r="I416" s="27"/>
      <c r="J416" s="29"/>
      <c r="K416" s="30"/>
      <c r="L416" s="31"/>
      <c r="M416" s="32"/>
      <c r="N416" s="30"/>
      <c r="O416" s="30"/>
      <c r="P416" s="39"/>
      <c r="Q416" s="34"/>
      <c r="R416" s="35"/>
      <c r="S416" s="36"/>
      <c r="T416" s="35"/>
      <c r="U416" s="36"/>
      <c r="V416" s="37"/>
    </row>
    <row r="417" spans="1:22" x14ac:dyDescent="0.25">
      <c r="A417" s="27"/>
      <c r="B417" s="27"/>
      <c r="C417" s="27"/>
      <c r="D417" s="27"/>
      <c r="E417" s="27"/>
      <c r="F417" s="27"/>
      <c r="G417" s="27"/>
      <c r="H417" s="28"/>
      <c r="I417" s="27"/>
      <c r="J417" s="29"/>
      <c r="K417" s="30"/>
      <c r="L417" s="31"/>
      <c r="M417" s="32"/>
      <c r="N417" s="30"/>
      <c r="O417" s="30"/>
      <c r="P417" s="39"/>
      <c r="Q417" s="34"/>
      <c r="R417" s="35"/>
      <c r="S417" s="36"/>
      <c r="T417" s="35"/>
      <c r="U417" s="36"/>
      <c r="V417" s="37"/>
    </row>
    <row r="418" spans="1:22" x14ac:dyDescent="0.25">
      <c r="A418" s="27"/>
      <c r="B418" s="27"/>
      <c r="C418" s="27"/>
      <c r="D418" s="27"/>
      <c r="E418" s="27"/>
      <c r="F418" s="27"/>
      <c r="G418" s="27"/>
      <c r="H418" s="28"/>
      <c r="I418" s="27"/>
      <c r="J418" s="29"/>
      <c r="K418" s="30"/>
      <c r="L418" s="31"/>
      <c r="M418" s="32"/>
      <c r="N418" s="30"/>
      <c r="O418" s="30"/>
      <c r="P418" s="39"/>
      <c r="Q418" s="34"/>
      <c r="R418" s="35"/>
      <c r="S418" s="36"/>
      <c r="T418" s="35"/>
      <c r="U418" s="36"/>
      <c r="V418" s="37"/>
    </row>
    <row r="419" spans="1:22" x14ac:dyDescent="0.25">
      <c r="A419" s="27"/>
      <c r="B419" s="27"/>
      <c r="C419" s="27"/>
      <c r="D419" s="27"/>
      <c r="E419" s="27"/>
      <c r="F419" s="27"/>
      <c r="G419" s="27"/>
      <c r="H419" s="28"/>
      <c r="I419" s="27"/>
      <c r="J419" s="29"/>
      <c r="K419" s="30"/>
      <c r="L419" s="31"/>
      <c r="M419" s="32"/>
      <c r="N419" s="30"/>
      <c r="O419" s="30"/>
      <c r="P419" s="39"/>
      <c r="Q419" s="34"/>
      <c r="R419" s="35"/>
      <c r="S419" s="36"/>
      <c r="T419" s="35"/>
      <c r="U419" s="36"/>
      <c r="V419" s="37"/>
    </row>
    <row r="420" spans="1:22" x14ac:dyDescent="0.25">
      <c r="A420" s="27"/>
      <c r="B420" s="27"/>
      <c r="C420" s="27"/>
      <c r="D420" s="27"/>
      <c r="E420" s="27"/>
      <c r="F420" s="27"/>
      <c r="G420" s="27"/>
      <c r="H420" s="28"/>
      <c r="I420" s="27"/>
      <c r="J420" s="29"/>
      <c r="K420" s="30"/>
      <c r="L420" s="31"/>
      <c r="M420" s="32"/>
      <c r="N420" s="30"/>
      <c r="O420" s="30"/>
      <c r="P420" s="39"/>
      <c r="Q420" s="34"/>
      <c r="R420" s="35"/>
      <c r="S420" s="36"/>
      <c r="T420" s="35"/>
      <c r="U420" s="36"/>
      <c r="V420" s="37"/>
    </row>
    <row r="421" spans="1:22" x14ac:dyDescent="0.25">
      <c r="A421" s="27"/>
      <c r="B421" s="27"/>
      <c r="C421" s="27"/>
      <c r="D421" s="27"/>
      <c r="E421" s="27"/>
      <c r="F421" s="27"/>
      <c r="G421" s="27"/>
      <c r="H421" s="28"/>
      <c r="I421" s="27"/>
      <c r="J421" s="29"/>
      <c r="K421" s="30"/>
      <c r="L421" s="31"/>
      <c r="M421" s="32"/>
      <c r="N421" s="30"/>
      <c r="O421" s="30"/>
      <c r="P421" s="39"/>
      <c r="Q421" s="34"/>
      <c r="R421" s="35"/>
      <c r="S421" s="36"/>
      <c r="T421" s="35"/>
      <c r="U421" s="36"/>
      <c r="V421" s="37"/>
    </row>
    <row r="422" spans="1:22" x14ac:dyDescent="0.25">
      <c r="A422" s="27"/>
      <c r="B422" s="27"/>
      <c r="C422" s="27"/>
      <c r="D422" s="27"/>
      <c r="E422" s="27"/>
      <c r="F422" s="27"/>
      <c r="G422" s="27"/>
      <c r="H422" s="28"/>
      <c r="I422" s="27"/>
      <c r="J422" s="29"/>
      <c r="K422" s="30"/>
      <c r="L422" s="31"/>
      <c r="M422" s="32"/>
      <c r="N422" s="30"/>
      <c r="O422" s="30"/>
      <c r="P422" s="39"/>
      <c r="Q422" s="34"/>
      <c r="R422" s="35"/>
      <c r="S422" s="36"/>
      <c r="T422" s="35"/>
      <c r="U422" s="36"/>
      <c r="V422" s="37"/>
    </row>
    <row r="423" spans="1:22" x14ac:dyDescent="0.25">
      <c r="A423" s="27"/>
      <c r="B423" s="27"/>
      <c r="C423" s="27"/>
      <c r="D423" s="27"/>
      <c r="E423" s="27"/>
      <c r="F423" s="27"/>
      <c r="G423" s="27"/>
      <c r="H423" s="28"/>
      <c r="I423" s="27"/>
      <c r="J423" s="29"/>
      <c r="K423" s="30"/>
      <c r="L423" s="31"/>
      <c r="M423" s="32"/>
      <c r="N423" s="30"/>
      <c r="O423" s="30"/>
      <c r="P423" s="39"/>
      <c r="Q423" s="34"/>
      <c r="R423" s="35"/>
      <c r="S423" s="36"/>
      <c r="T423" s="35"/>
      <c r="U423" s="36"/>
      <c r="V423" s="37"/>
    </row>
    <row r="424" spans="1:22" x14ac:dyDescent="0.25">
      <c r="A424" s="27"/>
      <c r="B424" s="27"/>
      <c r="C424" s="27"/>
      <c r="D424" s="27"/>
      <c r="E424" s="27"/>
      <c r="F424" s="27"/>
      <c r="G424" s="27"/>
      <c r="H424" s="28"/>
      <c r="I424" s="27"/>
      <c r="J424" s="29"/>
      <c r="K424" s="30"/>
      <c r="L424" s="31"/>
      <c r="M424" s="32"/>
      <c r="N424" s="30"/>
      <c r="O424" s="30"/>
      <c r="P424" s="39"/>
      <c r="Q424" s="34"/>
      <c r="R424" s="35"/>
      <c r="S424" s="36"/>
      <c r="T424" s="35"/>
      <c r="U424" s="36"/>
      <c r="V424" s="37"/>
    </row>
    <row r="425" spans="1:22" x14ac:dyDescent="0.25">
      <c r="A425" s="27"/>
      <c r="B425" s="27"/>
      <c r="C425" s="27"/>
      <c r="D425" s="27"/>
      <c r="E425" s="27"/>
      <c r="F425" s="27"/>
      <c r="G425" s="27"/>
      <c r="H425" s="28"/>
      <c r="I425" s="27"/>
      <c r="J425" s="29"/>
      <c r="K425" s="30"/>
      <c r="L425" s="31"/>
      <c r="M425" s="32"/>
      <c r="N425" s="30"/>
      <c r="O425" s="30"/>
      <c r="P425" s="39"/>
      <c r="Q425" s="34"/>
      <c r="R425" s="35"/>
      <c r="S425" s="36"/>
      <c r="T425" s="35"/>
      <c r="U425" s="36"/>
      <c r="V425" s="37"/>
    </row>
    <row r="426" spans="1:22" x14ac:dyDescent="0.25">
      <c r="A426" s="27"/>
      <c r="B426" s="27"/>
      <c r="C426" s="27"/>
      <c r="D426" s="27"/>
      <c r="E426" s="27"/>
      <c r="F426" s="27"/>
      <c r="G426" s="27"/>
      <c r="H426" s="28"/>
      <c r="I426" s="27"/>
      <c r="J426" s="29"/>
      <c r="K426" s="30"/>
      <c r="L426" s="31"/>
      <c r="M426" s="32"/>
      <c r="N426" s="30"/>
      <c r="O426" s="30"/>
      <c r="P426" s="39"/>
      <c r="Q426" s="34"/>
      <c r="R426" s="35"/>
      <c r="S426" s="36"/>
      <c r="T426" s="35"/>
      <c r="U426" s="36"/>
      <c r="V426" s="37"/>
    </row>
    <row r="427" spans="1:22" x14ac:dyDescent="0.25">
      <c r="A427" s="27"/>
      <c r="B427" s="27"/>
      <c r="C427" s="27"/>
      <c r="D427" s="27"/>
      <c r="E427" s="27"/>
      <c r="F427" s="27"/>
      <c r="G427" s="27"/>
      <c r="H427" s="28"/>
      <c r="I427" s="27"/>
      <c r="J427" s="29"/>
      <c r="K427" s="30"/>
      <c r="L427" s="31"/>
      <c r="M427" s="32"/>
      <c r="N427" s="30"/>
      <c r="O427" s="30"/>
      <c r="P427" s="39"/>
      <c r="Q427" s="34"/>
      <c r="R427" s="35"/>
      <c r="S427" s="36"/>
      <c r="T427" s="35"/>
      <c r="U427" s="36"/>
      <c r="V427" s="37"/>
    </row>
    <row r="428" spans="1:22" x14ac:dyDescent="0.25">
      <c r="A428" s="27"/>
      <c r="B428" s="27"/>
      <c r="C428" s="27"/>
      <c r="D428" s="27"/>
      <c r="E428" s="27"/>
      <c r="F428" s="27"/>
      <c r="G428" s="27"/>
      <c r="H428" s="28"/>
      <c r="I428" s="27"/>
      <c r="J428" s="29"/>
      <c r="K428" s="30"/>
      <c r="L428" s="31"/>
      <c r="M428" s="32"/>
      <c r="N428" s="30"/>
      <c r="O428" s="30"/>
      <c r="P428" s="39"/>
      <c r="Q428" s="34"/>
      <c r="R428" s="35"/>
      <c r="S428" s="36"/>
      <c r="T428" s="35"/>
      <c r="U428" s="36"/>
      <c r="V428" s="37"/>
    </row>
    <row r="429" spans="1:22" x14ac:dyDescent="0.25">
      <c r="A429" s="27"/>
      <c r="B429" s="27"/>
      <c r="C429" s="27"/>
      <c r="D429" s="27"/>
      <c r="E429" s="27"/>
      <c r="F429" s="27"/>
      <c r="G429" s="27"/>
      <c r="H429" s="28"/>
      <c r="I429" s="27"/>
      <c r="J429" s="29"/>
      <c r="K429" s="30"/>
      <c r="L429" s="31"/>
      <c r="M429" s="32"/>
      <c r="N429" s="30"/>
      <c r="O429" s="30"/>
      <c r="P429" s="39"/>
      <c r="Q429" s="34"/>
      <c r="R429" s="35"/>
      <c r="S429" s="36"/>
      <c r="T429" s="35"/>
      <c r="U429" s="36"/>
      <c r="V429" s="37"/>
    </row>
    <row r="430" spans="1:22" x14ac:dyDescent="0.25">
      <c r="A430" s="27"/>
      <c r="B430" s="27"/>
      <c r="C430" s="27"/>
      <c r="D430" s="27"/>
      <c r="E430" s="27"/>
      <c r="F430" s="27"/>
      <c r="G430" s="27"/>
      <c r="H430" s="28"/>
      <c r="I430" s="27"/>
      <c r="J430" s="29"/>
      <c r="K430" s="30"/>
      <c r="L430" s="31"/>
      <c r="M430" s="32"/>
      <c r="N430" s="30"/>
      <c r="O430" s="30"/>
      <c r="P430" s="39"/>
      <c r="Q430" s="34"/>
      <c r="R430" s="35"/>
      <c r="S430" s="36"/>
      <c r="T430" s="35"/>
      <c r="U430" s="36"/>
      <c r="V430" s="37"/>
    </row>
    <row r="431" spans="1:22" x14ac:dyDescent="0.25">
      <c r="A431" s="27"/>
      <c r="B431" s="27"/>
      <c r="C431" s="27"/>
      <c r="D431" s="27"/>
      <c r="E431" s="27"/>
      <c r="F431" s="27"/>
      <c r="G431" s="27"/>
      <c r="H431" s="28"/>
      <c r="I431" s="27"/>
      <c r="J431" s="29"/>
      <c r="K431" s="30"/>
      <c r="L431" s="31"/>
      <c r="M431" s="32"/>
      <c r="N431" s="30"/>
      <c r="O431" s="30"/>
      <c r="P431" s="39"/>
      <c r="Q431" s="34"/>
      <c r="R431" s="35"/>
      <c r="S431" s="36"/>
      <c r="T431" s="35"/>
      <c r="U431" s="36"/>
      <c r="V431" s="37"/>
    </row>
    <row r="432" spans="1:22" x14ac:dyDescent="0.25">
      <c r="A432" s="27"/>
      <c r="B432" s="27"/>
      <c r="C432" s="27"/>
      <c r="D432" s="27"/>
      <c r="E432" s="27"/>
      <c r="F432" s="27"/>
      <c r="G432" s="27"/>
      <c r="H432" s="28"/>
      <c r="I432" s="27"/>
      <c r="J432" s="29"/>
      <c r="K432" s="30"/>
      <c r="L432" s="31"/>
      <c r="M432" s="32"/>
      <c r="N432" s="30"/>
      <c r="O432" s="30"/>
      <c r="P432" s="39"/>
      <c r="Q432" s="34"/>
      <c r="R432" s="35"/>
      <c r="S432" s="36"/>
      <c r="T432" s="35"/>
      <c r="U432" s="36"/>
      <c r="V432" s="37"/>
    </row>
    <row r="433" spans="1:22" x14ac:dyDescent="0.25">
      <c r="A433" s="27"/>
      <c r="B433" s="27"/>
      <c r="C433" s="27"/>
      <c r="D433" s="27"/>
      <c r="E433" s="27"/>
      <c r="F433" s="27"/>
      <c r="G433" s="27"/>
      <c r="H433" s="28"/>
      <c r="I433" s="27"/>
      <c r="J433" s="29"/>
      <c r="K433" s="30"/>
      <c r="L433" s="31"/>
      <c r="M433" s="32"/>
      <c r="N433" s="30"/>
      <c r="O433" s="30"/>
      <c r="P433" s="39"/>
      <c r="Q433" s="34"/>
      <c r="R433" s="35"/>
      <c r="S433" s="36"/>
      <c r="T433" s="35"/>
      <c r="U433" s="36"/>
      <c r="V433" s="37"/>
    </row>
    <row r="434" spans="1:22" x14ac:dyDescent="0.25">
      <c r="A434" s="27"/>
      <c r="B434" s="27"/>
      <c r="C434" s="27"/>
      <c r="D434" s="27"/>
      <c r="E434" s="27"/>
      <c r="F434" s="27"/>
      <c r="G434" s="27"/>
      <c r="H434" s="28"/>
      <c r="I434" s="27"/>
      <c r="J434" s="29"/>
      <c r="K434" s="30"/>
      <c r="L434" s="31"/>
      <c r="M434" s="32"/>
      <c r="N434" s="30"/>
      <c r="O434" s="30"/>
      <c r="P434" s="39"/>
      <c r="Q434" s="34"/>
      <c r="R434" s="35"/>
      <c r="S434" s="36"/>
      <c r="T434" s="35"/>
      <c r="U434" s="36"/>
      <c r="V434" s="37"/>
    </row>
    <row r="435" spans="1:22" x14ac:dyDescent="0.25">
      <c r="A435" s="27"/>
      <c r="B435" s="27"/>
      <c r="C435" s="27"/>
      <c r="D435" s="27"/>
      <c r="E435" s="27"/>
      <c r="F435" s="27"/>
      <c r="G435" s="27"/>
      <c r="H435" s="28"/>
      <c r="I435" s="27"/>
      <c r="J435" s="29"/>
      <c r="K435" s="30"/>
      <c r="L435" s="31"/>
      <c r="M435" s="32"/>
      <c r="N435" s="30"/>
      <c r="O435" s="30"/>
      <c r="P435" s="39"/>
      <c r="Q435" s="34"/>
      <c r="R435" s="35"/>
      <c r="S435" s="36"/>
      <c r="T435" s="35"/>
      <c r="U435" s="36"/>
      <c r="V435" s="37"/>
    </row>
    <row r="436" spans="1:22" x14ac:dyDescent="0.25">
      <c r="A436" s="27"/>
      <c r="B436" s="27"/>
      <c r="C436" s="27"/>
      <c r="D436" s="27"/>
      <c r="E436" s="27"/>
      <c r="F436" s="27"/>
      <c r="G436" s="27"/>
      <c r="H436" s="28"/>
      <c r="I436" s="27"/>
      <c r="J436" s="29"/>
      <c r="K436" s="30"/>
      <c r="L436" s="31"/>
      <c r="M436" s="32"/>
      <c r="N436" s="30"/>
      <c r="O436" s="30"/>
      <c r="P436" s="39"/>
      <c r="Q436" s="34"/>
      <c r="R436" s="35"/>
      <c r="S436" s="36"/>
      <c r="T436" s="35"/>
      <c r="U436" s="36"/>
      <c r="V436" s="37"/>
    </row>
    <row r="437" spans="1:22" x14ac:dyDescent="0.25">
      <c r="A437" s="27"/>
      <c r="B437" s="27"/>
      <c r="C437" s="27"/>
      <c r="D437" s="27"/>
      <c r="E437" s="27"/>
      <c r="F437" s="27"/>
      <c r="G437" s="27"/>
      <c r="H437" s="28"/>
      <c r="I437" s="27"/>
      <c r="J437" s="29"/>
      <c r="K437" s="30"/>
      <c r="L437" s="31"/>
      <c r="M437" s="32"/>
      <c r="N437" s="30"/>
      <c r="O437" s="30"/>
      <c r="P437" s="39"/>
      <c r="Q437" s="34"/>
      <c r="R437" s="35"/>
      <c r="S437" s="36"/>
      <c r="T437" s="35"/>
      <c r="U437" s="36"/>
      <c r="V437" s="37"/>
    </row>
    <row r="438" spans="1:22" x14ac:dyDescent="0.25">
      <c r="A438" s="27"/>
      <c r="B438" s="27"/>
      <c r="C438" s="27"/>
      <c r="D438" s="27"/>
      <c r="E438" s="27"/>
      <c r="F438" s="27"/>
      <c r="G438" s="27"/>
      <c r="H438" s="28"/>
      <c r="I438" s="27"/>
      <c r="J438" s="29"/>
      <c r="K438" s="30"/>
      <c r="L438" s="31"/>
      <c r="M438" s="32"/>
      <c r="N438" s="30"/>
      <c r="O438" s="30"/>
      <c r="P438" s="39"/>
      <c r="Q438" s="34"/>
      <c r="R438" s="35"/>
      <c r="S438" s="36"/>
      <c r="T438" s="35"/>
      <c r="U438" s="36"/>
      <c r="V438" s="37"/>
    </row>
    <row r="439" spans="1:22" x14ac:dyDescent="0.25">
      <c r="A439" s="27"/>
      <c r="B439" s="27"/>
      <c r="C439" s="27"/>
      <c r="D439" s="27"/>
      <c r="E439" s="27"/>
      <c r="F439" s="27"/>
      <c r="G439" s="27"/>
      <c r="H439" s="28"/>
      <c r="I439" s="27"/>
      <c r="J439" s="29"/>
      <c r="K439" s="30"/>
      <c r="L439" s="31"/>
      <c r="M439" s="32"/>
      <c r="N439" s="30"/>
      <c r="O439" s="30"/>
      <c r="P439" s="39"/>
      <c r="Q439" s="34"/>
      <c r="R439" s="35"/>
      <c r="S439" s="36"/>
      <c r="T439" s="35"/>
      <c r="U439" s="36"/>
      <c r="V439" s="37"/>
    </row>
    <row r="440" spans="1:22" x14ac:dyDescent="0.25">
      <c r="A440" s="27"/>
      <c r="B440" s="27"/>
      <c r="C440" s="27"/>
      <c r="D440" s="27"/>
      <c r="E440" s="27"/>
      <c r="F440" s="27"/>
      <c r="G440" s="27"/>
      <c r="H440" s="28"/>
      <c r="I440" s="27"/>
      <c r="J440" s="29"/>
      <c r="K440" s="30"/>
      <c r="L440" s="31"/>
      <c r="M440" s="32"/>
      <c r="N440" s="30"/>
      <c r="O440" s="30"/>
      <c r="P440" s="39"/>
      <c r="Q440" s="34"/>
      <c r="R440" s="35"/>
      <c r="S440" s="36"/>
      <c r="T440" s="35"/>
      <c r="U440" s="36"/>
      <c r="V440" s="37"/>
    </row>
    <row r="441" spans="1:22" x14ac:dyDescent="0.25">
      <c r="A441" s="27"/>
      <c r="B441" s="27"/>
      <c r="C441" s="27"/>
      <c r="D441" s="27"/>
      <c r="E441" s="27"/>
      <c r="F441" s="27"/>
      <c r="G441" s="27"/>
      <c r="H441" s="28"/>
      <c r="I441" s="27"/>
      <c r="J441" s="29"/>
      <c r="K441" s="30"/>
      <c r="L441" s="31"/>
      <c r="M441" s="32"/>
      <c r="N441" s="30"/>
      <c r="O441" s="30"/>
      <c r="P441" s="39"/>
      <c r="Q441" s="34"/>
      <c r="R441" s="35"/>
      <c r="S441" s="36"/>
      <c r="T441" s="35"/>
      <c r="U441" s="36"/>
      <c r="V441" s="37"/>
    </row>
    <row r="442" spans="1:22" x14ac:dyDescent="0.25">
      <c r="A442" s="27"/>
      <c r="B442" s="27"/>
      <c r="C442" s="27"/>
      <c r="D442" s="27"/>
      <c r="E442" s="27"/>
      <c r="F442" s="27"/>
      <c r="G442" s="27"/>
      <c r="H442" s="28"/>
      <c r="I442" s="27"/>
      <c r="J442" s="29"/>
      <c r="K442" s="30"/>
      <c r="L442" s="31"/>
      <c r="M442" s="32"/>
      <c r="N442" s="30"/>
      <c r="O442" s="30"/>
      <c r="P442" s="39"/>
      <c r="Q442" s="34"/>
      <c r="R442" s="35"/>
      <c r="S442" s="36"/>
      <c r="T442" s="35"/>
      <c r="U442" s="36"/>
      <c r="V442" s="37"/>
    </row>
    <row r="443" spans="1:22" x14ac:dyDescent="0.25">
      <c r="A443" s="27"/>
      <c r="B443" s="27"/>
      <c r="C443" s="27"/>
      <c r="D443" s="27"/>
      <c r="E443" s="27"/>
      <c r="F443" s="27"/>
      <c r="G443" s="27"/>
      <c r="H443" s="28"/>
      <c r="I443" s="27"/>
      <c r="J443" s="29"/>
      <c r="K443" s="30"/>
      <c r="L443" s="31"/>
      <c r="M443" s="32"/>
      <c r="N443" s="30"/>
      <c r="O443" s="30"/>
      <c r="P443" s="39"/>
      <c r="Q443" s="34"/>
      <c r="R443" s="35"/>
      <c r="S443" s="36"/>
      <c r="T443" s="35"/>
      <c r="U443" s="36"/>
      <c r="V443" s="37"/>
    </row>
    <row r="444" spans="1:22" x14ac:dyDescent="0.25">
      <c r="A444" s="27"/>
      <c r="B444" s="27"/>
      <c r="C444" s="27"/>
      <c r="D444" s="27"/>
      <c r="E444" s="27"/>
      <c r="F444" s="27"/>
      <c r="G444" s="27"/>
      <c r="H444" s="28"/>
      <c r="I444" s="27"/>
      <c r="J444" s="29"/>
      <c r="K444" s="30"/>
      <c r="L444" s="31"/>
      <c r="M444" s="32"/>
      <c r="N444" s="30"/>
      <c r="O444" s="30"/>
      <c r="P444" s="39"/>
      <c r="Q444" s="34"/>
      <c r="R444" s="35"/>
      <c r="S444" s="36"/>
      <c r="T444" s="35"/>
      <c r="U444" s="36"/>
      <c r="V444" s="37"/>
    </row>
    <row r="445" spans="1:22" x14ac:dyDescent="0.25">
      <c r="A445" s="27"/>
      <c r="B445" s="27"/>
      <c r="C445" s="27"/>
      <c r="D445" s="27"/>
      <c r="E445" s="27"/>
      <c r="F445" s="27"/>
      <c r="G445" s="27"/>
      <c r="H445" s="28"/>
      <c r="I445" s="27"/>
      <c r="J445" s="29"/>
      <c r="K445" s="30"/>
      <c r="L445" s="31"/>
      <c r="M445" s="32"/>
      <c r="N445" s="30"/>
      <c r="O445" s="30"/>
      <c r="P445" s="39"/>
      <c r="Q445" s="34"/>
      <c r="R445" s="35"/>
      <c r="S445" s="36"/>
      <c r="T445" s="35"/>
      <c r="U445" s="36"/>
      <c r="V445" s="37"/>
    </row>
    <row r="446" spans="1:22" x14ac:dyDescent="0.25">
      <c r="A446" s="27"/>
      <c r="B446" s="27"/>
      <c r="C446" s="27"/>
      <c r="D446" s="27"/>
      <c r="E446" s="27"/>
      <c r="F446" s="27"/>
      <c r="G446" s="27"/>
      <c r="H446" s="28"/>
      <c r="I446" s="27"/>
      <c r="J446" s="29"/>
      <c r="K446" s="30"/>
      <c r="L446" s="31"/>
      <c r="M446" s="32"/>
      <c r="N446" s="30"/>
      <c r="O446" s="30"/>
      <c r="P446" s="39"/>
      <c r="Q446" s="34"/>
      <c r="R446" s="35"/>
      <c r="S446" s="36"/>
      <c r="T446" s="35"/>
      <c r="U446" s="36"/>
      <c r="V446" s="37"/>
    </row>
    <row r="447" spans="1:22" x14ac:dyDescent="0.25">
      <c r="A447" s="27"/>
      <c r="B447" s="27"/>
      <c r="C447" s="27"/>
      <c r="D447" s="27"/>
      <c r="E447" s="27"/>
      <c r="F447" s="27"/>
      <c r="G447" s="27"/>
      <c r="H447" s="28"/>
      <c r="I447" s="27"/>
      <c r="J447" s="29"/>
      <c r="K447" s="30"/>
      <c r="L447" s="31"/>
      <c r="M447" s="32"/>
      <c r="N447" s="30"/>
      <c r="O447" s="30"/>
      <c r="P447" s="39"/>
      <c r="Q447" s="34"/>
      <c r="R447" s="35"/>
      <c r="S447" s="36"/>
      <c r="T447" s="35"/>
      <c r="U447" s="36"/>
      <c r="V447" s="37"/>
    </row>
    <row r="448" spans="1:22" x14ac:dyDescent="0.25">
      <c r="A448" s="27"/>
      <c r="B448" s="27"/>
      <c r="C448" s="27"/>
      <c r="D448" s="27"/>
      <c r="E448" s="27"/>
      <c r="F448" s="27"/>
      <c r="G448" s="27"/>
      <c r="H448" s="28"/>
      <c r="I448" s="27"/>
      <c r="J448" s="29"/>
      <c r="K448" s="30"/>
      <c r="L448" s="31"/>
      <c r="M448" s="32"/>
      <c r="N448" s="30"/>
      <c r="O448" s="30"/>
      <c r="P448" s="39"/>
      <c r="Q448" s="34"/>
      <c r="R448" s="35"/>
      <c r="S448" s="36"/>
      <c r="T448" s="35"/>
      <c r="U448" s="36"/>
      <c r="V448" s="37"/>
    </row>
    <row r="449" spans="1:22" x14ac:dyDescent="0.25">
      <c r="A449" s="27"/>
      <c r="B449" s="27"/>
      <c r="C449" s="27"/>
      <c r="D449" s="27"/>
      <c r="E449" s="27"/>
      <c r="F449" s="27"/>
      <c r="G449" s="27"/>
      <c r="H449" s="28"/>
      <c r="I449" s="27"/>
      <c r="J449" s="29"/>
      <c r="K449" s="30"/>
      <c r="L449" s="31"/>
      <c r="M449" s="32"/>
      <c r="N449" s="30"/>
      <c r="O449" s="30"/>
      <c r="P449" s="39"/>
      <c r="Q449" s="34"/>
      <c r="R449" s="35"/>
      <c r="S449" s="36"/>
      <c r="T449" s="35"/>
      <c r="U449" s="36"/>
      <c r="V449" s="37"/>
    </row>
    <row r="450" spans="1:22" x14ac:dyDescent="0.25">
      <c r="A450" s="27"/>
      <c r="B450" s="27"/>
      <c r="C450" s="27"/>
      <c r="D450" s="27"/>
      <c r="E450" s="27"/>
      <c r="F450" s="27"/>
      <c r="G450" s="27"/>
      <c r="H450" s="28"/>
      <c r="I450" s="27"/>
      <c r="J450" s="29"/>
      <c r="K450" s="30"/>
      <c r="L450" s="31"/>
      <c r="M450" s="32"/>
      <c r="N450" s="30"/>
      <c r="O450" s="30"/>
      <c r="P450" s="39"/>
      <c r="Q450" s="34"/>
      <c r="R450" s="35"/>
      <c r="S450" s="36"/>
      <c r="T450" s="35"/>
      <c r="U450" s="36"/>
      <c r="V450" s="37"/>
    </row>
    <row r="451" spans="1:22" x14ac:dyDescent="0.25">
      <c r="A451" s="27"/>
      <c r="B451" s="27"/>
      <c r="C451" s="27"/>
      <c r="D451" s="27"/>
      <c r="E451" s="27"/>
      <c r="F451" s="27"/>
      <c r="G451" s="27"/>
      <c r="H451" s="28"/>
      <c r="I451" s="27"/>
      <c r="J451" s="29"/>
      <c r="K451" s="30"/>
      <c r="L451" s="31"/>
      <c r="M451" s="32"/>
      <c r="N451" s="30"/>
      <c r="O451" s="30"/>
      <c r="P451" s="39"/>
      <c r="Q451" s="34"/>
      <c r="R451" s="35"/>
      <c r="S451" s="36"/>
      <c r="T451" s="35"/>
      <c r="U451" s="36"/>
      <c r="V451" s="37"/>
    </row>
    <row r="452" spans="1:22" x14ac:dyDescent="0.25">
      <c r="A452" s="27"/>
      <c r="B452" s="27"/>
      <c r="C452" s="27"/>
      <c r="D452" s="27"/>
      <c r="E452" s="27"/>
      <c r="F452" s="27"/>
      <c r="G452" s="27"/>
      <c r="H452" s="28"/>
      <c r="I452" s="27"/>
      <c r="J452" s="29"/>
      <c r="K452" s="30"/>
      <c r="L452" s="31"/>
      <c r="M452" s="32"/>
      <c r="N452" s="30"/>
      <c r="O452" s="30"/>
      <c r="P452" s="39"/>
      <c r="Q452" s="34"/>
      <c r="R452" s="35"/>
      <c r="S452" s="36"/>
      <c r="T452" s="35"/>
      <c r="U452" s="36"/>
      <c r="V452" s="37"/>
    </row>
    <row r="453" spans="1:22" x14ac:dyDescent="0.25">
      <c r="A453" s="27"/>
      <c r="B453" s="27"/>
      <c r="C453" s="27"/>
      <c r="D453" s="27"/>
      <c r="E453" s="27"/>
      <c r="F453" s="27"/>
      <c r="G453" s="27"/>
      <c r="H453" s="28"/>
      <c r="I453" s="27"/>
      <c r="J453" s="29"/>
      <c r="K453" s="30"/>
      <c r="L453" s="31"/>
      <c r="M453" s="32"/>
      <c r="N453" s="30"/>
      <c r="O453" s="30"/>
      <c r="P453" s="39"/>
      <c r="Q453" s="34"/>
      <c r="R453" s="35"/>
      <c r="S453" s="36"/>
      <c r="T453" s="35"/>
      <c r="U453" s="36"/>
      <c r="V453" s="37"/>
    </row>
    <row r="454" spans="1:22" x14ac:dyDescent="0.25">
      <c r="A454" s="27"/>
      <c r="B454" s="27"/>
      <c r="C454" s="27"/>
      <c r="D454" s="27"/>
      <c r="E454" s="27"/>
      <c r="F454" s="27"/>
      <c r="G454" s="27"/>
      <c r="H454" s="28"/>
      <c r="I454" s="27"/>
      <c r="J454" s="29"/>
      <c r="K454" s="30"/>
      <c r="L454" s="31"/>
      <c r="M454" s="32"/>
      <c r="N454" s="30"/>
      <c r="O454" s="30"/>
      <c r="P454" s="39"/>
      <c r="Q454" s="34"/>
      <c r="R454" s="35"/>
      <c r="S454" s="36"/>
      <c r="T454" s="35"/>
      <c r="U454" s="36"/>
      <c r="V454" s="37"/>
    </row>
    <row r="455" spans="1:22" x14ac:dyDescent="0.25">
      <c r="A455" s="27"/>
      <c r="B455" s="27"/>
      <c r="C455" s="27"/>
      <c r="D455" s="27"/>
      <c r="E455" s="27"/>
      <c r="F455" s="27"/>
      <c r="G455" s="27"/>
      <c r="H455" s="28"/>
      <c r="I455" s="27"/>
      <c r="J455" s="29"/>
      <c r="K455" s="30"/>
      <c r="L455" s="31"/>
      <c r="M455" s="32"/>
      <c r="N455" s="30"/>
      <c r="O455" s="30"/>
      <c r="P455" s="39"/>
      <c r="Q455" s="34"/>
      <c r="R455" s="35"/>
      <c r="S455" s="36"/>
      <c r="T455" s="35"/>
      <c r="U455" s="36"/>
      <c r="V455" s="37"/>
    </row>
    <row r="456" spans="1:22" x14ac:dyDescent="0.25">
      <c r="A456" s="27"/>
      <c r="B456" s="27"/>
      <c r="C456" s="27"/>
      <c r="D456" s="27"/>
      <c r="E456" s="27"/>
      <c r="F456" s="27"/>
      <c r="G456" s="27"/>
      <c r="H456" s="28"/>
      <c r="I456" s="27"/>
      <c r="J456" s="29"/>
      <c r="K456" s="30"/>
      <c r="L456" s="31"/>
      <c r="M456" s="32"/>
      <c r="N456" s="30"/>
      <c r="O456" s="30"/>
      <c r="P456" s="39"/>
      <c r="Q456" s="34"/>
      <c r="R456" s="35"/>
      <c r="S456" s="36"/>
      <c r="T456" s="35"/>
      <c r="U456" s="36"/>
      <c r="V456" s="37"/>
    </row>
    <row r="457" spans="1:22" x14ac:dyDescent="0.25">
      <c r="A457" s="27"/>
      <c r="B457" s="27"/>
      <c r="C457" s="27"/>
      <c r="D457" s="27"/>
      <c r="E457" s="27"/>
      <c r="F457" s="27"/>
      <c r="G457" s="27"/>
      <c r="H457" s="28"/>
      <c r="I457" s="27"/>
      <c r="J457" s="29"/>
      <c r="K457" s="30"/>
      <c r="L457" s="31"/>
      <c r="M457" s="32"/>
      <c r="N457" s="30"/>
      <c r="O457" s="30"/>
      <c r="P457" s="39"/>
      <c r="Q457" s="34"/>
      <c r="R457" s="35"/>
      <c r="S457" s="36"/>
      <c r="T457" s="35"/>
      <c r="U457" s="36"/>
      <c r="V457" s="37"/>
    </row>
    <row r="458" spans="1:22" x14ac:dyDescent="0.25">
      <c r="A458" s="27"/>
      <c r="B458" s="27"/>
      <c r="C458" s="27"/>
      <c r="D458" s="27"/>
      <c r="E458" s="27"/>
      <c r="F458" s="27"/>
      <c r="G458" s="27"/>
      <c r="H458" s="28"/>
      <c r="I458" s="27"/>
      <c r="J458" s="29"/>
      <c r="K458" s="30"/>
      <c r="L458" s="31"/>
      <c r="M458" s="32"/>
      <c r="N458" s="30"/>
      <c r="O458" s="30"/>
      <c r="P458" s="39"/>
      <c r="Q458" s="34"/>
      <c r="R458" s="35"/>
      <c r="S458" s="36"/>
      <c r="T458" s="35"/>
      <c r="U458" s="36"/>
      <c r="V458" s="37"/>
    </row>
    <row r="459" spans="1:22" x14ac:dyDescent="0.25">
      <c r="A459" s="27"/>
      <c r="B459" s="27"/>
      <c r="C459" s="27"/>
      <c r="D459" s="27"/>
      <c r="E459" s="27"/>
      <c r="F459" s="27"/>
      <c r="G459" s="27"/>
      <c r="H459" s="28"/>
      <c r="I459" s="27"/>
      <c r="J459" s="29"/>
      <c r="K459" s="30"/>
      <c r="L459" s="31"/>
      <c r="M459" s="32"/>
      <c r="N459" s="30"/>
      <c r="O459" s="30"/>
      <c r="P459" s="39"/>
      <c r="Q459" s="34"/>
      <c r="R459" s="35"/>
      <c r="S459" s="36"/>
      <c r="T459" s="35"/>
      <c r="U459" s="36"/>
      <c r="V459" s="37"/>
    </row>
    <row r="460" spans="1:22" x14ac:dyDescent="0.25">
      <c r="A460" s="27"/>
      <c r="B460" s="27"/>
      <c r="C460" s="27"/>
      <c r="D460" s="27"/>
      <c r="E460" s="27"/>
      <c r="F460" s="27"/>
      <c r="G460" s="27"/>
      <c r="H460" s="28"/>
      <c r="I460" s="27"/>
      <c r="J460" s="29"/>
      <c r="K460" s="30"/>
      <c r="L460" s="31"/>
      <c r="M460" s="32"/>
      <c r="N460" s="30"/>
      <c r="O460" s="30"/>
      <c r="P460" s="39"/>
      <c r="Q460" s="34"/>
      <c r="R460" s="35"/>
      <c r="S460" s="36"/>
      <c r="T460" s="35"/>
      <c r="U460" s="36"/>
      <c r="V460" s="37"/>
    </row>
    <row r="461" spans="1:22" x14ac:dyDescent="0.25">
      <c r="A461" s="27"/>
      <c r="B461" s="27"/>
      <c r="C461" s="27"/>
      <c r="D461" s="27"/>
      <c r="E461" s="27"/>
      <c r="F461" s="27"/>
      <c r="G461" s="27"/>
      <c r="H461" s="28"/>
      <c r="I461" s="27"/>
      <c r="J461" s="29"/>
      <c r="K461" s="30"/>
      <c r="L461" s="31"/>
      <c r="M461" s="32"/>
      <c r="N461" s="30"/>
      <c r="O461" s="30"/>
      <c r="P461" s="39"/>
      <c r="Q461" s="34"/>
      <c r="R461" s="35"/>
      <c r="S461" s="36"/>
      <c r="T461" s="35"/>
      <c r="U461" s="36"/>
      <c r="V461" s="37"/>
    </row>
    <row r="462" spans="1:22" x14ac:dyDescent="0.25">
      <c r="A462" s="27"/>
      <c r="B462" s="27"/>
      <c r="C462" s="27"/>
      <c r="D462" s="27"/>
      <c r="E462" s="27"/>
      <c r="F462" s="27"/>
      <c r="G462" s="27"/>
      <c r="H462" s="28"/>
      <c r="I462" s="27"/>
      <c r="J462" s="29"/>
      <c r="K462" s="30"/>
      <c r="L462" s="31"/>
      <c r="M462" s="32"/>
      <c r="N462" s="30"/>
      <c r="O462" s="30"/>
      <c r="P462" s="39"/>
      <c r="Q462" s="34"/>
      <c r="R462" s="35"/>
      <c r="S462" s="36"/>
      <c r="T462" s="35"/>
      <c r="U462" s="36"/>
      <c r="V462" s="37"/>
    </row>
    <row r="463" spans="1:22" x14ac:dyDescent="0.25">
      <c r="A463" s="27"/>
      <c r="B463" s="27"/>
      <c r="C463" s="27"/>
      <c r="D463" s="27"/>
      <c r="E463" s="27"/>
      <c r="F463" s="27"/>
      <c r="G463" s="27"/>
      <c r="H463" s="28"/>
      <c r="I463" s="27"/>
      <c r="J463" s="29"/>
      <c r="K463" s="30"/>
      <c r="L463" s="31"/>
      <c r="M463" s="32"/>
      <c r="N463" s="30"/>
      <c r="O463" s="30"/>
      <c r="P463" s="39"/>
      <c r="Q463" s="34"/>
      <c r="R463" s="35"/>
      <c r="S463" s="36"/>
      <c r="T463" s="35"/>
      <c r="U463" s="36"/>
      <c r="V463" s="37"/>
    </row>
    <row r="464" spans="1:22" x14ac:dyDescent="0.25">
      <c r="A464" s="27"/>
      <c r="B464" s="27"/>
      <c r="C464" s="27"/>
      <c r="D464" s="27"/>
      <c r="E464" s="27"/>
      <c r="F464" s="27"/>
      <c r="G464" s="27"/>
      <c r="H464" s="28"/>
      <c r="I464" s="27"/>
      <c r="J464" s="29"/>
      <c r="K464" s="30"/>
      <c r="L464" s="31"/>
      <c r="M464" s="32"/>
      <c r="N464" s="30"/>
      <c r="O464" s="30"/>
      <c r="P464" s="39"/>
      <c r="Q464" s="34"/>
      <c r="R464" s="35"/>
      <c r="S464" s="36"/>
      <c r="T464" s="35"/>
      <c r="U464" s="36"/>
      <c r="V464" s="37"/>
    </row>
    <row r="465" spans="1:22" x14ac:dyDescent="0.25">
      <c r="A465" s="27"/>
      <c r="B465" s="27"/>
      <c r="C465" s="27"/>
      <c r="D465" s="27"/>
      <c r="E465" s="27"/>
      <c r="F465" s="27"/>
      <c r="G465" s="27"/>
      <c r="H465" s="28"/>
      <c r="I465" s="27"/>
      <c r="J465" s="29"/>
      <c r="K465" s="30"/>
      <c r="L465" s="31"/>
      <c r="M465" s="32"/>
      <c r="N465" s="30"/>
      <c r="O465" s="30"/>
      <c r="P465" s="39"/>
      <c r="Q465" s="34"/>
      <c r="R465" s="35"/>
      <c r="S465" s="36"/>
      <c r="T465" s="35"/>
      <c r="U465" s="36"/>
      <c r="V465" s="37"/>
    </row>
    <row r="466" spans="1:22" x14ac:dyDescent="0.25">
      <c r="A466" s="27"/>
      <c r="B466" s="27"/>
      <c r="C466" s="27"/>
      <c r="D466" s="27"/>
      <c r="E466" s="27"/>
      <c r="F466" s="27"/>
      <c r="G466" s="27"/>
      <c r="H466" s="28"/>
      <c r="I466" s="27"/>
      <c r="J466" s="29"/>
      <c r="K466" s="30"/>
      <c r="L466" s="31"/>
      <c r="M466" s="32"/>
      <c r="N466" s="30"/>
      <c r="O466" s="30"/>
      <c r="P466" s="39"/>
      <c r="Q466" s="34"/>
      <c r="R466" s="35"/>
      <c r="S466" s="36"/>
      <c r="T466" s="35"/>
      <c r="U466" s="36"/>
      <c r="V466" s="37"/>
    </row>
    <row r="467" spans="1:22" x14ac:dyDescent="0.25">
      <c r="A467" s="27"/>
      <c r="B467" s="27"/>
      <c r="C467" s="27"/>
      <c r="D467" s="27"/>
      <c r="E467" s="27"/>
      <c r="F467" s="27"/>
      <c r="G467" s="27"/>
      <c r="H467" s="28"/>
      <c r="I467" s="27"/>
      <c r="J467" s="29"/>
      <c r="K467" s="30"/>
      <c r="L467" s="31"/>
      <c r="M467" s="32"/>
      <c r="N467" s="30"/>
      <c r="O467" s="30"/>
      <c r="P467" s="39"/>
      <c r="Q467" s="34"/>
      <c r="R467" s="35"/>
      <c r="S467" s="36"/>
      <c r="T467" s="35"/>
      <c r="U467" s="36"/>
      <c r="V467" s="37"/>
    </row>
    <row r="468" spans="1:22" x14ac:dyDescent="0.25">
      <c r="A468" s="27"/>
      <c r="B468" s="27"/>
      <c r="C468" s="27"/>
      <c r="D468" s="27"/>
      <c r="E468" s="27"/>
      <c r="F468" s="27"/>
      <c r="G468" s="27"/>
      <c r="H468" s="28"/>
      <c r="I468" s="27"/>
      <c r="J468" s="29"/>
      <c r="K468" s="30"/>
      <c r="L468" s="31"/>
      <c r="M468" s="32"/>
      <c r="N468" s="30"/>
      <c r="O468" s="30"/>
      <c r="P468" s="39"/>
      <c r="Q468" s="34"/>
      <c r="R468" s="35"/>
      <c r="S468" s="36"/>
      <c r="T468" s="35"/>
      <c r="U468" s="36"/>
      <c r="V468" s="37"/>
    </row>
    <row r="469" spans="1:22" x14ac:dyDescent="0.25">
      <c r="A469" s="27"/>
      <c r="B469" s="27"/>
      <c r="C469" s="27"/>
      <c r="D469" s="27"/>
      <c r="E469" s="27"/>
      <c r="F469" s="27"/>
      <c r="G469" s="27"/>
      <c r="H469" s="28"/>
      <c r="I469" s="27"/>
      <c r="J469" s="29"/>
      <c r="K469" s="30"/>
      <c r="L469" s="31"/>
      <c r="M469" s="32"/>
      <c r="N469" s="30"/>
      <c r="O469" s="30"/>
      <c r="P469" s="39"/>
      <c r="Q469" s="34"/>
      <c r="R469" s="35"/>
      <c r="S469" s="36"/>
      <c r="T469" s="35"/>
      <c r="U469" s="36"/>
      <c r="V469" s="37"/>
    </row>
    <row r="470" spans="1:22" x14ac:dyDescent="0.25">
      <c r="A470" s="27"/>
      <c r="B470" s="27"/>
      <c r="C470" s="27"/>
      <c r="D470" s="27"/>
      <c r="E470" s="27"/>
      <c r="F470" s="27"/>
      <c r="G470" s="27"/>
      <c r="H470" s="28"/>
      <c r="I470" s="27"/>
      <c r="J470" s="29"/>
      <c r="K470" s="30"/>
      <c r="L470" s="31"/>
      <c r="M470" s="32"/>
      <c r="N470" s="30"/>
      <c r="O470" s="30"/>
      <c r="P470" s="39"/>
      <c r="Q470" s="34"/>
      <c r="R470" s="35"/>
      <c r="S470" s="36"/>
      <c r="T470" s="35"/>
      <c r="U470" s="36"/>
      <c r="V470" s="37"/>
    </row>
    <row r="471" spans="1:22" x14ac:dyDescent="0.25">
      <c r="A471" s="27"/>
      <c r="B471" s="27"/>
      <c r="C471" s="27"/>
      <c r="D471" s="27"/>
      <c r="E471" s="27"/>
      <c r="F471" s="27"/>
      <c r="G471" s="27"/>
      <c r="H471" s="28"/>
      <c r="I471" s="27"/>
      <c r="J471" s="29"/>
      <c r="K471" s="30"/>
      <c r="L471" s="31"/>
      <c r="M471" s="32"/>
      <c r="N471" s="30"/>
      <c r="O471" s="30"/>
      <c r="P471" s="39"/>
      <c r="Q471" s="34"/>
      <c r="R471" s="35"/>
      <c r="S471" s="36"/>
      <c r="T471" s="35"/>
      <c r="U471" s="36"/>
      <c r="V471" s="37"/>
    </row>
    <row r="472" spans="1:22" x14ac:dyDescent="0.25">
      <c r="A472" s="27"/>
      <c r="B472" s="27"/>
      <c r="C472" s="27"/>
      <c r="D472" s="27"/>
      <c r="E472" s="27"/>
      <c r="F472" s="27"/>
      <c r="G472" s="27"/>
      <c r="H472" s="28"/>
      <c r="I472" s="27"/>
      <c r="J472" s="29"/>
      <c r="K472" s="30"/>
      <c r="L472" s="31"/>
      <c r="M472" s="32"/>
      <c r="N472" s="30"/>
      <c r="O472" s="30"/>
      <c r="P472" s="39"/>
      <c r="Q472" s="34"/>
      <c r="R472" s="35"/>
      <c r="S472" s="36"/>
      <c r="T472" s="35"/>
      <c r="U472" s="36"/>
      <c r="V472" s="37"/>
    </row>
    <row r="473" spans="1:22" x14ac:dyDescent="0.25">
      <c r="A473" s="27"/>
      <c r="B473" s="27"/>
      <c r="C473" s="27"/>
      <c r="D473" s="27"/>
      <c r="E473" s="27"/>
      <c r="F473" s="27"/>
      <c r="G473" s="27"/>
      <c r="H473" s="28"/>
      <c r="I473" s="27"/>
      <c r="J473" s="29"/>
      <c r="K473" s="30"/>
      <c r="L473" s="31"/>
      <c r="M473" s="32"/>
      <c r="N473" s="30"/>
      <c r="O473" s="30"/>
      <c r="P473" s="39"/>
      <c r="Q473" s="34"/>
      <c r="R473" s="35"/>
      <c r="S473" s="36"/>
      <c r="T473" s="35"/>
      <c r="U473" s="36"/>
      <c r="V473" s="37"/>
    </row>
    <row r="474" spans="1:22" x14ac:dyDescent="0.25">
      <c r="A474" s="27"/>
      <c r="B474" s="27"/>
      <c r="C474" s="27"/>
      <c r="D474" s="27"/>
      <c r="E474" s="27"/>
      <c r="F474" s="27"/>
      <c r="G474" s="27"/>
      <c r="H474" s="28"/>
      <c r="I474" s="27"/>
      <c r="J474" s="29"/>
      <c r="K474" s="30"/>
      <c r="L474" s="31"/>
      <c r="M474" s="32"/>
      <c r="N474" s="30"/>
      <c r="O474" s="30"/>
      <c r="P474" s="39"/>
      <c r="Q474" s="34"/>
      <c r="R474" s="35"/>
      <c r="S474" s="36"/>
      <c r="T474" s="35"/>
      <c r="U474" s="36"/>
      <c r="V474" s="37"/>
    </row>
    <row r="475" spans="1:22" x14ac:dyDescent="0.25">
      <c r="A475" s="27"/>
      <c r="B475" s="27"/>
      <c r="C475" s="27"/>
      <c r="D475" s="27"/>
      <c r="E475" s="27"/>
      <c r="F475" s="27"/>
      <c r="G475" s="27"/>
      <c r="H475" s="28"/>
      <c r="I475" s="27"/>
      <c r="J475" s="29"/>
      <c r="K475" s="30"/>
      <c r="L475" s="31"/>
      <c r="M475" s="32"/>
      <c r="N475" s="30"/>
      <c r="O475" s="30"/>
      <c r="P475" s="39"/>
      <c r="Q475" s="34"/>
      <c r="R475" s="35"/>
      <c r="S475" s="36"/>
      <c r="T475" s="35"/>
      <c r="U475" s="36"/>
      <c r="V475" s="37"/>
    </row>
    <row r="476" spans="1:22" x14ac:dyDescent="0.25">
      <c r="A476" s="27"/>
      <c r="B476" s="27"/>
      <c r="C476" s="27"/>
      <c r="D476" s="27"/>
      <c r="E476" s="27"/>
      <c r="F476" s="27"/>
      <c r="G476" s="27"/>
      <c r="H476" s="28"/>
      <c r="I476" s="27"/>
      <c r="J476" s="29"/>
      <c r="K476" s="30"/>
      <c r="L476" s="31"/>
      <c r="M476" s="32"/>
      <c r="N476" s="30"/>
      <c r="O476" s="30"/>
      <c r="P476" s="39"/>
      <c r="Q476" s="34"/>
      <c r="R476" s="35"/>
      <c r="S476" s="36"/>
      <c r="T476" s="35"/>
      <c r="U476" s="36"/>
      <c r="V476" s="37"/>
    </row>
    <row r="477" spans="1:22" x14ac:dyDescent="0.25">
      <c r="A477" s="27"/>
      <c r="B477" s="27"/>
      <c r="C477" s="27"/>
      <c r="D477" s="27"/>
      <c r="E477" s="27"/>
      <c r="F477" s="27"/>
      <c r="G477" s="27"/>
      <c r="H477" s="28"/>
      <c r="I477" s="27"/>
      <c r="J477" s="29"/>
      <c r="K477" s="30"/>
      <c r="L477" s="31"/>
      <c r="M477" s="32"/>
      <c r="N477" s="30"/>
      <c r="O477" s="30"/>
      <c r="P477" s="39"/>
      <c r="Q477" s="34"/>
      <c r="R477" s="35"/>
      <c r="S477" s="36"/>
      <c r="T477" s="35"/>
      <c r="U477" s="36"/>
      <c r="V477" s="37"/>
    </row>
    <row r="478" spans="1:22" x14ac:dyDescent="0.25">
      <c r="A478" s="27"/>
      <c r="B478" s="27"/>
      <c r="C478" s="27"/>
      <c r="D478" s="27"/>
      <c r="E478" s="27"/>
      <c r="F478" s="27"/>
      <c r="G478" s="27"/>
      <c r="H478" s="28"/>
      <c r="I478" s="27"/>
      <c r="J478" s="29"/>
      <c r="K478" s="30"/>
      <c r="L478" s="31"/>
      <c r="M478" s="32"/>
      <c r="N478" s="30"/>
      <c r="O478" s="30"/>
      <c r="P478" s="39"/>
      <c r="Q478" s="34"/>
      <c r="R478" s="35"/>
      <c r="S478" s="36"/>
      <c r="T478" s="35"/>
      <c r="U478" s="36"/>
      <c r="V478" s="37"/>
    </row>
    <row r="479" spans="1:22" x14ac:dyDescent="0.25">
      <c r="A479" s="27"/>
      <c r="B479" s="27"/>
      <c r="C479" s="27"/>
      <c r="D479" s="27"/>
      <c r="E479" s="27"/>
      <c r="F479" s="27"/>
      <c r="G479" s="27"/>
      <c r="H479" s="28"/>
      <c r="I479" s="27"/>
      <c r="J479" s="29"/>
      <c r="K479" s="30"/>
      <c r="L479" s="31"/>
      <c r="M479" s="32"/>
      <c r="N479" s="30"/>
      <c r="O479" s="30"/>
      <c r="P479" s="39"/>
      <c r="Q479" s="34"/>
      <c r="R479" s="35"/>
      <c r="S479" s="36"/>
      <c r="T479" s="35"/>
      <c r="U479" s="36"/>
      <c r="V479" s="37"/>
    </row>
    <row r="480" spans="1:22" x14ac:dyDescent="0.25">
      <c r="A480" s="27"/>
      <c r="B480" s="27"/>
      <c r="C480" s="27"/>
      <c r="D480" s="27"/>
      <c r="E480" s="27"/>
      <c r="F480" s="27"/>
      <c r="G480" s="27"/>
      <c r="H480" s="28"/>
      <c r="I480" s="27"/>
      <c r="J480" s="29"/>
      <c r="K480" s="30"/>
      <c r="L480" s="31"/>
      <c r="M480" s="32"/>
      <c r="N480" s="30"/>
      <c r="O480" s="30"/>
      <c r="P480" s="39"/>
      <c r="Q480" s="34"/>
      <c r="R480" s="35"/>
      <c r="S480" s="36"/>
      <c r="T480" s="35"/>
      <c r="U480" s="36"/>
      <c r="V480" s="37"/>
    </row>
    <row r="481" spans="1:22" x14ac:dyDescent="0.25">
      <c r="A481" s="27"/>
      <c r="B481" s="27"/>
      <c r="C481" s="27"/>
      <c r="D481" s="27"/>
      <c r="E481" s="27"/>
      <c r="F481" s="27"/>
      <c r="G481" s="27"/>
      <c r="H481" s="28"/>
      <c r="I481" s="27"/>
      <c r="J481" s="29"/>
      <c r="K481" s="30"/>
      <c r="L481" s="31"/>
      <c r="M481" s="32"/>
      <c r="N481" s="30"/>
      <c r="O481" s="30"/>
      <c r="P481" s="39"/>
      <c r="Q481" s="34"/>
      <c r="R481" s="35"/>
      <c r="S481" s="36"/>
      <c r="T481" s="35"/>
      <c r="U481" s="36"/>
      <c r="V481" s="37"/>
    </row>
    <row r="482" spans="1:22" x14ac:dyDescent="0.25">
      <c r="A482" s="27"/>
      <c r="B482" s="27"/>
      <c r="C482" s="27"/>
      <c r="D482" s="27"/>
      <c r="E482" s="27"/>
      <c r="F482" s="27"/>
      <c r="G482" s="27"/>
      <c r="H482" s="28"/>
      <c r="I482" s="27"/>
      <c r="J482" s="29"/>
      <c r="K482" s="30"/>
      <c r="L482" s="31"/>
      <c r="M482" s="32"/>
      <c r="N482" s="30"/>
      <c r="O482" s="30"/>
      <c r="P482" s="39"/>
      <c r="Q482" s="34"/>
      <c r="R482" s="35"/>
      <c r="S482" s="36"/>
      <c r="T482" s="35"/>
      <c r="U482" s="36"/>
      <c r="V482" s="37"/>
    </row>
    <row r="483" spans="1:22" x14ac:dyDescent="0.25">
      <c r="A483" s="27"/>
      <c r="B483" s="27"/>
      <c r="C483" s="27"/>
      <c r="D483" s="27"/>
      <c r="E483" s="27"/>
      <c r="F483" s="27"/>
      <c r="G483" s="27"/>
      <c r="H483" s="28"/>
      <c r="I483" s="27"/>
      <c r="J483" s="29"/>
      <c r="K483" s="30"/>
      <c r="L483" s="31"/>
      <c r="M483" s="32"/>
      <c r="N483" s="30"/>
      <c r="O483" s="30"/>
      <c r="P483" s="39"/>
      <c r="Q483" s="34"/>
      <c r="R483" s="35"/>
      <c r="S483" s="36"/>
      <c r="T483" s="35"/>
      <c r="U483" s="36"/>
      <c r="V483" s="37"/>
    </row>
    <row r="484" spans="1:22" x14ac:dyDescent="0.25">
      <c r="A484" s="27"/>
      <c r="B484" s="27"/>
      <c r="C484" s="27"/>
      <c r="D484" s="27"/>
      <c r="E484" s="27"/>
      <c r="F484" s="27"/>
      <c r="G484" s="27"/>
      <c r="H484" s="28"/>
      <c r="I484" s="27"/>
      <c r="J484" s="29"/>
      <c r="K484" s="30"/>
      <c r="L484" s="31"/>
      <c r="M484" s="32"/>
      <c r="N484" s="30"/>
      <c r="O484" s="30"/>
      <c r="P484" s="39"/>
      <c r="Q484" s="34"/>
      <c r="R484" s="35"/>
      <c r="S484" s="36"/>
      <c r="T484" s="35"/>
      <c r="U484" s="36"/>
      <c r="V484" s="37"/>
    </row>
    <row r="485" spans="1:22" x14ac:dyDescent="0.25">
      <c r="A485" s="27"/>
      <c r="B485" s="27"/>
      <c r="C485" s="27"/>
      <c r="D485" s="27"/>
      <c r="E485" s="27"/>
      <c r="F485" s="27"/>
      <c r="G485" s="27"/>
      <c r="H485" s="28"/>
      <c r="I485" s="27"/>
      <c r="J485" s="29"/>
      <c r="K485" s="30"/>
      <c r="L485" s="31"/>
      <c r="M485" s="32"/>
      <c r="N485" s="30"/>
      <c r="O485" s="30"/>
      <c r="P485" s="39"/>
      <c r="Q485" s="34"/>
      <c r="R485" s="35"/>
      <c r="S485" s="36"/>
      <c r="T485" s="35"/>
      <c r="U485" s="36"/>
      <c r="V485" s="37"/>
    </row>
    <row r="486" spans="1:22" x14ac:dyDescent="0.25">
      <c r="A486" s="27"/>
      <c r="B486" s="27"/>
      <c r="C486" s="27"/>
      <c r="D486" s="27"/>
      <c r="E486" s="27"/>
      <c r="F486" s="27"/>
      <c r="G486" s="27"/>
      <c r="H486" s="28"/>
      <c r="I486" s="27"/>
      <c r="J486" s="29"/>
      <c r="K486" s="30"/>
      <c r="L486" s="31"/>
      <c r="M486" s="32"/>
      <c r="N486" s="30"/>
      <c r="O486" s="30"/>
      <c r="P486" s="39"/>
      <c r="Q486" s="34"/>
      <c r="R486" s="35"/>
      <c r="S486" s="36"/>
      <c r="T486" s="35"/>
      <c r="U486" s="36"/>
      <c r="V486" s="37"/>
    </row>
    <row r="487" spans="1:22" x14ac:dyDescent="0.25">
      <c r="A487" s="27"/>
      <c r="B487" s="27"/>
      <c r="C487" s="27"/>
      <c r="D487" s="27"/>
      <c r="E487" s="27"/>
      <c r="F487" s="27"/>
      <c r="G487" s="27"/>
      <c r="H487" s="28"/>
      <c r="I487" s="27"/>
      <c r="J487" s="29"/>
      <c r="K487" s="30"/>
      <c r="L487" s="31"/>
      <c r="M487" s="32"/>
      <c r="N487" s="30"/>
      <c r="O487" s="30"/>
      <c r="P487" s="39"/>
      <c r="Q487" s="34"/>
      <c r="R487" s="35"/>
      <c r="S487" s="36"/>
      <c r="T487" s="35"/>
      <c r="U487" s="36"/>
      <c r="V487" s="37"/>
    </row>
    <row r="488" spans="1:22" x14ac:dyDescent="0.25">
      <c r="A488" s="27"/>
      <c r="B488" s="27"/>
      <c r="C488" s="27"/>
      <c r="D488" s="27"/>
      <c r="E488" s="27"/>
      <c r="F488" s="27"/>
      <c r="G488" s="27"/>
      <c r="H488" s="28"/>
      <c r="I488" s="27"/>
      <c r="J488" s="29"/>
      <c r="K488" s="30"/>
      <c r="L488" s="31"/>
      <c r="M488" s="32"/>
      <c r="N488" s="30"/>
      <c r="O488" s="30"/>
      <c r="P488" s="39"/>
      <c r="Q488" s="34"/>
      <c r="R488" s="35"/>
      <c r="S488" s="36"/>
      <c r="T488" s="35"/>
      <c r="U488" s="36"/>
      <c r="V488" s="37"/>
    </row>
    <row r="489" spans="1:22" x14ac:dyDescent="0.25">
      <c r="A489" s="27"/>
      <c r="B489" s="27"/>
      <c r="C489" s="27"/>
      <c r="D489" s="27"/>
      <c r="E489" s="27"/>
      <c r="F489" s="27"/>
      <c r="G489" s="27"/>
      <c r="H489" s="28"/>
      <c r="I489" s="27"/>
      <c r="J489" s="29"/>
      <c r="K489" s="30"/>
      <c r="L489" s="31"/>
      <c r="M489" s="32"/>
      <c r="N489" s="30"/>
      <c r="O489" s="30"/>
      <c r="P489" s="39"/>
      <c r="Q489" s="34"/>
      <c r="R489" s="35"/>
      <c r="S489" s="36"/>
      <c r="T489" s="35"/>
      <c r="U489" s="36"/>
      <c r="V489" s="37"/>
    </row>
    <row r="490" spans="1:22" x14ac:dyDescent="0.25">
      <c r="A490" s="27"/>
      <c r="B490" s="27"/>
      <c r="C490" s="27"/>
      <c r="D490" s="27"/>
      <c r="E490" s="27"/>
      <c r="F490" s="27"/>
      <c r="G490" s="27"/>
      <c r="H490" s="28"/>
      <c r="I490" s="27"/>
      <c r="J490" s="29"/>
      <c r="K490" s="30"/>
      <c r="L490" s="31"/>
      <c r="M490" s="32"/>
      <c r="N490" s="30"/>
      <c r="O490" s="30"/>
      <c r="P490" s="39"/>
      <c r="Q490" s="34"/>
      <c r="R490" s="35"/>
      <c r="S490" s="36"/>
      <c r="T490" s="35"/>
      <c r="U490" s="36"/>
      <c r="V490" s="37"/>
    </row>
    <row r="491" spans="1:22" x14ac:dyDescent="0.25">
      <c r="A491" s="27"/>
      <c r="B491" s="27"/>
      <c r="C491" s="27"/>
      <c r="D491" s="27"/>
      <c r="E491" s="27"/>
      <c r="F491" s="27"/>
      <c r="G491" s="27"/>
      <c r="H491" s="28"/>
      <c r="I491" s="27"/>
      <c r="J491" s="29"/>
      <c r="K491" s="30"/>
      <c r="L491" s="31"/>
      <c r="M491" s="32"/>
      <c r="N491" s="30"/>
      <c r="O491" s="30"/>
      <c r="P491" s="39"/>
      <c r="Q491" s="34"/>
      <c r="R491" s="35"/>
      <c r="S491" s="36"/>
      <c r="T491" s="35"/>
      <c r="U491" s="36"/>
      <c r="V491" s="37"/>
    </row>
    <row r="492" spans="1:22" x14ac:dyDescent="0.25">
      <c r="A492" s="27"/>
      <c r="B492" s="27"/>
      <c r="C492" s="27"/>
      <c r="D492" s="27"/>
      <c r="E492" s="27"/>
      <c r="F492" s="27"/>
      <c r="G492" s="27"/>
      <c r="H492" s="28"/>
      <c r="I492" s="27"/>
      <c r="J492" s="29"/>
      <c r="K492" s="30"/>
      <c r="L492" s="31"/>
      <c r="M492" s="32"/>
      <c r="N492" s="30"/>
      <c r="O492" s="30"/>
      <c r="P492" s="39"/>
      <c r="Q492" s="34"/>
      <c r="R492" s="35"/>
      <c r="S492" s="36"/>
      <c r="T492" s="35"/>
      <c r="U492" s="36"/>
      <c r="V492" s="37"/>
    </row>
    <row r="493" spans="1:22" x14ac:dyDescent="0.25">
      <c r="A493" s="27"/>
      <c r="B493" s="27"/>
      <c r="C493" s="27"/>
      <c r="D493" s="27"/>
      <c r="E493" s="27"/>
      <c r="F493" s="27"/>
      <c r="G493" s="27"/>
      <c r="H493" s="28"/>
      <c r="I493" s="27"/>
      <c r="J493" s="29"/>
      <c r="K493" s="30"/>
      <c r="L493" s="31"/>
      <c r="M493" s="32"/>
      <c r="N493" s="30"/>
      <c r="O493" s="30"/>
      <c r="P493" s="39"/>
      <c r="Q493" s="34"/>
      <c r="R493" s="35"/>
      <c r="S493" s="36"/>
      <c r="T493" s="35"/>
      <c r="U493" s="36"/>
      <c r="V493" s="37"/>
    </row>
    <row r="494" spans="1:22" x14ac:dyDescent="0.25">
      <c r="A494" s="27"/>
      <c r="B494" s="27"/>
      <c r="C494" s="27"/>
      <c r="D494" s="27"/>
      <c r="E494" s="27"/>
      <c r="F494" s="27"/>
      <c r="G494" s="27"/>
      <c r="H494" s="28"/>
      <c r="I494" s="27"/>
      <c r="J494" s="29"/>
      <c r="K494" s="30"/>
      <c r="L494" s="31"/>
      <c r="M494" s="32"/>
      <c r="N494" s="30"/>
      <c r="O494" s="30"/>
      <c r="P494" s="39"/>
      <c r="Q494" s="34"/>
      <c r="R494" s="35"/>
      <c r="S494" s="36"/>
      <c r="T494" s="35"/>
      <c r="U494" s="36"/>
      <c r="V494" s="37"/>
    </row>
    <row r="495" spans="1:22" x14ac:dyDescent="0.25">
      <c r="A495" s="27"/>
      <c r="B495" s="27"/>
      <c r="C495" s="27"/>
      <c r="D495" s="27"/>
      <c r="E495" s="27"/>
      <c r="F495" s="27"/>
      <c r="G495" s="27"/>
      <c r="H495" s="28"/>
      <c r="I495" s="27"/>
      <c r="J495" s="29"/>
      <c r="K495" s="30"/>
      <c r="L495" s="31"/>
      <c r="M495" s="32"/>
      <c r="N495" s="30"/>
      <c r="O495" s="30"/>
      <c r="P495" s="39"/>
      <c r="Q495" s="34"/>
      <c r="R495" s="35"/>
      <c r="S495" s="36"/>
      <c r="T495" s="35"/>
      <c r="U495" s="36"/>
      <c r="V495" s="37"/>
    </row>
    <row r="496" spans="1:22" x14ac:dyDescent="0.25">
      <c r="A496" s="27"/>
      <c r="B496" s="27"/>
      <c r="C496" s="27"/>
      <c r="D496" s="27"/>
      <c r="E496" s="27"/>
      <c r="F496" s="27"/>
      <c r="G496" s="27"/>
      <c r="H496" s="28"/>
      <c r="I496" s="27"/>
      <c r="J496" s="29"/>
      <c r="K496" s="30"/>
      <c r="L496" s="31"/>
      <c r="M496" s="32"/>
      <c r="N496" s="30"/>
      <c r="O496" s="30"/>
      <c r="P496" s="39"/>
      <c r="Q496" s="34"/>
      <c r="R496" s="35"/>
      <c r="S496" s="36"/>
      <c r="T496" s="35"/>
      <c r="U496" s="36"/>
      <c r="V496" s="37"/>
    </row>
    <row r="497" spans="1:22" x14ac:dyDescent="0.25">
      <c r="A497" s="27"/>
      <c r="B497" s="27"/>
      <c r="C497" s="27"/>
      <c r="D497" s="27"/>
      <c r="E497" s="27"/>
      <c r="F497" s="27"/>
      <c r="G497" s="27"/>
      <c r="H497" s="28"/>
      <c r="I497" s="27"/>
      <c r="J497" s="29"/>
      <c r="K497" s="30"/>
      <c r="L497" s="31"/>
      <c r="M497" s="32"/>
      <c r="N497" s="30"/>
      <c r="O497" s="30"/>
      <c r="P497" s="39"/>
      <c r="Q497" s="34"/>
      <c r="R497" s="35"/>
      <c r="S497" s="36"/>
      <c r="T497" s="35"/>
      <c r="U497" s="36"/>
      <c r="V497" s="37"/>
    </row>
    <row r="498" spans="1:22" x14ac:dyDescent="0.25">
      <c r="A498" s="27"/>
      <c r="B498" s="27"/>
      <c r="C498" s="27"/>
      <c r="D498" s="27"/>
      <c r="E498" s="27"/>
      <c r="F498" s="27"/>
      <c r="G498" s="27"/>
      <c r="H498" s="28"/>
      <c r="I498" s="27"/>
      <c r="J498" s="29"/>
      <c r="K498" s="30"/>
      <c r="L498" s="31"/>
      <c r="M498" s="32"/>
      <c r="N498" s="30"/>
      <c r="O498" s="30"/>
      <c r="P498" s="39"/>
      <c r="Q498" s="34"/>
      <c r="R498" s="35"/>
      <c r="S498" s="36"/>
      <c r="T498" s="35"/>
      <c r="U498" s="36"/>
      <c r="V498" s="37"/>
    </row>
    <row r="499" spans="1:22" x14ac:dyDescent="0.25">
      <c r="A499" s="27"/>
      <c r="B499" s="27"/>
      <c r="C499" s="27"/>
      <c r="D499" s="27"/>
      <c r="E499" s="27"/>
      <c r="F499" s="27"/>
      <c r="G499" s="27"/>
      <c r="H499" s="28"/>
      <c r="I499" s="27"/>
      <c r="J499" s="29"/>
      <c r="K499" s="30"/>
      <c r="L499" s="31"/>
      <c r="M499" s="32"/>
      <c r="N499" s="30"/>
      <c r="O499" s="30"/>
      <c r="P499" s="39"/>
      <c r="Q499" s="34"/>
      <c r="R499" s="35"/>
      <c r="S499" s="36"/>
      <c r="T499" s="35"/>
      <c r="U499" s="36"/>
      <c r="V499" s="37"/>
    </row>
    <row r="500" spans="1:22" x14ac:dyDescent="0.25">
      <c r="A500" s="27"/>
      <c r="B500" s="27"/>
      <c r="C500" s="27"/>
      <c r="D500" s="27"/>
      <c r="E500" s="27"/>
      <c r="F500" s="27"/>
      <c r="G500" s="27"/>
      <c r="H500" s="28"/>
      <c r="I500" s="27"/>
      <c r="J500" s="29"/>
      <c r="K500" s="30"/>
      <c r="L500" s="31"/>
      <c r="M500" s="32"/>
      <c r="N500" s="30"/>
      <c r="O500" s="30"/>
      <c r="P500" s="39"/>
      <c r="Q500" s="34"/>
      <c r="R500" s="35"/>
      <c r="S500" s="36"/>
      <c r="T500" s="35"/>
      <c r="U500" s="36"/>
      <c r="V500" s="37"/>
    </row>
    <row r="501" spans="1:22" x14ac:dyDescent="0.25">
      <c r="A501" s="27"/>
      <c r="B501" s="27"/>
      <c r="C501" s="27"/>
      <c r="D501" s="27"/>
      <c r="E501" s="27"/>
      <c r="F501" s="27"/>
      <c r="G501" s="27"/>
      <c r="H501" s="28"/>
      <c r="I501" s="27"/>
      <c r="J501" s="29"/>
      <c r="K501" s="30"/>
      <c r="L501" s="31"/>
      <c r="M501" s="32"/>
      <c r="N501" s="30"/>
      <c r="O501" s="30"/>
      <c r="P501" s="39"/>
      <c r="Q501" s="34"/>
      <c r="R501" s="35"/>
      <c r="S501" s="36"/>
      <c r="T501" s="35"/>
      <c r="U501" s="36"/>
      <c r="V501" s="37"/>
    </row>
    <row r="502" spans="1:22" x14ac:dyDescent="0.25">
      <c r="A502" s="27"/>
      <c r="B502" s="27"/>
      <c r="C502" s="27"/>
      <c r="D502" s="27"/>
      <c r="E502" s="27"/>
      <c r="F502" s="27"/>
      <c r="G502" s="27"/>
      <c r="H502" s="28"/>
      <c r="I502" s="27"/>
      <c r="J502" s="29"/>
      <c r="K502" s="30"/>
      <c r="L502" s="31"/>
      <c r="M502" s="32"/>
      <c r="N502" s="30"/>
      <c r="O502" s="30"/>
      <c r="P502" s="39"/>
      <c r="Q502" s="34"/>
      <c r="R502" s="35"/>
      <c r="S502" s="36"/>
      <c r="T502" s="35"/>
      <c r="U502" s="36"/>
      <c r="V502" s="37"/>
    </row>
    <row r="503" spans="1:22" x14ac:dyDescent="0.25">
      <c r="A503" s="27"/>
      <c r="B503" s="27"/>
      <c r="C503" s="27"/>
      <c r="D503" s="27"/>
      <c r="E503" s="27"/>
      <c r="F503" s="27"/>
      <c r="G503" s="27"/>
      <c r="H503" s="28"/>
      <c r="I503" s="27"/>
      <c r="J503" s="29"/>
      <c r="K503" s="30"/>
      <c r="L503" s="31"/>
      <c r="M503" s="32"/>
      <c r="N503" s="30"/>
      <c r="O503" s="30"/>
      <c r="P503" s="39"/>
      <c r="Q503" s="34"/>
      <c r="R503" s="35"/>
      <c r="S503" s="36"/>
      <c r="T503" s="35"/>
      <c r="U503" s="36"/>
      <c r="V503" s="37"/>
    </row>
    <row r="504" spans="1:22" x14ac:dyDescent="0.25">
      <c r="A504" s="27"/>
      <c r="B504" s="27"/>
      <c r="C504" s="27"/>
      <c r="D504" s="27"/>
      <c r="E504" s="27"/>
      <c r="F504" s="27"/>
      <c r="G504" s="27"/>
      <c r="H504" s="28"/>
      <c r="I504" s="27"/>
      <c r="J504" s="29"/>
      <c r="K504" s="30"/>
      <c r="L504" s="31"/>
      <c r="M504" s="32"/>
      <c r="N504" s="30"/>
      <c r="O504" s="30"/>
      <c r="P504" s="39"/>
      <c r="Q504" s="34"/>
      <c r="R504" s="35"/>
      <c r="S504" s="36"/>
      <c r="T504" s="35"/>
      <c r="U504" s="36"/>
      <c r="V504" s="37"/>
    </row>
    <row r="505" spans="1:22" x14ac:dyDescent="0.25">
      <c r="A505" s="27"/>
      <c r="B505" s="27"/>
      <c r="C505" s="27"/>
      <c r="D505" s="27"/>
      <c r="E505" s="27"/>
      <c r="F505" s="27"/>
      <c r="G505" s="27"/>
      <c r="H505" s="28"/>
      <c r="I505" s="27"/>
      <c r="J505" s="29"/>
      <c r="K505" s="30"/>
      <c r="L505" s="31"/>
      <c r="M505" s="32"/>
      <c r="N505" s="30"/>
      <c r="O505" s="30"/>
      <c r="P505" s="39"/>
      <c r="Q505" s="34"/>
      <c r="R505" s="35"/>
      <c r="S505" s="36"/>
      <c r="T505" s="35"/>
      <c r="U505" s="36"/>
      <c r="V505" s="37"/>
    </row>
    <row r="506" spans="1:22" x14ac:dyDescent="0.25">
      <c r="A506" s="27"/>
      <c r="B506" s="27"/>
      <c r="C506" s="27"/>
      <c r="D506" s="27"/>
      <c r="E506" s="27"/>
      <c r="F506" s="27"/>
      <c r="G506" s="27"/>
      <c r="H506" s="28"/>
      <c r="I506" s="27"/>
      <c r="J506" s="29"/>
      <c r="K506" s="30"/>
      <c r="L506" s="31"/>
      <c r="M506" s="32"/>
      <c r="N506" s="30"/>
      <c r="O506" s="30"/>
      <c r="P506" s="39"/>
      <c r="Q506" s="34"/>
      <c r="R506" s="35"/>
      <c r="S506" s="36"/>
      <c r="T506" s="35"/>
      <c r="U506" s="36"/>
      <c r="V506" s="37"/>
    </row>
    <row r="507" spans="1:22" x14ac:dyDescent="0.25">
      <c r="A507" s="27"/>
      <c r="B507" s="27"/>
      <c r="C507" s="27"/>
      <c r="D507" s="27"/>
      <c r="E507" s="27"/>
      <c r="F507" s="27"/>
      <c r="G507" s="27"/>
      <c r="H507" s="28"/>
      <c r="I507" s="27"/>
      <c r="J507" s="29"/>
      <c r="K507" s="30"/>
      <c r="L507" s="31"/>
      <c r="M507" s="32"/>
      <c r="N507" s="30"/>
      <c r="O507" s="30"/>
      <c r="P507" s="39"/>
      <c r="Q507" s="34"/>
      <c r="R507" s="35"/>
      <c r="S507" s="36"/>
      <c r="T507" s="35"/>
      <c r="U507" s="36"/>
      <c r="V507" s="37"/>
    </row>
    <row r="508" spans="1:22" x14ac:dyDescent="0.25">
      <c r="A508" s="27"/>
      <c r="B508" s="27"/>
      <c r="C508" s="27"/>
      <c r="D508" s="27"/>
      <c r="E508" s="27"/>
      <c r="F508" s="27"/>
      <c r="G508" s="27"/>
      <c r="H508" s="28"/>
      <c r="I508" s="27"/>
      <c r="J508" s="29"/>
      <c r="K508" s="30"/>
      <c r="L508" s="31"/>
      <c r="M508" s="32"/>
      <c r="N508" s="30"/>
      <c r="O508" s="30"/>
      <c r="P508" s="39"/>
      <c r="Q508" s="34"/>
      <c r="R508" s="35"/>
      <c r="S508" s="36"/>
      <c r="T508" s="35"/>
      <c r="U508" s="36"/>
      <c r="V508" s="37"/>
    </row>
    <row r="509" spans="1:22" x14ac:dyDescent="0.25">
      <c r="A509" s="27"/>
      <c r="B509" s="27"/>
      <c r="C509" s="27"/>
      <c r="D509" s="27"/>
      <c r="E509" s="27"/>
      <c r="F509" s="27"/>
      <c r="G509" s="27"/>
      <c r="H509" s="28"/>
      <c r="I509" s="27"/>
      <c r="J509" s="29"/>
      <c r="K509" s="30"/>
      <c r="L509" s="31"/>
      <c r="M509" s="32"/>
      <c r="N509" s="30"/>
      <c r="O509" s="30"/>
      <c r="P509" s="39"/>
      <c r="Q509" s="34"/>
      <c r="R509" s="35"/>
      <c r="S509" s="36"/>
      <c r="T509" s="35"/>
      <c r="U509" s="36"/>
      <c r="V509" s="37"/>
    </row>
    <row r="510" spans="1:22" x14ac:dyDescent="0.25">
      <c r="A510" s="27"/>
      <c r="B510" s="27"/>
      <c r="C510" s="27"/>
      <c r="D510" s="27"/>
      <c r="E510" s="27"/>
      <c r="F510" s="27"/>
      <c r="G510" s="27"/>
      <c r="H510" s="28"/>
      <c r="I510" s="27"/>
      <c r="J510" s="29"/>
      <c r="K510" s="30"/>
      <c r="L510" s="31"/>
      <c r="M510" s="32"/>
      <c r="N510" s="30"/>
      <c r="O510" s="30"/>
      <c r="P510" s="39"/>
      <c r="Q510" s="34"/>
      <c r="R510" s="35"/>
      <c r="S510" s="36"/>
      <c r="T510" s="35"/>
      <c r="U510" s="36"/>
      <c r="V510" s="37"/>
    </row>
    <row r="511" spans="1:22" x14ac:dyDescent="0.25">
      <c r="A511" s="27"/>
      <c r="B511" s="27"/>
      <c r="C511" s="27"/>
      <c r="D511" s="27"/>
      <c r="E511" s="27"/>
      <c r="F511" s="27"/>
      <c r="G511" s="27"/>
      <c r="H511" s="28"/>
      <c r="I511" s="27"/>
      <c r="J511" s="29"/>
      <c r="K511" s="30"/>
      <c r="L511" s="31"/>
      <c r="M511" s="32"/>
      <c r="N511" s="30"/>
      <c r="O511" s="30"/>
      <c r="P511" s="39"/>
      <c r="Q511" s="34"/>
      <c r="R511" s="35"/>
      <c r="S511" s="36"/>
      <c r="T511" s="35"/>
      <c r="U511" s="36"/>
      <c r="V511" s="37"/>
    </row>
    <row r="512" spans="1:22" x14ac:dyDescent="0.25">
      <c r="A512" s="27"/>
      <c r="B512" s="27"/>
      <c r="C512" s="27"/>
      <c r="D512" s="27"/>
      <c r="E512" s="27"/>
      <c r="F512" s="27"/>
      <c r="G512" s="27"/>
      <c r="H512" s="28"/>
      <c r="I512" s="27"/>
      <c r="J512" s="29"/>
      <c r="K512" s="30"/>
      <c r="L512" s="31"/>
      <c r="M512" s="32"/>
      <c r="N512" s="30"/>
      <c r="O512" s="30"/>
      <c r="P512" s="39"/>
      <c r="Q512" s="34"/>
      <c r="R512" s="35"/>
      <c r="S512" s="36"/>
      <c r="T512" s="35"/>
      <c r="U512" s="36"/>
      <c r="V512" s="37"/>
    </row>
    <row r="513" spans="1:22" x14ac:dyDescent="0.25">
      <c r="A513" s="27"/>
      <c r="B513" s="27"/>
      <c r="C513" s="27"/>
      <c r="D513" s="27"/>
      <c r="E513" s="27"/>
      <c r="F513" s="27"/>
      <c r="G513" s="27"/>
      <c r="H513" s="28"/>
      <c r="I513" s="27"/>
      <c r="J513" s="29"/>
      <c r="K513" s="30"/>
      <c r="L513" s="31"/>
      <c r="M513" s="32"/>
      <c r="N513" s="30"/>
      <c r="O513" s="30"/>
      <c r="P513" s="39"/>
      <c r="Q513" s="34"/>
      <c r="R513" s="35"/>
      <c r="S513" s="36"/>
      <c r="T513" s="35"/>
      <c r="U513" s="36"/>
      <c r="V513" s="37"/>
    </row>
    <row r="514" spans="1:22" x14ac:dyDescent="0.25">
      <c r="A514" s="27"/>
      <c r="B514" s="27"/>
      <c r="C514" s="27"/>
      <c r="D514" s="27"/>
      <c r="E514" s="27"/>
      <c r="F514" s="27"/>
      <c r="G514" s="27"/>
      <c r="H514" s="28"/>
      <c r="I514" s="27"/>
      <c r="J514" s="29"/>
      <c r="K514" s="30"/>
      <c r="L514" s="31"/>
      <c r="M514" s="32"/>
      <c r="N514" s="30"/>
      <c r="O514" s="30"/>
      <c r="P514" s="39"/>
      <c r="Q514" s="34"/>
      <c r="R514" s="35"/>
      <c r="S514" s="36"/>
      <c r="T514" s="35"/>
      <c r="U514" s="36"/>
      <c r="V514" s="37"/>
    </row>
    <row r="515" spans="1:22" x14ac:dyDescent="0.25">
      <c r="A515" s="27"/>
      <c r="B515" s="27"/>
      <c r="C515" s="27"/>
      <c r="D515" s="27"/>
      <c r="E515" s="27"/>
      <c r="F515" s="27"/>
      <c r="G515" s="27"/>
      <c r="H515" s="28"/>
      <c r="I515" s="27"/>
      <c r="J515" s="29"/>
      <c r="K515" s="30"/>
      <c r="L515" s="31"/>
      <c r="M515" s="32"/>
      <c r="N515" s="30"/>
      <c r="O515" s="30"/>
      <c r="P515" s="39"/>
      <c r="Q515" s="34"/>
      <c r="R515" s="35"/>
      <c r="S515" s="36"/>
      <c r="T515" s="35"/>
      <c r="U515" s="36"/>
      <c r="V515" s="37"/>
    </row>
    <row r="516" spans="1:22" x14ac:dyDescent="0.25">
      <c r="A516" s="27"/>
      <c r="B516" s="27"/>
      <c r="C516" s="27"/>
      <c r="D516" s="27"/>
      <c r="E516" s="27"/>
      <c r="F516" s="27"/>
      <c r="G516" s="27"/>
      <c r="H516" s="28"/>
      <c r="I516" s="27"/>
      <c r="J516" s="29"/>
      <c r="K516" s="30"/>
      <c r="L516" s="31"/>
      <c r="M516" s="32"/>
      <c r="N516" s="30"/>
      <c r="O516" s="30"/>
      <c r="P516" s="39"/>
      <c r="Q516" s="34"/>
      <c r="R516" s="35"/>
      <c r="S516" s="36"/>
      <c r="T516" s="35"/>
      <c r="U516" s="36"/>
      <c r="V516" s="37"/>
    </row>
    <row r="517" spans="1:22" x14ac:dyDescent="0.25">
      <c r="A517" s="27"/>
      <c r="B517" s="27"/>
      <c r="C517" s="27"/>
      <c r="D517" s="27"/>
      <c r="E517" s="27"/>
      <c r="F517" s="27"/>
      <c r="G517" s="27"/>
      <c r="H517" s="28"/>
      <c r="I517" s="27"/>
      <c r="J517" s="29"/>
      <c r="K517" s="30"/>
      <c r="L517" s="31"/>
      <c r="M517" s="32"/>
      <c r="N517" s="30"/>
      <c r="O517" s="30"/>
      <c r="P517" s="39"/>
      <c r="Q517" s="34"/>
      <c r="R517" s="35"/>
      <c r="S517" s="36"/>
      <c r="T517" s="35"/>
      <c r="U517" s="36"/>
      <c r="V517" s="37"/>
    </row>
    <row r="518" spans="1:22" x14ac:dyDescent="0.25">
      <c r="A518" s="27"/>
      <c r="B518" s="27"/>
      <c r="C518" s="27"/>
      <c r="D518" s="27"/>
      <c r="E518" s="27"/>
      <c r="F518" s="27"/>
      <c r="G518" s="27"/>
      <c r="H518" s="28"/>
      <c r="I518" s="27"/>
      <c r="J518" s="29"/>
      <c r="K518" s="30"/>
      <c r="L518" s="31"/>
      <c r="M518" s="32"/>
      <c r="N518" s="30"/>
      <c r="O518" s="30"/>
      <c r="P518" s="39"/>
      <c r="Q518" s="34"/>
      <c r="R518" s="35"/>
      <c r="S518" s="36"/>
      <c r="T518" s="35"/>
      <c r="U518" s="36"/>
      <c r="V518" s="37"/>
    </row>
    <row r="519" spans="1:22" x14ac:dyDescent="0.25">
      <c r="A519" s="27"/>
      <c r="B519" s="27"/>
      <c r="C519" s="27"/>
      <c r="D519" s="27"/>
      <c r="E519" s="27"/>
      <c r="F519" s="27"/>
      <c r="G519" s="27"/>
      <c r="H519" s="28"/>
      <c r="I519" s="27"/>
      <c r="J519" s="29"/>
      <c r="K519" s="30"/>
      <c r="L519" s="31"/>
      <c r="M519" s="32"/>
      <c r="N519" s="30"/>
      <c r="O519" s="30"/>
      <c r="P519" s="39"/>
      <c r="Q519" s="34"/>
      <c r="R519" s="35"/>
      <c r="S519" s="36"/>
      <c r="T519" s="35"/>
      <c r="U519" s="36"/>
      <c r="V519" s="37"/>
    </row>
    <row r="520" spans="1:22" x14ac:dyDescent="0.25">
      <c r="A520" s="27"/>
      <c r="B520" s="27"/>
      <c r="C520" s="27"/>
      <c r="D520" s="27"/>
      <c r="E520" s="27"/>
      <c r="F520" s="27"/>
      <c r="G520" s="27"/>
      <c r="H520" s="28"/>
      <c r="I520" s="27"/>
      <c r="J520" s="29"/>
      <c r="K520" s="30"/>
      <c r="L520" s="31"/>
      <c r="M520" s="32"/>
      <c r="N520" s="30"/>
      <c r="O520" s="30"/>
      <c r="P520" s="39"/>
      <c r="Q520" s="34"/>
      <c r="R520" s="35"/>
      <c r="S520" s="36"/>
      <c r="T520" s="35"/>
      <c r="U520" s="36"/>
      <c r="V520" s="37"/>
    </row>
    <row r="521" spans="1:22" x14ac:dyDescent="0.25">
      <c r="A521" s="27"/>
      <c r="B521" s="27"/>
      <c r="C521" s="27"/>
      <c r="D521" s="27"/>
      <c r="E521" s="27"/>
      <c r="F521" s="27"/>
      <c r="G521" s="27"/>
      <c r="H521" s="28"/>
      <c r="I521" s="27"/>
      <c r="J521" s="29"/>
      <c r="K521" s="30"/>
      <c r="L521" s="31"/>
      <c r="M521" s="32"/>
      <c r="N521" s="30"/>
      <c r="O521" s="30"/>
      <c r="P521" s="39"/>
      <c r="Q521" s="34"/>
      <c r="R521" s="35"/>
      <c r="S521" s="36"/>
      <c r="T521" s="35"/>
      <c r="U521" s="36"/>
      <c r="V521" s="37"/>
    </row>
    <row r="522" spans="1:22" x14ac:dyDescent="0.25">
      <c r="A522" s="27"/>
      <c r="B522" s="27"/>
      <c r="C522" s="27"/>
      <c r="D522" s="27"/>
      <c r="E522" s="27"/>
      <c r="F522" s="27"/>
      <c r="G522" s="27"/>
      <c r="H522" s="28"/>
      <c r="I522" s="27"/>
      <c r="J522" s="29"/>
      <c r="K522" s="30"/>
      <c r="L522" s="31"/>
      <c r="M522" s="32"/>
      <c r="N522" s="30"/>
      <c r="O522" s="30"/>
      <c r="P522" s="39"/>
      <c r="Q522" s="34"/>
      <c r="R522" s="35"/>
      <c r="S522" s="36"/>
      <c r="T522" s="35"/>
      <c r="U522" s="36"/>
      <c r="V522" s="37"/>
    </row>
    <row r="523" spans="1:22" x14ac:dyDescent="0.25">
      <c r="A523" s="27"/>
      <c r="B523" s="27"/>
      <c r="C523" s="27"/>
      <c r="D523" s="27"/>
      <c r="E523" s="27"/>
      <c r="F523" s="27"/>
      <c r="G523" s="27"/>
      <c r="H523" s="28"/>
      <c r="I523" s="27"/>
      <c r="J523" s="29"/>
      <c r="K523" s="30"/>
      <c r="L523" s="31"/>
      <c r="M523" s="32"/>
      <c r="N523" s="30"/>
      <c r="O523" s="30"/>
      <c r="P523" s="39"/>
      <c r="Q523" s="34"/>
      <c r="R523" s="35"/>
      <c r="S523" s="36"/>
      <c r="T523" s="35"/>
      <c r="U523" s="36"/>
      <c r="V523" s="37"/>
    </row>
    <row r="524" spans="1:22" x14ac:dyDescent="0.25">
      <c r="A524" s="27"/>
      <c r="B524" s="27"/>
      <c r="C524" s="27"/>
      <c r="D524" s="27"/>
      <c r="E524" s="27"/>
      <c r="F524" s="27"/>
      <c r="G524" s="27"/>
      <c r="H524" s="28"/>
      <c r="I524" s="27"/>
      <c r="J524" s="29"/>
      <c r="K524" s="30"/>
      <c r="L524" s="31"/>
      <c r="M524" s="32"/>
      <c r="N524" s="30"/>
      <c r="O524" s="30"/>
      <c r="P524" s="39"/>
      <c r="Q524" s="34"/>
      <c r="R524" s="35"/>
      <c r="S524" s="36"/>
      <c r="T524" s="35"/>
      <c r="U524" s="36"/>
      <c r="V524" s="37"/>
    </row>
    <row r="525" spans="1:22" x14ac:dyDescent="0.25">
      <c r="A525" s="27"/>
      <c r="B525" s="27"/>
      <c r="C525" s="27"/>
      <c r="D525" s="27"/>
      <c r="E525" s="27"/>
      <c r="F525" s="27"/>
      <c r="G525" s="27"/>
      <c r="H525" s="28"/>
      <c r="I525" s="27"/>
      <c r="J525" s="29"/>
      <c r="K525" s="30"/>
      <c r="L525" s="31"/>
      <c r="M525" s="32"/>
      <c r="N525" s="30"/>
      <c r="O525" s="30"/>
      <c r="P525" s="39"/>
      <c r="Q525" s="34"/>
      <c r="R525" s="35"/>
      <c r="S525" s="36"/>
      <c r="T525" s="35"/>
      <c r="U525" s="36"/>
      <c r="V525" s="37"/>
    </row>
    <row r="526" spans="1:22" x14ac:dyDescent="0.25">
      <c r="A526" s="27"/>
      <c r="B526" s="27"/>
      <c r="C526" s="27"/>
      <c r="D526" s="27"/>
      <c r="E526" s="27"/>
      <c r="F526" s="27"/>
      <c r="G526" s="27"/>
      <c r="H526" s="28"/>
      <c r="I526" s="27"/>
      <c r="J526" s="29"/>
      <c r="K526" s="30"/>
      <c r="L526" s="31"/>
      <c r="M526" s="32"/>
      <c r="N526" s="30"/>
      <c r="O526" s="30"/>
      <c r="P526" s="39"/>
      <c r="Q526" s="34"/>
      <c r="R526" s="35"/>
      <c r="S526" s="36"/>
      <c r="T526" s="35"/>
      <c r="U526" s="36"/>
      <c r="V526" s="37"/>
    </row>
    <row r="527" spans="1:22" x14ac:dyDescent="0.25">
      <c r="A527" s="27"/>
      <c r="B527" s="27"/>
      <c r="C527" s="27"/>
      <c r="D527" s="27"/>
      <c r="E527" s="27"/>
      <c r="F527" s="27"/>
      <c r="G527" s="27"/>
      <c r="H527" s="28"/>
      <c r="I527" s="27"/>
      <c r="J527" s="29"/>
      <c r="K527" s="30"/>
      <c r="L527" s="31"/>
      <c r="M527" s="32"/>
      <c r="N527" s="30"/>
      <c r="O527" s="30"/>
      <c r="P527" s="39"/>
      <c r="Q527" s="34"/>
      <c r="R527" s="35"/>
      <c r="S527" s="36"/>
      <c r="T527" s="35"/>
      <c r="U527" s="36"/>
      <c r="V527" s="37"/>
    </row>
    <row r="528" spans="1:22" x14ac:dyDescent="0.25">
      <c r="A528" s="27"/>
      <c r="B528" s="27"/>
      <c r="C528" s="27"/>
      <c r="D528" s="27"/>
      <c r="E528" s="27"/>
      <c r="F528" s="27"/>
      <c r="G528" s="27"/>
      <c r="H528" s="28"/>
      <c r="I528" s="27"/>
      <c r="J528" s="29"/>
      <c r="K528" s="30"/>
      <c r="L528" s="31"/>
      <c r="M528" s="32"/>
      <c r="N528" s="30"/>
      <c r="O528" s="30"/>
      <c r="P528" s="39"/>
      <c r="Q528" s="34"/>
      <c r="R528" s="35"/>
      <c r="S528" s="36"/>
      <c r="T528" s="35"/>
      <c r="U528" s="36"/>
      <c r="V528" s="37"/>
    </row>
    <row r="529" spans="1:22" x14ac:dyDescent="0.25">
      <c r="A529" s="27"/>
      <c r="B529" s="27"/>
      <c r="C529" s="27"/>
      <c r="D529" s="27"/>
      <c r="E529" s="27"/>
      <c r="F529" s="27"/>
      <c r="G529" s="27"/>
      <c r="H529" s="28"/>
      <c r="I529" s="27"/>
      <c r="J529" s="29"/>
      <c r="K529" s="30"/>
      <c r="L529" s="31"/>
      <c r="M529" s="32"/>
      <c r="N529" s="30"/>
      <c r="O529" s="30"/>
      <c r="P529" s="39"/>
      <c r="Q529" s="34"/>
      <c r="R529" s="35"/>
      <c r="S529" s="36"/>
      <c r="T529" s="35"/>
      <c r="U529" s="36"/>
      <c r="V529" s="37"/>
    </row>
    <row r="530" spans="1:22" x14ac:dyDescent="0.25">
      <c r="A530" s="27"/>
      <c r="B530" s="27"/>
      <c r="C530" s="27"/>
      <c r="D530" s="27"/>
      <c r="E530" s="27"/>
      <c r="F530" s="27"/>
      <c r="G530" s="27"/>
      <c r="H530" s="28"/>
      <c r="I530" s="27"/>
      <c r="J530" s="29"/>
      <c r="K530" s="30"/>
      <c r="L530" s="31"/>
      <c r="M530" s="32"/>
      <c r="N530" s="30"/>
      <c r="O530" s="30"/>
      <c r="P530" s="39"/>
      <c r="Q530" s="34"/>
      <c r="R530" s="35"/>
      <c r="S530" s="36"/>
      <c r="T530" s="35"/>
      <c r="U530" s="36"/>
      <c r="V530" s="37"/>
    </row>
    <row r="531" spans="1:22" x14ac:dyDescent="0.25">
      <c r="A531" s="27"/>
      <c r="B531" s="27"/>
      <c r="C531" s="27"/>
      <c r="D531" s="27"/>
      <c r="E531" s="27"/>
      <c r="F531" s="27"/>
      <c r="G531" s="27"/>
      <c r="H531" s="28"/>
      <c r="I531" s="27"/>
      <c r="J531" s="29"/>
      <c r="K531" s="30"/>
      <c r="L531" s="31"/>
      <c r="M531" s="32"/>
      <c r="N531" s="30"/>
      <c r="O531" s="30"/>
      <c r="P531" s="39"/>
      <c r="Q531" s="34"/>
      <c r="R531" s="35"/>
      <c r="S531" s="36"/>
      <c r="T531" s="35"/>
      <c r="U531" s="36"/>
      <c r="V531" s="37"/>
    </row>
    <row r="532" spans="1:22" x14ac:dyDescent="0.25">
      <c r="A532" s="27"/>
      <c r="B532" s="27"/>
      <c r="C532" s="27"/>
      <c r="D532" s="27"/>
      <c r="E532" s="27"/>
      <c r="F532" s="27"/>
      <c r="G532" s="27"/>
      <c r="H532" s="28"/>
      <c r="I532" s="27"/>
      <c r="J532" s="29"/>
      <c r="K532" s="30"/>
      <c r="L532" s="31"/>
      <c r="M532" s="32"/>
      <c r="N532" s="30"/>
      <c r="O532" s="30"/>
      <c r="P532" s="39"/>
      <c r="Q532" s="34"/>
      <c r="R532" s="35"/>
      <c r="S532" s="36"/>
      <c r="T532" s="35"/>
      <c r="U532" s="36"/>
      <c r="V532" s="37"/>
    </row>
    <row r="533" spans="1:22" x14ac:dyDescent="0.25">
      <c r="A533" s="27"/>
      <c r="B533" s="27"/>
      <c r="C533" s="27"/>
      <c r="D533" s="27"/>
      <c r="E533" s="27"/>
      <c r="F533" s="27"/>
      <c r="G533" s="27"/>
      <c r="H533" s="28"/>
      <c r="I533" s="27"/>
      <c r="J533" s="29"/>
      <c r="K533" s="30"/>
      <c r="L533" s="31"/>
      <c r="M533" s="32"/>
      <c r="N533" s="30"/>
      <c r="O533" s="30"/>
      <c r="P533" s="39"/>
      <c r="Q533" s="34"/>
      <c r="R533" s="35"/>
      <c r="S533" s="36"/>
      <c r="T533" s="35"/>
      <c r="U533" s="36"/>
      <c r="V533" s="37"/>
    </row>
    <row r="534" spans="1:22" x14ac:dyDescent="0.25">
      <c r="A534" s="27"/>
      <c r="B534" s="27"/>
      <c r="C534" s="27"/>
      <c r="D534" s="27"/>
      <c r="E534" s="27"/>
      <c r="F534" s="27"/>
      <c r="G534" s="27"/>
      <c r="H534" s="28"/>
      <c r="I534" s="27"/>
      <c r="J534" s="29"/>
      <c r="K534" s="30"/>
      <c r="L534" s="31"/>
      <c r="M534" s="32"/>
      <c r="N534" s="30"/>
      <c r="O534" s="30"/>
      <c r="P534" s="39"/>
      <c r="Q534" s="34"/>
      <c r="R534" s="35"/>
      <c r="S534" s="36"/>
      <c r="T534" s="35"/>
      <c r="U534" s="36"/>
      <c r="V534" s="37"/>
    </row>
    <row r="535" spans="1:22" x14ac:dyDescent="0.25">
      <c r="A535" s="27"/>
      <c r="B535" s="27"/>
      <c r="C535" s="27"/>
      <c r="D535" s="27"/>
      <c r="E535" s="27"/>
      <c r="F535" s="27"/>
      <c r="G535" s="27"/>
      <c r="H535" s="28"/>
      <c r="I535" s="27"/>
      <c r="J535" s="29"/>
      <c r="K535" s="30"/>
      <c r="L535" s="31"/>
      <c r="M535" s="32"/>
      <c r="N535" s="30"/>
      <c r="O535" s="30"/>
      <c r="P535" s="39"/>
      <c r="Q535" s="34"/>
      <c r="R535" s="35"/>
      <c r="S535" s="36"/>
      <c r="T535" s="35"/>
      <c r="U535" s="36"/>
      <c r="V535" s="37"/>
    </row>
    <row r="536" spans="1:22" x14ac:dyDescent="0.25">
      <c r="A536" s="27"/>
      <c r="B536" s="27"/>
      <c r="C536" s="27"/>
      <c r="D536" s="27"/>
      <c r="E536" s="27"/>
      <c r="F536" s="27"/>
      <c r="G536" s="27"/>
      <c r="H536" s="28"/>
      <c r="I536" s="27"/>
      <c r="J536" s="29"/>
      <c r="K536" s="30"/>
      <c r="L536" s="31"/>
      <c r="M536" s="32"/>
      <c r="N536" s="30"/>
      <c r="O536" s="30"/>
      <c r="P536" s="39"/>
      <c r="Q536" s="34"/>
      <c r="R536" s="35"/>
      <c r="S536" s="36"/>
      <c r="T536" s="35"/>
      <c r="U536" s="36"/>
      <c r="V536" s="37"/>
    </row>
    <row r="537" spans="1:22" x14ac:dyDescent="0.25">
      <c r="A537" s="27"/>
      <c r="B537" s="27"/>
      <c r="C537" s="27"/>
      <c r="D537" s="27"/>
      <c r="E537" s="27"/>
      <c r="F537" s="27"/>
      <c r="G537" s="27"/>
      <c r="H537" s="28"/>
      <c r="I537" s="27"/>
      <c r="J537" s="29"/>
      <c r="K537" s="30"/>
      <c r="L537" s="31"/>
      <c r="M537" s="32"/>
      <c r="N537" s="30"/>
      <c r="O537" s="30"/>
      <c r="P537" s="39"/>
      <c r="Q537" s="34"/>
      <c r="R537" s="35"/>
      <c r="S537" s="36"/>
      <c r="T537" s="35"/>
      <c r="U537" s="36"/>
      <c r="V537" s="37"/>
    </row>
    <row r="538" spans="1:22" x14ac:dyDescent="0.25">
      <c r="A538" s="27"/>
      <c r="B538" s="27"/>
      <c r="C538" s="27"/>
      <c r="D538" s="27"/>
      <c r="E538" s="27"/>
      <c r="F538" s="27"/>
      <c r="G538" s="27"/>
      <c r="H538" s="28"/>
      <c r="I538" s="27"/>
      <c r="J538" s="29"/>
      <c r="K538" s="30"/>
      <c r="L538" s="31"/>
      <c r="M538" s="32"/>
      <c r="N538" s="30"/>
      <c r="O538" s="30"/>
      <c r="P538" s="39"/>
      <c r="Q538" s="34"/>
      <c r="R538" s="35"/>
      <c r="S538" s="36"/>
      <c r="T538" s="35"/>
      <c r="U538" s="36"/>
      <c r="V538" s="37"/>
    </row>
    <row r="539" spans="1:22" x14ac:dyDescent="0.25">
      <c r="A539" s="27"/>
      <c r="B539" s="27"/>
      <c r="C539" s="27"/>
      <c r="D539" s="27"/>
      <c r="E539" s="27"/>
      <c r="F539" s="27"/>
      <c r="G539" s="27"/>
      <c r="H539" s="28"/>
      <c r="I539" s="27"/>
      <c r="J539" s="29"/>
      <c r="K539" s="30"/>
      <c r="L539" s="31"/>
      <c r="M539" s="32"/>
      <c r="N539" s="30"/>
      <c r="O539" s="30"/>
      <c r="P539" s="39"/>
      <c r="Q539" s="34"/>
      <c r="R539" s="35"/>
      <c r="S539" s="36"/>
      <c r="T539" s="35"/>
      <c r="U539" s="36"/>
      <c r="V539" s="37"/>
    </row>
    <row r="540" spans="1:22" x14ac:dyDescent="0.25">
      <c r="A540" s="27"/>
      <c r="B540" s="27"/>
      <c r="C540" s="27"/>
      <c r="D540" s="27"/>
      <c r="E540" s="27"/>
      <c r="F540" s="27"/>
      <c r="G540" s="27"/>
      <c r="H540" s="28"/>
      <c r="I540" s="27"/>
      <c r="J540" s="29"/>
      <c r="K540" s="30"/>
      <c r="L540" s="31"/>
      <c r="M540" s="32"/>
      <c r="N540" s="30"/>
      <c r="O540" s="30"/>
      <c r="P540" s="39"/>
      <c r="Q540" s="34"/>
      <c r="R540" s="35"/>
      <c r="S540" s="36"/>
      <c r="T540" s="35"/>
      <c r="U540" s="36"/>
      <c r="V540" s="37"/>
    </row>
    <row r="541" spans="1:22" x14ac:dyDescent="0.25">
      <c r="A541" s="27"/>
      <c r="B541" s="27"/>
      <c r="C541" s="27"/>
      <c r="D541" s="27"/>
      <c r="E541" s="27"/>
      <c r="F541" s="27"/>
      <c r="G541" s="27"/>
      <c r="H541" s="28"/>
      <c r="I541" s="27"/>
      <c r="J541" s="29"/>
      <c r="K541" s="30"/>
      <c r="L541" s="31"/>
      <c r="M541" s="32"/>
      <c r="N541" s="30"/>
      <c r="O541" s="30"/>
      <c r="P541" s="39"/>
      <c r="Q541" s="34"/>
      <c r="R541" s="35"/>
      <c r="S541" s="36"/>
      <c r="T541" s="35"/>
      <c r="U541" s="36"/>
      <c r="V541" s="37"/>
    </row>
    <row r="542" spans="1:22" x14ac:dyDescent="0.25">
      <c r="A542" s="27"/>
      <c r="B542" s="27"/>
      <c r="C542" s="27"/>
      <c r="D542" s="27"/>
      <c r="E542" s="27"/>
      <c r="F542" s="27"/>
      <c r="G542" s="27"/>
      <c r="H542" s="28"/>
      <c r="I542" s="27"/>
      <c r="J542" s="29"/>
      <c r="K542" s="30"/>
      <c r="L542" s="31"/>
      <c r="M542" s="32"/>
      <c r="N542" s="30"/>
      <c r="O542" s="30"/>
      <c r="P542" s="39"/>
      <c r="Q542" s="34"/>
      <c r="R542" s="35"/>
      <c r="S542" s="36"/>
      <c r="T542" s="35"/>
      <c r="U542" s="36"/>
      <c r="V542" s="37"/>
    </row>
    <row r="543" spans="1:22" x14ac:dyDescent="0.25">
      <c r="A543" s="27"/>
      <c r="B543" s="27"/>
      <c r="C543" s="27"/>
      <c r="D543" s="27"/>
      <c r="E543" s="27"/>
      <c r="F543" s="27"/>
      <c r="G543" s="27"/>
      <c r="H543" s="28"/>
      <c r="I543" s="27"/>
      <c r="J543" s="29"/>
      <c r="K543" s="30"/>
      <c r="L543" s="31"/>
      <c r="M543" s="32"/>
      <c r="N543" s="30"/>
      <c r="O543" s="30"/>
      <c r="P543" s="39"/>
      <c r="Q543" s="34"/>
      <c r="R543" s="35"/>
      <c r="S543" s="36"/>
      <c r="T543" s="35"/>
      <c r="U543" s="36"/>
      <c r="V543" s="37"/>
    </row>
    <row r="544" spans="1:22" x14ac:dyDescent="0.25">
      <c r="A544" s="27"/>
      <c r="B544" s="27"/>
      <c r="C544" s="27"/>
      <c r="D544" s="27"/>
      <c r="E544" s="27"/>
      <c r="F544" s="27"/>
      <c r="G544" s="27"/>
      <c r="H544" s="28"/>
      <c r="I544" s="27"/>
      <c r="J544" s="29"/>
      <c r="K544" s="30"/>
      <c r="L544" s="31"/>
      <c r="M544" s="32"/>
      <c r="N544" s="30"/>
      <c r="O544" s="30"/>
      <c r="P544" s="39"/>
      <c r="Q544" s="34"/>
      <c r="R544" s="35"/>
      <c r="S544" s="36"/>
      <c r="T544" s="35"/>
      <c r="U544" s="36"/>
      <c r="V544" s="37"/>
    </row>
    <row r="545" spans="1:22" x14ac:dyDescent="0.25">
      <c r="A545" s="27"/>
      <c r="B545" s="27"/>
      <c r="C545" s="27"/>
      <c r="D545" s="27"/>
      <c r="E545" s="27"/>
      <c r="F545" s="27"/>
      <c r="G545" s="27"/>
      <c r="H545" s="28"/>
      <c r="I545" s="27"/>
      <c r="J545" s="29"/>
      <c r="K545" s="30"/>
      <c r="L545" s="31"/>
      <c r="M545" s="32"/>
      <c r="N545" s="30"/>
      <c r="O545" s="30"/>
      <c r="P545" s="39"/>
      <c r="Q545" s="34"/>
      <c r="R545" s="35"/>
      <c r="S545" s="36"/>
      <c r="T545" s="35"/>
      <c r="U545" s="36"/>
      <c r="V545" s="37"/>
    </row>
    <row r="546" spans="1:22" x14ac:dyDescent="0.25">
      <c r="A546" s="27"/>
      <c r="B546" s="27"/>
      <c r="C546" s="27"/>
      <c r="D546" s="27"/>
      <c r="E546" s="27"/>
      <c r="F546" s="27"/>
      <c r="G546" s="27"/>
      <c r="H546" s="28"/>
      <c r="I546" s="27"/>
      <c r="J546" s="29"/>
      <c r="K546" s="30"/>
      <c r="L546" s="31"/>
      <c r="M546" s="32"/>
      <c r="N546" s="30"/>
      <c r="O546" s="30"/>
      <c r="P546" s="39"/>
      <c r="Q546" s="34"/>
      <c r="R546" s="35"/>
      <c r="S546" s="36"/>
      <c r="T546" s="35"/>
      <c r="U546" s="36"/>
      <c r="V546" s="37"/>
    </row>
    <row r="547" spans="1:22" x14ac:dyDescent="0.25">
      <c r="A547" s="27"/>
      <c r="B547" s="27"/>
      <c r="C547" s="27"/>
      <c r="D547" s="27"/>
      <c r="E547" s="27"/>
      <c r="F547" s="27"/>
      <c r="G547" s="27"/>
      <c r="H547" s="28"/>
      <c r="I547" s="27"/>
      <c r="J547" s="29"/>
      <c r="K547" s="30"/>
      <c r="L547" s="31"/>
      <c r="M547" s="32"/>
      <c r="N547" s="30"/>
      <c r="O547" s="30"/>
      <c r="P547" s="39"/>
      <c r="Q547" s="34"/>
      <c r="R547" s="35"/>
      <c r="S547" s="36"/>
      <c r="T547" s="35"/>
      <c r="U547" s="36"/>
      <c r="V547" s="37"/>
    </row>
    <row r="548" spans="1:22" x14ac:dyDescent="0.25">
      <c r="A548" s="27"/>
      <c r="B548" s="27"/>
      <c r="C548" s="27"/>
      <c r="D548" s="27"/>
      <c r="E548" s="27"/>
      <c r="F548" s="27"/>
      <c r="G548" s="27"/>
      <c r="H548" s="28"/>
      <c r="I548" s="27"/>
      <c r="J548" s="29"/>
      <c r="K548" s="30"/>
      <c r="L548" s="31"/>
      <c r="M548" s="32"/>
      <c r="N548" s="30"/>
      <c r="O548" s="30"/>
      <c r="P548" s="39"/>
      <c r="Q548" s="34"/>
      <c r="R548" s="35"/>
      <c r="S548" s="36"/>
      <c r="T548" s="35"/>
      <c r="U548" s="36"/>
      <c r="V548" s="37"/>
    </row>
    <row r="549" spans="1:22" x14ac:dyDescent="0.25">
      <c r="A549" s="27"/>
      <c r="B549" s="27"/>
      <c r="C549" s="27"/>
      <c r="D549" s="27"/>
      <c r="E549" s="27"/>
      <c r="F549" s="27"/>
      <c r="G549" s="27"/>
      <c r="H549" s="28"/>
      <c r="I549" s="27"/>
      <c r="J549" s="29"/>
      <c r="K549" s="30"/>
      <c r="L549" s="31"/>
      <c r="M549" s="32"/>
      <c r="N549" s="30"/>
      <c r="O549" s="30"/>
      <c r="P549" s="39"/>
      <c r="Q549" s="34"/>
      <c r="R549" s="35"/>
      <c r="S549" s="36"/>
      <c r="T549" s="35"/>
      <c r="U549" s="36"/>
      <c r="V549" s="37"/>
    </row>
    <row r="550" spans="1:22" x14ac:dyDescent="0.25">
      <c r="A550" s="27"/>
      <c r="B550" s="27"/>
      <c r="C550" s="27"/>
      <c r="D550" s="27"/>
      <c r="E550" s="27"/>
      <c r="F550" s="27"/>
      <c r="G550" s="27"/>
      <c r="H550" s="28"/>
      <c r="I550" s="27"/>
      <c r="J550" s="29"/>
      <c r="K550" s="30"/>
      <c r="L550" s="31"/>
      <c r="M550" s="32"/>
      <c r="N550" s="30"/>
      <c r="O550" s="30"/>
      <c r="P550" s="39"/>
      <c r="Q550" s="34"/>
      <c r="R550" s="35"/>
      <c r="S550" s="36"/>
      <c r="T550" s="35"/>
      <c r="U550" s="36"/>
      <c r="V550" s="37"/>
    </row>
    <row r="551" spans="1:22" x14ac:dyDescent="0.25">
      <c r="A551" s="27"/>
      <c r="B551" s="27"/>
      <c r="C551" s="27"/>
      <c r="D551" s="27"/>
      <c r="E551" s="27"/>
      <c r="F551" s="27"/>
      <c r="G551" s="27"/>
      <c r="H551" s="28"/>
      <c r="I551" s="27"/>
      <c r="J551" s="29"/>
      <c r="K551" s="30"/>
      <c r="L551" s="31"/>
      <c r="M551" s="32"/>
      <c r="N551" s="30"/>
      <c r="O551" s="30"/>
      <c r="P551" s="39"/>
      <c r="Q551" s="34"/>
      <c r="R551" s="35"/>
      <c r="S551" s="36"/>
      <c r="T551" s="35"/>
      <c r="U551" s="36"/>
      <c r="V551" s="37"/>
    </row>
    <row r="552" spans="1:22" x14ac:dyDescent="0.25">
      <c r="A552" s="27"/>
      <c r="B552" s="27"/>
      <c r="C552" s="27"/>
      <c r="D552" s="27"/>
      <c r="E552" s="27"/>
      <c r="F552" s="27"/>
      <c r="G552" s="27"/>
      <c r="H552" s="28"/>
      <c r="I552" s="27"/>
      <c r="J552" s="29"/>
      <c r="K552" s="30"/>
      <c r="L552" s="31"/>
      <c r="M552" s="32"/>
      <c r="N552" s="30"/>
      <c r="O552" s="30"/>
      <c r="P552" s="39"/>
      <c r="Q552" s="34"/>
      <c r="R552" s="35"/>
      <c r="S552" s="36"/>
      <c r="T552" s="35"/>
      <c r="U552" s="36"/>
      <c r="V552" s="37"/>
    </row>
    <row r="553" spans="1:22" x14ac:dyDescent="0.25">
      <c r="A553" s="27"/>
      <c r="B553" s="27"/>
      <c r="C553" s="27"/>
      <c r="D553" s="27"/>
      <c r="E553" s="27"/>
      <c r="F553" s="27"/>
      <c r="G553" s="27"/>
      <c r="H553" s="28"/>
      <c r="I553" s="27"/>
      <c r="J553" s="29"/>
      <c r="K553" s="30"/>
      <c r="L553" s="31"/>
      <c r="M553" s="32"/>
      <c r="N553" s="30"/>
      <c r="O553" s="30"/>
      <c r="P553" s="39"/>
      <c r="Q553" s="34"/>
      <c r="R553" s="35"/>
      <c r="S553" s="36"/>
      <c r="T553" s="35"/>
      <c r="U553" s="36"/>
      <c r="V553" s="37"/>
    </row>
    <row r="554" spans="1:22" x14ac:dyDescent="0.25">
      <c r="A554" s="27"/>
      <c r="B554" s="27"/>
      <c r="C554" s="27"/>
      <c r="D554" s="27"/>
      <c r="E554" s="27"/>
      <c r="F554" s="27"/>
      <c r="G554" s="27"/>
      <c r="H554" s="28"/>
      <c r="I554" s="27"/>
      <c r="J554" s="29"/>
      <c r="K554" s="30"/>
      <c r="L554" s="31"/>
      <c r="M554" s="32"/>
      <c r="N554" s="30"/>
      <c r="O554" s="30"/>
      <c r="P554" s="39"/>
      <c r="Q554" s="34"/>
      <c r="R554" s="35"/>
      <c r="S554" s="36"/>
      <c r="T554" s="35"/>
      <c r="U554" s="36"/>
      <c r="V554" s="37"/>
    </row>
    <row r="555" spans="1:22" x14ac:dyDescent="0.25">
      <c r="A555" s="27"/>
      <c r="B555" s="27"/>
      <c r="C555" s="27"/>
      <c r="D555" s="27"/>
      <c r="E555" s="27"/>
      <c r="F555" s="27"/>
      <c r="G555" s="27"/>
      <c r="H555" s="28"/>
      <c r="I555" s="27"/>
      <c r="J555" s="29"/>
      <c r="K555" s="30"/>
      <c r="L555" s="31"/>
      <c r="M555" s="32"/>
      <c r="N555" s="30"/>
      <c r="O555" s="30"/>
      <c r="P555" s="39"/>
      <c r="Q555" s="34"/>
      <c r="R555" s="35"/>
      <c r="S555" s="36"/>
      <c r="T555" s="35"/>
      <c r="U555" s="36"/>
      <c r="V555" s="37"/>
    </row>
    <row r="556" spans="1:22" x14ac:dyDescent="0.25">
      <c r="A556" s="27"/>
      <c r="B556" s="27"/>
      <c r="C556" s="27"/>
      <c r="D556" s="27"/>
      <c r="E556" s="27"/>
      <c r="F556" s="27"/>
      <c r="G556" s="27"/>
      <c r="H556" s="28"/>
      <c r="I556" s="27"/>
      <c r="J556" s="29"/>
      <c r="K556" s="30"/>
      <c r="L556" s="31"/>
      <c r="M556" s="32"/>
      <c r="N556" s="30"/>
      <c r="O556" s="30"/>
      <c r="P556" s="39"/>
      <c r="Q556" s="34"/>
      <c r="R556" s="35"/>
      <c r="S556" s="36"/>
      <c r="T556" s="35"/>
      <c r="U556" s="36"/>
      <c r="V556" s="37"/>
    </row>
    <row r="557" spans="1:22" x14ac:dyDescent="0.25">
      <c r="A557" s="27"/>
      <c r="B557" s="27"/>
      <c r="C557" s="27"/>
      <c r="D557" s="27"/>
      <c r="E557" s="27"/>
      <c r="F557" s="27"/>
      <c r="G557" s="27"/>
      <c r="H557" s="28"/>
      <c r="I557" s="27"/>
      <c r="J557" s="29"/>
      <c r="K557" s="30"/>
      <c r="L557" s="31"/>
      <c r="M557" s="32"/>
      <c r="N557" s="30"/>
      <c r="O557" s="30"/>
      <c r="P557" s="39"/>
      <c r="Q557" s="34"/>
      <c r="R557" s="35"/>
      <c r="S557" s="36"/>
      <c r="T557" s="35"/>
      <c r="U557" s="36"/>
      <c r="V557" s="37"/>
    </row>
    <row r="558" spans="1:22" x14ac:dyDescent="0.25">
      <c r="A558" s="27"/>
      <c r="B558" s="27"/>
      <c r="C558" s="27"/>
      <c r="D558" s="27"/>
      <c r="E558" s="27"/>
      <c r="F558" s="27"/>
      <c r="G558" s="27"/>
      <c r="H558" s="28"/>
      <c r="I558" s="27"/>
      <c r="J558" s="29"/>
      <c r="K558" s="30"/>
      <c r="L558" s="31"/>
      <c r="M558" s="32"/>
      <c r="N558" s="30"/>
      <c r="O558" s="30"/>
      <c r="P558" s="39"/>
      <c r="Q558" s="34"/>
      <c r="R558" s="35"/>
      <c r="S558" s="36"/>
      <c r="T558" s="35"/>
      <c r="U558" s="36"/>
      <c r="V558" s="37"/>
    </row>
    <row r="559" spans="1:22" x14ac:dyDescent="0.25">
      <c r="A559" s="27"/>
      <c r="B559" s="27"/>
      <c r="C559" s="27"/>
      <c r="D559" s="27"/>
      <c r="E559" s="27"/>
      <c r="F559" s="27"/>
      <c r="G559" s="27"/>
      <c r="H559" s="28"/>
      <c r="I559" s="27"/>
      <c r="J559" s="29"/>
      <c r="K559" s="30"/>
      <c r="L559" s="31"/>
      <c r="M559" s="32"/>
      <c r="N559" s="30"/>
      <c r="O559" s="30"/>
      <c r="P559" s="39"/>
      <c r="Q559" s="34"/>
      <c r="R559" s="35"/>
      <c r="S559" s="36"/>
      <c r="T559" s="35"/>
      <c r="U559" s="36"/>
      <c r="V559" s="37"/>
    </row>
    <row r="560" spans="1:22" x14ac:dyDescent="0.25">
      <c r="A560" s="27"/>
      <c r="B560" s="27"/>
      <c r="C560" s="27"/>
      <c r="D560" s="27"/>
      <c r="E560" s="27"/>
      <c r="F560" s="27"/>
      <c r="G560" s="27"/>
      <c r="H560" s="28"/>
      <c r="I560" s="27"/>
      <c r="J560" s="29"/>
      <c r="K560" s="30"/>
      <c r="L560" s="31"/>
      <c r="M560" s="32"/>
      <c r="N560" s="30"/>
      <c r="O560" s="30"/>
      <c r="P560" s="39"/>
      <c r="Q560" s="34"/>
      <c r="R560" s="35"/>
      <c r="S560" s="36"/>
      <c r="T560" s="35"/>
      <c r="U560" s="36"/>
      <c r="V560" s="37"/>
    </row>
    <row r="561" spans="1:22" x14ac:dyDescent="0.25">
      <c r="A561" s="27"/>
      <c r="B561" s="27"/>
      <c r="C561" s="27"/>
      <c r="D561" s="27"/>
      <c r="E561" s="27"/>
      <c r="F561" s="27"/>
      <c r="G561" s="27"/>
      <c r="H561" s="28"/>
      <c r="I561" s="27"/>
      <c r="J561" s="29"/>
      <c r="K561" s="30"/>
      <c r="L561" s="31"/>
      <c r="M561" s="32"/>
      <c r="N561" s="30"/>
      <c r="O561" s="30"/>
      <c r="P561" s="39"/>
      <c r="Q561" s="34"/>
      <c r="R561" s="35"/>
      <c r="S561" s="36"/>
      <c r="T561" s="35"/>
      <c r="U561" s="36"/>
      <c r="V561" s="37"/>
    </row>
    <row r="562" spans="1:22" x14ac:dyDescent="0.25">
      <c r="A562" s="27"/>
      <c r="B562" s="27"/>
      <c r="C562" s="27"/>
      <c r="D562" s="27"/>
      <c r="E562" s="27"/>
      <c r="F562" s="27"/>
      <c r="G562" s="27"/>
      <c r="H562" s="28"/>
      <c r="I562" s="27"/>
      <c r="J562" s="29"/>
      <c r="K562" s="30"/>
      <c r="L562" s="31"/>
      <c r="M562" s="32"/>
      <c r="N562" s="30"/>
      <c r="O562" s="30"/>
      <c r="P562" s="39"/>
      <c r="Q562" s="34"/>
      <c r="R562" s="35"/>
      <c r="S562" s="36"/>
      <c r="T562" s="35"/>
      <c r="U562" s="36"/>
      <c r="V562" s="37"/>
    </row>
    <row r="563" spans="1:22" x14ac:dyDescent="0.25">
      <c r="A563" s="27"/>
      <c r="B563" s="27"/>
      <c r="C563" s="27"/>
      <c r="D563" s="27"/>
      <c r="E563" s="27"/>
      <c r="F563" s="27"/>
      <c r="G563" s="27"/>
      <c r="H563" s="28"/>
      <c r="I563" s="27"/>
      <c r="J563" s="29"/>
      <c r="K563" s="30"/>
      <c r="L563" s="31"/>
      <c r="M563" s="32"/>
      <c r="N563" s="30"/>
      <c r="O563" s="30"/>
      <c r="P563" s="39"/>
      <c r="Q563" s="34"/>
      <c r="R563" s="35"/>
      <c r="S563" s="36"/>
      <c r="T563" s="35"/>
      <c r="U563" s="36"/>
      <c r="V563" s="37"/>
    </row>
    <row r="564" spans="1:22" x14ac:dyDescent="0.25">
      <c r="A564" s="27"/>
      <c r="B564" s="27"/>
      <c r="C564" s="27"/>
      <c r="D564" s="27"/>
      <c r="E564" s="27"/>
      <c r="F564" s="27"/>
      <c r="G564" s="27"/>
      <c r="H564" s="28"/>
      <c r="I564" s="27"/>
      <c r="J564" s="29"/>
      <c r="K564" s="30"/>
      <c r="L564" s="31"/>
      <c r="M564" s="32"/>
      <c r="N564" s="30"/>
      <c r="O564" s="30"/>
      <c r="P564" s="39"/>
      <c r="Q564" s="34"/>
      <c r="R564" s="35"/>
      <c r="S564" s="36"/>
      <c r="T564" s="35"/>
      <c r="U564" s="36"/>
      <c r="V564" s="37"/>
    </row>
    <row r="565" spans="1:22" x14ac:dyDescent="0.25">
      <c r="A565" s="27"/>
      <c r="B565" s="27"/>
      <c r="C565" s="27"/>
      <c r="D565" s="27"/>
      <c r="E565" s="27"/>
      <c r="F565" s="27"/>
      <c r="G565" s="27"/>
      <c r="H565" s="28"/>
      <c r="I565" s="27"/>
      <c r="J565" s="29"/>
      <c r="K565" s="30"/>
      <c r="L565" s="31"/>
      <c r="M565" s="32"/>
      <c r="N565" s="30"/>
      <c r="O565" s="30"/>
      <c r="P565" s="39"/>
      <c r="Q565" s="34"/>
      <c r="R565" s="35"/>
      <c r="S565" s="36"/>
      <c r="T565" s="35"/>
      <c r="U565" s="36"/>
      <c r="V565" s="37"/>
    </row>
    <row r="566" spans="1:22" x14ac:dyDescent="0.25">
      <c r="A566" s="27"/>
      <c r="B566" s="27"/>
      <c r="C566" s="27"/>
      <c r="D566" s="27"/>
      <c r="E566" s="27"/>
      <c r="F566" s="27"/>
      <c r="G566" s="27"/>
      <c r="H566" s="28"/>
      <c r="I566" s="27"/>
      <c r="J566" s="29"/>
      <c r="K566" s="30"/>
      <c r="L566" s="31"/>
      <c r="M566" s="32"/>
      <c r="N566" s="30"/>
      <c r="O566" s="30"/>
      <c r="P566" s="39"/>
      <c r="Q566" s="34"/>
      <c r="R566" s="35"/>
      <c r="S566" s="36"/>
      <c r="T566" s="35"/>
      <c r="U566" s="36"/>
      <c r="V566" s="37"/>
    </row>
    <row r="567" spans="1:22" x14ac:dyDescent="0.25">
      <c r="A567" s="27"/>
      <c r="B567" s="27"/>
      <c r="C567" s="27"/>
      <c r="D567" s="27"/>
      <c r="E567" s="27"/>
      <c r="F567" s="27"/>
      <c r="G567" s="27"/>
      <c r="H567" s="28"/>
      <c r="I567" s="27"/>
      <c r="J567" s="29"/>
      <c r="K567" s="30"/>
      <c r="L567" s="31"/>
      <c r="M567" s="32"/>
      <c r="N567" s="30"/>
      <c r="O567" s="30"/>
      <c r="P567" s="39"/>
      <c r="Q567" s="34"/>
      <c r="R567" s="35"/>
      <c r="S567" s="36"/>
      <c r="T567" s="35"/>
      <c r="U567" s="36"/>
      <c r="V567" s="37"/>
    </row>
    <row r="568" spans="1:22" x14ac:dyDescent="0.25">
      <c r="A568" s="27"/>
      <c r="B568" s="27"/>
      <c r="C568" s="27"/>
      <c r="D568" s="27"/>
      <c r="E568" s="27"/>
      <c r="F568" s="27"/>
      <c r="G568" s="27"/>
      <c r="H568" s="28"/>
      <c r="I568" s="27"/>
      <c r="J568" s="29"/>
      <c r="K568" s="30"/>
      <c r="L568" s="31"/>
      <c r="M568" s="32"/>
      <c r="N568" s="30"/>
      <c r="O568" s="30"/>
      <c r="P568" s="39"/>
      <c r="Q568" s="34"/>
      <c r="R568" s="35"/>
      <c r="S568" s="36"/>
      <c r="T568" s="35"/>
      <c r="U568" s="36"/>
      <c r="V568" s="37"/>
    </row>
    <row r="569" spans="1:22" x14ac:dyDescent="0.25">
      <c r="A569" s="27"/>
      <c r="B569" s="27"/>
      <c r="C569" s="27"/>
      <c r="D569" s="27"/>
      <c r="E569" s="27"/>
      <c r="F569" s="27"/>
      <c r="G569" s="27"/>
      <c r="H569" s="28"/>
      <c r="I569" s="27"/>
      <c r="J569" s="29"/>
      <c r="K569" s="30"/>
      <c r="L569" s="31"/>
      <c r="M569" s="32"/>
      <c r="N569" s="30"/>
      <c r="O569" s="30"/>
      <c r="P569" s="39"/>
      <c r="Q569" s="34"/>
      <c r="R569" s="35"/>
      <c r="S569" s="36"/>
      <c r="T569" s="35"/>
      <c r="U569" s="36"/>
      <c r="V569" s="37"/>
    </row>
    <row r="570" spans="1:22" x14ac:dyDescent="0.25">
      <c r="A570" s="27"/>
      <c r="B570" s="27"/>
      <c r="C570" s="27"/>
      <c r="D570" s="27"/>
      <c r="E570" s="27"/>
      <c r="F570" s="27"/>
      <c r="G570" s="27"/>
      <c r="H570" s="28"/>
      <c r="I570" s="27"/>
      <c r="J570" s="29"/>
      <c r="K570" s="30"/>
      <c r="L570" s="31"/>
      <c r="M570" s="32"/>
      <c r="N570" s="30"/>
      <c r="O570" s="30"/>
      <c r="P570" s="39"/>
      <c r="Q570" s="34"/>
      <c r="R570" s="35"/>
      <c r="S570" s="36"/>
      <c r="T570" s="35"/>
      <c r="U570" s="36"/>
      <c r="V570" s="37"/>
    </row>
    <row r="571" spans="1:22" x14ac:dyDescent="0.25">
      <c r="A571" s="27"/>
      <c r="B571" s="27"/>
      <c r="C571" s="27"/>
      <c r="D571" s="27"/>
      <c r="E571" s="27"/>
      <c r="F571" s="27"/>
      <c r="G571" s="27"/>
      <c r="H571" s="28"/>
      <c r="I571" s="27"/>
      <c r="J571" s="29"/>
      <c r="K571" s="30"/>
      <c r="L571" s="31"/>
      <c r="M571" s="32"/>
      <c r="N571" s="30"/>
      <c r="O571" s="30"/>
      <c r="P571" s="39"/>
      <c r="Q571" s="34"/>
      <c r="R571" s="35"/>
      <c r="S571" s="36"/>
      <c r="T571" s="35"/>
      <c r="U571" s="36"/>
      <c r="V571" s="37"/>
    </row>
    <row r="572" spans="1:22" x14ac:dyDescent="0.25">
      <c r="A572" s="27"/>
      <c r="B572" s="27"/>
      <c r="C572" s="27"/>
      <c r="D572" s="27"/>
      <c r="E572" s="27"/>
      <c r="F572" s="27"/>
      <c r="G572" s="27"/>
      <c r="H572" s="28"/>
      <c r="I572" s="27"/>
      <c r="J572" s="29"/>
      <c r="K572" s="30"/>
      <c r="L572" s="31"/>
      <c r="M572" s="32"/>
      <c r="N572" s="30"/>
      <c r="O572" s="30"/>
      <c r="P572" s="39"/>
      <c r="Q572" s="34"/>
      <c r="R572" s="35"/>
      <c r="S572" s="36"/>
      <c r="T572" s="35"/>
      <c r="U572" s="36"/>
      <c r="V572" s="37"/>
    </row>
    <row r="573" spans="1:22" x14ac:dyDescent="0.25">
      <c r="A573" s="27"/>
      <c r="B573" s="27"/>
      <c r="C573" s="27"/>
      <c r="D573" s="27"/>
      <c r="E573" s="27"/>
      <c r="F573" s="27"/>
      <c r="G573" s="27"/>
      <c r="H573" s="28"/>
      <c r="I573" s="27"/>
      <c r="J573" s="29"/>
      <c r="K573" s="30"/>
      <c r="L573" s="31"/>
      <c r="M573" s="32"/>
      <c r="N573" s="30"/>
      <c r="O573" s="30"/>
      <c r="P573" s="39"/>
      <c r="Q573" s="34"/>
      <c r="R573" s="35"/>
      <c r="S573" s="36"/>
      <c r="T573" s="35"/>
      <c r="U573" s="36"/>
      <c r="V573" s="37"/>
    </row>
    <row r="574" spans="1:22" x14ac:dyDescent="0.25">
      <c r="A574" s="27"/>
      <c r="B574" s="27"/>
      <c r="C574" s="27"/>
      <c r="D574" s="27"/>
      <c r="E574" s="27"/>
      <c r="F574" s="27"/>
      <c r="G574" s="27"/>
      <c r="H574" s="28"/>
      <c r="I574" s="27"/>
      <c r="J574" s="29"/>
      <c r="K574" s="30"/>
      <c r="L574" s="31"/>
      <c r="M574" s="32"/>
      <c r="N574" s="30"/>
      <c r="O574" s="30"/>
      <c r="P574" s="39"/>
      <c r="Q574" s="34"/>
      <c r="R574" s="35"/>
      <c r="S574" s="36"/>
      <c r="T574" s="35"/>
      <c r="U574" s="36"/>
      <c r="V574" s="37"/>
    </row>
    <row r="575" spans="1:22" x14ac:dyDescent="0.25">
      <c r="A575" s="27"/>
      <c r="B575" s="27"/>
      <c r="C575" s="27"/>
      <c r="D575" s="27"/>
      <c r="E575" s="27"/>
      <c r="F575" s="27"/>
      <c r="G575" s="27"/>
      <c r="H575" s="28"/>
      <c r="I575" s="27"/>
      <c r="J575" s="29"/>
      <c r="K575" s="30"/>
      <c r="L575" s="31"/>
      <c r="M575" s="32"/>
      <c r="N575" s="30"/>
      <c r="O575" s="30"/>
      <c r="P575" s="39"/>
      <c r="Q575" s="34"/>
      <c r="R575" s="35"/>
      <c r="S575" s="36"/>
      <c r="T575" s="35"/>
      <c r="U575" s="36"/>
      <c r="V575" s="37"/>
    </row>
    <row r="576" spans="1:22" x14ac:dyDescent="0.25">
      <c r="A576" s="27"/>
      <c r="B576" s="27"/>
      <c r="C576" s="27"/>
      <c r="D576" s="27"/>
      <c r="E576" s="27"/>
      <c r="F576" s="27"/>
      <c r="G576" s="27"/>
      <c r="H576" s="28"/>
      <c r="I576" s="27"/>
      <c r="J576" s="29"/>
      <c r="K576" s="30"/>
      <c r="L576" s="31"/>
      <c r="M576" s="32"/>
      <c r="N576" s="30"/>
      <c r="O576" s="30"/>
      <c r="P576" s="39"/>
      <c r="Q576" s="34"/>
      <c r="R576" s="35"/>
      <c r="S576" s="36"/>
      <c r="T576" s="35"/>
      <c r="U576" s="36"/>
      <c r="V576" s="37"/>
    </row>
    <row r="577" spans="1:22" x14ac:dyDescent="0.25">
      <c r="A577" s="27"/>
      <c r="B577" s="27"/>
      <c r="C577" s="27"/>
      <c r="D577" s="27"/>
      <c r="E577" s="27"/>
      <c r="F577" s="27"/>
      <c r="G577" s="27"/>
      <c r="H577" s="28"/>
      <c r="I577" s="27"/>
      <c r="J577" s="29"/>
      <c r="K577" s="30"/>
      <c r="L577" s="31"/>
      <c r="M577" s="32"/>
      <c r="N577" s="30"/>
      <c r="O577" s="30"/>
      <c r="P577" s="39"/>
      <c r="Q577" s="34"/>
      <c r="R577" s="35"/>
      <c r="S577" s="36"/>
      <c r="T577" s="35"/>
      <c r="U577" s="36"/>
      <c r="V577" s="37"/>
    </row>
    <row r="578" spans="1:22" x14ac:dyDescent="0.25">
      <c r="A578" s="27"/>
      <c r="B578" s="27"/>
      <c r="C578" s="27"/>
      <c r="D578" s="27"/>
      <c r="E578" s="27"/>
      <c r="F578" s="27"/>
      <c r="G578" s="27"/>
      <c r="H578" s="28"/>
      <c r="I578" s="27"/>
      <c r="J578" s="29"/>
      <c r="K578" s="30"/>
      <c r="L578" s="31"/>
      <c r="M578" s="32"/>
      <c r="N578" s="30"/>
      <c r="O578" s="30"/>
      <c r="P578" s="39"/>
      <c r="Q578" s="34"/>
      <c r="R578" s="35"/>
      <c r="S578" s="36"/>
      <c r="T578" s="35"/>
      <c r="U578" s="36"/>
      <c r="V578" s="37"/>
    </row>
    <row r="579" spans="1:22" x14ac:dyDescent="0.25">
      <c r="A579" s="27"/>
      <c r="B579" s="27"/>
      <c r="C579" s="27"/>
      <c r="D579" s="27"/>
      <c r="E579" s="27"/>
      <c r="F579" s="27"/>
      <c r="G579" s="27"/>
      <c r="H579" s="28"/>
      <c r="I579" s="27"/>
      <c r="J579" s="29"/>
      <c r="K579" s="30"/>
      <c r="L579" s="31"/>
      <c r="M579" s="32"/>
      <c r="N579" s="30"/>
      <c r="O579" s="30"/>
      <c r="P579" s="39"/>
      <c r="Q579" s="34"/>
      <c r="R579" s="35"/>
      <c r="S579" s="36"/>
      <c r="T579" s="35"/>
      <c r="U579" s="36"/>
      <c r="V579" s="37"/>
    </row>
    <row r="580" spans="1:22" x14ac:dyDescent="0.25">
      <c r="A580" s="27"/>
      <c r="B580" s="27"/>
      <c r="C580" s="27"/>
      <c r="D580" s="27"/>
      <c r="E580" s="27"/>
      <c r="F580" s="27"/>
      <c r="G580" s="27"/>
      <c r="H580" s="28"/>
      <c r="I580" s="27"/>
      <c r="J580" s="29"/>
      <c r="K580" s="30"/>
      <c r="L580" s="31"/>
      <c r="M580" s="32"/>
      <c r="N580" s="30"/>
      <c r="O580" s="30"/>
      <c r="P580" s="39"/>
      <c r="Q580" s="34"/>
      <c r="R580" s="35"/>
      <c r="S580" s="36"/>
      <c r="T580" s="35"/>
      <c r="U580" s="36"/>
      <c r="V580" s="37"/>
    </row>
    <row r="581" spans="1:22" x14ac:dyDescent="0.25">
      <c r="A581" s="27"/>
      <c r="B581" s="27"/>
      <c r="C581" s="27"/>
      <c r="D581" s="27"/>
      <c r="E581" s="27"/>
      <c r="F581" s="27"/>
      <c r="G581" s="27"/>
      <c r="H581" s="28"/>
      <c r="I581" s="27"/>
      <c r="J581" s="29"/>
      <c r="K581" s="30"/>
      <c r="L581" s="31"/>
      <c r="M581" s="32"/>
      <c r="N581" s="30"/>
      <c r="O581" s="30"/>
      <c r="P581" s="39"/>
      <c r="Q581" s="34"/>
      <c r="R581" s="35"/>
      <c r="S581" s="36"/>
      <c r="T581" s="35"/>
      <c r="U581" s="36"/>
      <c r="V581" s="37"/>
    </row>
    <row r="582" spans="1:22" x14ac:dyDescent="0.25">
      <c r="A582" s="27"/>
      <c r="B582" s="27"/>
      <c r="C582" s="27"/>
      <c r="D582" s="27"/>
      <c r="E582" s="27"/>
      <c r="F582" s="27"/>
      <c r="G582" s="27"/>
      <c r="H582" s="28"/>
      <c r="I582" s="27"/>
      <c r="J582" s="29"/>
      <c r="K582" s="30"/>
      <c r="L582" s="31"/>
      <c r="M582" s="32"/>
      <c r="N582" s="30"/>
      <c r="O582" s="30"/>
      <c r="P582" s="39"/>
      <c r="Q582" s="34"/>
      <c r="R582" s="35"/>
      <c r="S582" s="36"/>
      <c r="T582" s="35"/>
      <c r="U582" s="36"/>
      <c r="V582" s="37"/>
    </row>
    <row r="583" spans="1:22" x14ac:dyDescent="0.25">
      <c r="A583" s="27"/>
      <c r="B583" s="27"/>
      <c r="C583" s="27"/>
      <c r="D583" s="27"/>
      <c r="E583" s="27"/>
      <c r="F583" s="27"/>
      <c r="G583" s="27"/>
      <c r="H583" s="28"/>
      <c r="I583" s="27"/>
      <c r="J583" s="29"/>
      <c r="K583" s="30"/>
      <c r="L583" s="31"/>
      <c r="M583" s="32"/>
      <c r="N583" s="30"/>
      <c r="O583" s="30"/>
      <c r="P583" s="39"/>
      <c r="Q583" s="34"/>
      <c r="R583" s="35"/>
      <c r="S583" s="36"/>
      <c r="T583" s="35"/>
      <c r="U583" s="36"/>
      <c r="V583" s="37"/>
    </row>
    <row r="584" spans="1:22" x14ac:dyDescent="0.25">
      <c r="A584" s="27"/>
      <c r="B584" s="27"/>
      <c r="C584" s="27"/>
      <c r="D584" s="27"/>
      <c r="E584" s="27"/>
      <c r="F584" s="27"/>
      <c r="G584" s="27"/>
      <c r="H584" s="28"/>
      <c r="I584" s="27"/>
      <c r="J584" s="29"/>
      <c r="K584" s="30"/>
      <c r="L584" s="31"/>
      <c r="M584" s="32"/>
      <c r="N584" s="30"/>
      <c r="O584" s="30"/>
      <c r="P584" s="39"/>
      <c r="Q584" s="34"/>
      <c r="R584" s="35"/>
      <c r="S584" s="36"/>
      <c r="T584" s="35"/>
      <c r="U584" s="36"/>
      <c r="V584" s="37"/>
    </row>
    <row r="585" spans="1:22" x14ac:dyDescent="0.25">
      <c r="A585" s="27"/>
      <c r="B585" s="27"/>
      <c r="C585" s="27"/>
      <c r="D585" s="27"/>
      <c r="E585" s="27"/>
      <c r="F585" s="27"/>
      <c r="G585" s="27"/>
      <c r="H585" s="28"/>
      <c r="I585" s="27"/>
      <c r="J585" s="29"/>
      <c r="K585" s="30"/>
      <c r="L585" s="31"/>
      <c r="M585" s="32"/>
      <c r="N585" s="30"/>
      <c r="O585" s="30"/>
      <c r="P585" s="39"/>
      <c r="Q585" s="34"/>
      <c r="R585" s="35"/>
      <c r="S585" s="36"/>
      <c r="T585" s="35"/>
      <c r="U585" s="36"/>
      <c r="V585" s="37"/>
    </row>
    <row r="586" spans="1:22" x14ac:dyDescent="0.25">
      <c r="A586" s="27"/>
      <c r="B586" s="27"/>
      <c r="C586" s="27"/>
      <c r="D586" s="27"/>
      <c r="E586" s="27"/>
      <c r="F586" s="27"/>
      <c r="G586" s="27"/>
      <c r="H586" s="28"/>
      <c r="I586" s="27"/>
      <c r="J586" s="29"/>
      <c r="K586" s="30"/>
      <c r="L586" s="31"/>
      <c r="M586" s="32"/>
      <c r="N586" s="30"/>
      <c r="O586" s="30"/>
      <c r="P586" s="39"/>
      <c r="Q586" s="34"/>
      <c r="R586" s="35"/>
      <c r="S586" s="36"/>
      <c r="T586" s="35"/>
      <c r="U586" s="36"/>
      <c r="V586" s="37"/>
    </row>
    <row r="587" spans="1:22" x14ac:dyDescent="0.25">
      <c r="A587" s="27"/>
      <c r="B587" s="27"/>
      <c r="C587" s="27"/>
      <c r="D587" s="27"/>
      <c r="E587" s="27"/>
      <c r="F587" s="27"/>
      <c r="G587" s="27"/>
      <c r="H587" s="28"/>
      <c r="I587" s="27"/>
      <c r="J587" s="29"/>
      <c r="K587" s="30"/>
      <c r="L587" s="31"/>
      <c r="M587" s="32"/>
      <c r="N587" s="30"/>
      <c r="O587" s="30"/>
      <c r="P587" s="39"/>
      <c r="Q587" s="34"/>
      <c r="R587" s="35"/>
      <c r="S587" s="36"/>
      <c r="T587" s="35"/>
      <c r="U587" s="36"/>
      <c r="V587" s="37"/>
    </row>
    <row r="588" spans="1:22" x14ac:dyDescent="0.25">
      <c r="A588" s="27"/>
      <c r="B588" s="27"/>
      <c r="C588" s="27"/>
      <c r="D588" s="27"/>
      <c r="E588" s="27"/>
      <c r="F588" s="27"/>
      <c r="G588" s="27"/>
      <c r="H588" s="28"/>
      <c r="I588" s="27"/>
      <c r="J588" s="29"/>
      <c r="K588" s="30"/>
      <c r="L588" s="31"/>
      <c r="M588" s="32"/>
      <c r="N588" s="30"/>
      <c r="O588" s="30"/>
      <c r="P588" s="39"/>
      <c r="Q588" s="34"/>
      <c r="R588" s="35"/>
      <c r="S588" s="36"/>
      <c r="T588" s="35"/>
      <c r="U588" s="36"/>
      <c r="V588" s="37"/>
    </row>
    <row r="589" spans="1:22" x14ac:dyDescent="0.25">
      <c r="A589" s="27"/>
      <c r="B589" s="27"/>
      <c r="C589" s="27"/>
      <c r="D589" s="27"/>
      <c r="E589" s="27"/>
      <c r="F589" s="27"/>
      <c r="G589" s="27"/>
      <c r="H589" s="28"/>
      <c r="I589" s="27"/>
      <c r="J589" s="29"/>
      <c r="K589" s="30"/>
      <c r="L589" s="31"/>
      <c r="M589" s="32"/>
      <c r="N589" s="30"/>
      <c r="O589" s="30"/>
      <c r="P589" s="39"/>
      <c r="Q589" s="34"/>
      <c r="R589" s="35"/>
      <c r="S589" s="36"/>
      <c r="T589" s="35"/>
      <c r="U589" s="36"/>
      <c r="V589" s="37"/>
    </row>
    <row r="590" spans="1:22" x14ac:dyDescent="0.25">
      <c r="A590" s="27"/>
      <c r="B590" s="27"/>
      <c r="C590" s="27"/>
      <c r="D590" s="27"/>
      <c r="E590" s="27"/>
      <c r="F590" s="27"/>
      <c r="G590" s="27"/>
      <c r="H590" s="28"/>
      <c r="I590" s="27"/>
      <c r="J590" s="29"/>
      <c r="K590" s="30"/>
      <c r="L590" s="31"/>
      <c r="M590" s="32"/>
      <c r="N590" s="30"/>
      <c r="O590" s="30"/>
      <c r="P590" s="39"/>
      <c r="Q590" s="34"/>
      <c r="R590" s="35"/>
      <c r="S590" s="36"/>
      <c r="T590" s="35"/>
      <c r="U590" s="36"/>
      <c r="V590" s="37"/>
    </row>
    <row r="591" spans="1:22" x14ac:dyDescent="0.25">
      <c r="A591" s="27"/>
      <c r="B591" s="27"/>
      <c r="C591" s="27"/>
      <c r="D591" s="27"/>
      <c r="E591" s="27"/>
      <c r="F591" s="27"/>
      <c r="G591" s="27"/>
      <c r="H591" s="28"/>
      <c r="I591" s="27"/>
      <c r="J591" s="29"/>
      <c r="K591" s="30"/>
      <c r="L591" s="31"/>
      <c r="M591" s="32"/>
      <c r="N591" s="30"/>
      <c r="O591" s="30"/>
      <c r="P591" s="39"/>
      <c r="Q591" s="34"/>
      <c r="R591" s="35"/>
      <c r="S591" s="36"/>
      <c r="T591" s="35"/>
      <c r="U591" s="36"/>
      <c r="V591" s="37"/>
    </row>
    <row r="592" spans="1:22" x14ac:dyDescent="0.25">
      <c r="A592" s="27"/>
      <c r="B592" s="27"/>
      <c r="C592" s="27"/>
      <c r="D592" s="27"/>
      <c r="E592" s="27"/>
      <c r="F592" s="27"/>
      <c r="G592" s="27"/>
      <c r="H592" s="28"/>
      <c r="I592" s="27"/>
      <c r="J592" s="29"/>
      <c r="K592" s="30"/>
      <c r="L592" s="31"/>
      <c r="M592" s="32"/>
      <c r="N592" s="30"/>
      <c r="O592" s="30"/>
      <c r="P592" s="39"/>
      <c r="Q592" s="34"/>
      <c r="R592" s="35"/>
      <c r="S592" s="36"/>
      <c r="T592" s="35"/>
      <c r="U592" s="36"/>
      <c r="V592" s="37"/>
    </row>
    <row r="593" spans="1:22" x14ac:dyDescent="0.25">
      <c r="A593" s="27"/>
      <c r="B593" s="27"/>
      <c r="C593" s="27"/>
      <c r="D593" s="27"/>
      <c r="E593" s="27"/>
      <c r="F593" s="27"/>
      <c r="G593" s="27"/>
      <c r="H593" s="28"/>
      <c r="I593" s="27"/>
      <c r="J593" s="29"/>
      <c r="K593" s="30"/>
      <c r="L593" s="31"/>
      <c r="M593" s="32"/>
      <c r="N593" s="30"/>
      <c r="O593" s="30"/>
      <c r="P593" s="39"/>
      <c r="Q593" s="34"/>
      <c r="R593" s="35"/>
      <c r="S593" s="36"/>
      <c r="T593" s="35"/>
      <c r="U593" s="36"/>
      <c r="V593" s="37"/>
    </row>
    <row r="594" spans="1:22" x14ac:dyDescent="0.25">
      <c r="A594" s="27"/>
      <c r="B594" s="27"/>
      <c r="C594" s="27"/>
      <c r="D594" s="27"/>
      <c r="E594" s="27"/>
      <c r="F594" s="27"/>
      <c r="G594" s="27"/>
      <c r="H594" s="28"/>
      <c r="I594" s="27"/>
      <c r="J594" s="29"/>
      <c r="K594" s="30"/>
      <c r="L594" s="31"/>
      <c r="M594" s="32"/>
      <c r="N594" s="30"/>
      <c r="O594" s="30"/>
      <c r="P594" s="39"/>
      <c r="Q594" s="34"/>
      <c r="R594" s="35"/>
      <c r="S594" s="36"/>
      <c r="T594" s="35"/>
      <c r="U594" s="36"/>
      <c r="V594" s="37"/>
    </row>
    <row r="595" spans="1:22" x14ac:dyDescent="0.25">
      <c r="A595" s="27"/>
      <c r="B595" s="27"/>
      <c r="C595" s="27"/>
      <c r="D595" s="27"/>
      <c r="E595" s="27"/>
      <c r="F595" s="27"/>
      <c r="G595" s="27"/>
      <c r="H595" s="28"/>
      <c r="I595" s="27"/>
      <c r="J595" s="29"/>
      <c r="K595" s="30"/>
      <c r="L595" s="31"/>
      <c r="M595" s="32"/>
      <c r="N595" s="30"/>
      <c r="O595" s="30"/>
      <c r="P595" s="39"/>
      <c r="Q595" s="34"/>
      <c r="R595" s="35"/>
      <c r="S595" s="36"/>
      <c r="T595" s="35"/>
      <c r="U595" s="36"/>
      <c r="V595" s="37"/>
    </row>
    <row r="596" spans="1:22" x14ac:dyDescent="0.25">
      <c r="A596" s="27"/>
      <c r="B596" s="27"/>
      <c r="C596" s="27"/>
      <c r="D596" s="27"/>
      <c r="E596" s="27"/>
      <c r="F596" s="27"/>
      <c r="G596" s="27"/>
      <c r="H596" s="28"/>
      <c r="I596" s="27"/>
      <c r="J596" s="29"/>
      <c r="K596" s="30"/>
      <c r="L596" s="31"/>
      <c r="M596" s="32"/>
      <c r="N596" s="30"/>
      <c r="O596" s="30"/>
      <c r="P596" s="39"/>
      <c r="Q596" s="34"/>
      <c r="R596" s="35"/>
      <c r="S596" s="36"/>
      <c r="T596" s="35"/>
      <c r="U596" s="36"/>
      <c r="V596" s="37"/>
    </row>
    <row r="597" spans="1:22" x14ac:dyDescent="0.25">
      <c r="A597" s="27"/>
      <c r="B597" s="27"/>
      <c r="C597" s="27"/>
      <c r="D597" s="27"/>
      <c r="E597" s="27"/>
      <c r="F597" s="27"/>
      <c r="G597" s="27"/>
      <c r="H597" s="28"/>
      <c r="I597" s="27"/>
      <c r="J597" s="29"/>
      <c r="K597" s="30"/>
      <c r="L597" s="31"/>
      <c r="M597" s="32"/>
      <c r="N597" s="30"/>
      <c r="O597" s="30"/>
      <c r="P597" s="39"/>
      <c r="Q597" s="34"/>
      <c r="R597" s="35"/>
      <c r="S597" s="36"/>
      <c r="T597" s="35"/>
      <c r="U597" s="36"/>
      <c r="V597" s="37"/>
    </row>
    <row r="598" spans="1:22" x14ac:dyDescent="0.25">
      <c r="A598" s="27"/>
      <c r="B598" s="27"/>
      <c r="C598" s="27"/>
      <c r="D598" s="27"/>
      <c r="E598" s="27"/>
      <c r="F598" s="27"/>
      <c r="G598" s="27"/>
      <c r="H598" s="28"/>
      <c r="I598" s="27"/>
      <c r="J598" s="29"/>
      <c r="K598" s="30"/>
      <c r="L598" s="31"/>
      <c r="M598" s="32"/>
      <c r="N598" s="30"/>
      <c r="O598" s="30"/>
      <c r="P598" s="39"/>
      <c r="Q598" s="34"/>
      <c r="R598" s="35"/>
      <c r="S598" s="36"/>
      <c r="T598" s="35"/>
      <c r="U598" s="36"/>
      <c r="V598" s="37"/>
    </row>
    <row r="599" spans="1:22" x14ac:dyDescent="0.25">
      <c r="A599" s="27"/>
      <c r="B599" s="27"/>
      <c r="C599" s="27"/>
      <c r="D599" s="27"/>
      <c r="E599" s="27"/>
      <c r="F599" s="27"/>
      <c r="G599" s="27"/>
      <c r="H599" s="28"/>
      <c r="I599" s="27"/>
      <c r="J599" s="29"/>
      <c r="K599" s="30"/>
      <c r="L599" s="31"/>
      <c r="M599" s="32"/>
      <c r="N599" s="30"/>
      <c r="O599" s="30"/>
      <c r="P599" s="39"/>
      <c r="Q599" s="34"/>
      <c r="R599" s="35"/>
      <c r="S599" s="36"/>
      <c r="T599" s="35"/>
      <c r="U599" s="36"/>
      <c r="V599" s="37"/>
    </row>
    <row r="600" spans="1:22" x14ac:dyDescent="0.25">
      <c r="A600" s="27"/>
      <c r="B600" s="27"/>
      <c r="C600" s="27"/>
      <c r="D600" s="27"/>
      <c r="E600" s="27"/>
      <c r="F600" s="27"/>
      <c r="G600" s="27"/>
      <c r="H600" s="28"/>
      <c r="I600" s="27"/>
      <c r="J600" s="29"/>
      <c r="K600" s="30"/>
      <c r="L600" s="31"/>
      <c r="M600" s="32"/>
      <c r="N600" s="30"/>
      <c r="O600" s="30"/>
      <c r="P600" s="39"/>
      <c r="Q600" s="34"/>
      <c r="R600" s="35"/>
      <c r="S600" s="36"/>
      <c r="T600" s="35"/>
      <c r="U600" s="36"/>
      <c r="V600" s="37"/>
    </row>
    <row r="601" spans="1:22" x14ac:dyDescent="0.25">
      <c r="A601" s="27"/>
      <c r="B601" s="27"/>
      <c r="C601" s="27"/>
      <c r="D601" s="27"/>
      <c r="E601" s="27"/>
      <c r="F601" s="27"/>
      <c r="G601" s="27"/>
      <c r="H601" s="28"/>
      <c r="I601" s="27"/>
      <c r="J601" s="29"/>
      <c r="K601" s="30"/>
      <c r="L601" s="31"/>
      <c r="M601" s="32"/>
      <c r="N601" s="30"/>
      <c r="O601" s="30"/>
      <c r="P601" s="39"/>
      <c r="Q601" s="34"/>
      <c r="R601" s="35"/>
      <c r="S601" s="36"/>
      <c r="T601" s="35"/>
      <c r="U601" s="36"/>
      <c r="V601" s="37"/>
    </row>
    <row r="602" spans="1:22" x14ac:dyDescent="0.25">
      <c r="A602" s="27"/>
      <c r="B602" s="27"/>
      <c r="C602" s="27"/>
      <c r="D602" s="27"/>
      <c r="E602" s="27"/>
      <c r="F602" s="27"/>
      <c r="G602" s="27"/>
      <c r="H602" s="28"/>
      <c r="I602" s="27"/>
      <c r="J602" s="29"/>
      <c r="K602" s="30"/>
      <c r="L602" s="31"/>
      <c r="M602" s="32"/>
      <c r="N602" s="30"/>
      <c r="O602" s="30"/>
      <c r="P602" s="39"/>
      <c r="Q602" s="34"/>
      <c r="R602" s="35"/>
      <c r="S602" s="36"/>
      <c r="T602" s="35"/>
      <c r="U602" s="36"/>
      <c r="V602" s="37"/>
    </row>
    <row r="603" spans="1:22" x14ac:dyDescent="0.25">
      <c r="A603" s="27"/>
      <c r="B603" s="27"/>
      <c r="C603" s="27"/>
      <c r="D603" s="27"/>
      <c r="E603" s="27"/>
      <c r="F603" s="27"/>
      <c r="G603" s="27"/>
      <c r="H603" s="28"/>
      <c r="I603" s="27"/>
      <c r="J603" s="29"/>
      <c r="K603" s="30"/>
      <c r="L603" s="31"/>
      <c r="M603" s="32"/>
      <c r="N603" s="30"/>
      <c r="O603" s="30"/>
      <c r="P603" s="39"/>
      <c r="Q603" s="34"/>
      <c r="R603" s="35"/>
      <c r="S603" s="36"/>
      <c r="T603" s="35"/>
      <c r="U603" s="36"/>
      <c r="V603" s="37"/>
    </row>
    <row r="604" spans="1:22" x14ac:dyDescent="0.25">
      <c r="A604" s="27"/>
      <c r="B604" s="27"/>
      <c r="C604" s="27"/>
      <c r="D604" s="27"/>
      <c r="E604" s="27"/>
      <c r="F604" s="27"/>
      <c r="G604" s="27"/>
      <c r="H604" s="28"/>
      <c r="I604" s="27"/>
      <c r="J604" s="29"/>
      <c r="K604" s="30"/>
      <c r="L604" s="31"/>
      <c r="M604" s="32"/>
      <c r="N604" s="30"/>
      <c r="O604" s="30"/>
      <c r="P604" s="39"/>
      <c r="Q604" s="34"/>
      <c r="R604" s="35"/>
      <c r="S604" s="36"/>
      <c r="T604" s="35"/>
      <c r="U604" s="36"/>
      <c r="V604" s="37"/>
    </row>
    <row r="605" spans="1:22" x14ac:dyDescent="0.25">
      <c r="A605" s="27"/>
      <c r="B605" s="27"/>
      <c r="C605" s="27"/>
      <c r="D605" s="27"/>
      <c r="E605" s="27"/>
      <c r="F605" s="27"/>
      <c r="G605" s="27"/>
      <c r="H605" s="28"/>
      <c r="I605" s="27"/>
      <c r="J605" s="29"/>
      <c r="K605" s="30"/>
      <c r="L605" s="31"/>
      <c r="M605" s="32"/>
      <c r="N605" s="30"/>
      <c r="O605" s="30"/>
      <c r="P605" s="39"/>
      <c r="Q605" s="34"/>
      <c r="R605" s="35"/>
      <c r="S605" s="36"/>
      <c r="T605" s="35"/>
      <c r="U605" s="36"/>
      <c r="V605" s="37"/>
    </row>
    <row r="606" spans="1:22" x14ac:dyDescent="0.25">
      <c r="A606" s="27"/>
      <c r="B606" s="27"/>
      <c r="C606" s="27"/>
      <c r="D606" s="27"/>
      <c r="E606" s="27"/>
      <c r="F606" s="27"/>
      <c r="G606" s="27"/>
      <c r="H606" s="28"/>
      <c r="I606" s="27"/>
      <c r="J606" s="29"/>
      <c r="K606" s="30"/>
      <c r="L606" s="31"/>
      <c r="M606" s="32"/>
      <c r="N606" s="30"/>
      <c r="O606" s="30"/>
      <c r="P606" s="39"/>
      <c r="Q606" s="34"/>
      <c r="R606" s="35"/>
      <c r="S606" s="36"/>
      <c r="T606" s="35"/>
      <c r="U606" s="36"/>
      <c r="V606" s="37"/>
    </row>
    <row r="607" spans="1:22" x14ac:dyDescent="0.25">
      <c r="A607" s="27"/>
      <c r="B607" s="27"/>
      <c r="C607" s="27"/>
      <c r="D607" s="27"/>
      <c r="E607" s="27"/>
      <c r="F607" s="27"/>
      <c r="G607" s="27"/>
      <c r="H607" s="28"/>
      <c r="I607" s="27"/>
      <c r="J607" s="29"/>
      <c r="K607" s="30"/>
      <c r="L607" s="31"/>
      <c r="M607" s="32"/>
      <c r="N607" s="30"/>
      <c r="O607" s="30"/>
      <c r="P607" s="39"/>
      <c r="Q607" s="34"/>
      <c r="R607" s="35"/>
      <c r="S607" s="36"/>
      <c r="T607" s="35"/>
      <c r="U607" s="36"/>
      <c r="V607" s="37"/>
    </row>
    <row r="608" spans="1:22" x14ac:dyDescent="0.25">
      <c r="A608" s="27"/>
      <c r="B608" s="27"/>
      <c r="C608" s="27"/>
      <c r="D608" s="27"/>
      <c r="E608" s="27"/>
      <c r="F608" s="27"/>
      <c r="G608" s="27"/>
      <c r="H608" s="28"/>
      <c r="I608" s="27"/>
      <c r="J608" s="29"/>
      <c r="K608" s="30"/>
      <c r="L608" s="31"/>
      <c r="M608" s="32"/>
      <c r="N608" s="30"/>
      <c r="O608" s="30"/>
      <c r="P608" s="39"/>
      <c r="Q608" s="34"/>
      <c r="R608" s="35"/>
      <c r="S608" s="36"/>
      <c r="T608" s="35"/>
      <c r="U608" s="36"/>
      <c r="V608" s="37"/>
    </row>
    <row r="609" spans="1:22" x14ac:dyDescent="0.25">
      <c r="A609" s="27"/>
      <c r="B609" s="27"/>
      <c r="C609" s="27"/>
      <c r="D609" s="27"/>
      <c r="E609" s="27"/>
      <c r="F609" s="27"/>
      <c r="G609" s="27"/>
      <c r="H609" s="28"/>
      <c r="I609" s="27"/>
      <c r="J609" s="29"/>
      <c r="K609" s="30"/>
      <c r="L609" s="31"/>
      <c r="M609" s="32"/>
      <c r="N609" s="30"/>
      <c r="O609" s="30"/>
      <c r="P609" s="39"/>
      <c r="Q609" s="34"/>
      <c r="R609" s="35"/>
      <c r="S609" s="36"/>
      <c r="T609" s="35"/>
      <c r="U609" s="36"/>
      <c r="V609" s="37"/>
    </row>
    <row r="610" spans="1:22" x14ac:dyDescent="0.25">
      <c r="A610" s="27"/>
      <c r="B610" s="27"/>
      <c r="C610" s="27"/>
      <c r="D610" s="27"/>
      <c r="E610" s="27"/>
      <c r="F610" s="27"/>
      <c r="G610" s="27"/>
      <c r="H610" s="28"/>
      <c r="I610" s="27"/>
      <c r="J610" s="29"/>
      <c r="K610" s="30"/>
      <c r="L610" s="31"/>
      <c r="M610" s="32"/>
      <c r="N610" s="30"/>
      <c r="O610" s="30"/>
      <c r="P610" s="39"/>
      <c r="Q610" s="34"/>
      <c r="R610" s="35"/>
      <c r="S610" s="36"/>
      <c r="T610" s="35"/>
      <c r="U610" s="36"/>
      <c r="V610" s="37"/>
    </row>
    <row r="611" spans="1:22" x14ac:dyDescent="0.25">
      <c r="A611" s="27"/>
      <c r="B611" s="27"/>
      <c r="C611" s="27"/>
      <c r="D611" s="27"/>
      <c r="E611" s="27"/>
      <c r="F611" s="27"/>
      <c r="G611" s="27"/>
      <c r="H611" s="28"/>
      <c r="I611" s="27"/>
      <c r="J611" s="29"/>
      <c r="K611" s="30"/>
      <c r="L611" s="31"/>
      <c r="M611" s="32"/>
      <c r="N611" s="30"/>
      <c r="O611" s="30"/>
      <c r="P611" s="39"/>
      <c r="Q611" s="34"/>
      <c r="R611" s="35"/>
      <c r="S611" s="36"/>
      <c r="T611" s="35"/>
      <c r="U611" s="36"/>
      <c r="V611" s="37"/>
    </row>
    <row r="612" spans="1:22" x14ac:dyDescent="0.25">
      <c r="A612" s="27"/>
      <c r="B612" s="27"/>
      <c r="C612" s="27"/>
      <c r="D612" s="27"/>
      <c r="E612" s="27"/>
      <c r="F612" s="27"/>
      <c r="G612" s="27"/>
      <c r="H612" s="28"/>
      <c r="I612" s="27"/>
      <c r="J612" s="29"/>
      <c r="K612" s="30"/>
      <c r="L612" s="31"/>
      <c r="M612" s="32"/>
      <c r="N612" s="30"/>
      <c r="O612" s="30"/>
      <c r="P612" s="39"/>
      <c r="Q612" s="34"/>
      <c r="R612" s="35"/>
      <c r="S612" s="36"/>
      <c r="T612" s="35"/>
      <c r="U612" s="36"/>
      <c r="V612" s="37"/>
    </row>
    <row r="613" spans="1:22" x14ac:dyDescent="0.25">
      <c r="A613" s="27"/>
      <c r="B613" s="27"/>
      <c r="C613" s="27"/>
      <c r="D613" s="27"/>
      <c r="E613" s="27"/>
      <c r="F613" s="27"/>
      <c r="G613" s="27"/>
      <c r="H613" s="28"/>
      <c r="I613" s="27"/>
      <c r="J613" s="29"/>
      <c r="K613" s="30"/>
      <c r="L613" s="31"/>
      <c r="M613" s="32"/>
      <c r="N613" s="30"/>
      <c r="O613" s="30"/>
      <c r="P613" s="39"/>
      <c r="Q613" s="34"/>
      <c r="R613" s="35"/>
      <c r="S613" s="36"/>
      <c r="T613" s="35"/>
      <c r="U613" s="36"/>
      <c r="V613" s="37"/>
    </row>
    <row r="614" spans="1:22" x14ac:dyDescent="0.25">
      <c r="A614" s="27"/>
      <c r="B614" s="27"/>
      <c r="C614" s="27"/>
      <c r="D614" s="27"/>
      <c r="E614" s="27"/>
      <c r="F614" s="27"/>
      <c r="G614" s="27"/>
      <c r="H614" s="28"/>
      <c r="I614" s="27"/>
      <c r="J614" s="29"/>
      <c r="K614" s="30"/>
      <c r="L614" s="31"/>
      <c r="M614" s="32"/>
      <c r="N614" s="30"/>
      <c r="O614" s="30"/>
      <c r="P614" s="39"/>
      <c r="Q614" s="34"/>
      <c r="R614" s="35"/>
      <c r="S614" s="36"/>
      <c r="T614" s="35"/>
      <c r="U614" s="36"/>
      <c r="V614" s="37"/>
    </row>
    <row r="615" spans="1:22" x14ac:dyDescent="0.25">
      <c r="A615" s="27"/>
      <c r="B615" s="27"/>
      <c r="C615" s="27"/>
      <c r="D615" s="27"/>
      <c r="E615" s="27"/>
      <c r="F615" s="27"/>
      <c r="G615" s="27"/>
      <c r="H615" s="28"/>
      <c r="I615" s="27"/>
      <c r="J615" s="29"/>
      <c r="K615" s="30"/>
      <c r="L615" s="31"/>
      <c r="M615" s="32"/>
      <c r="N615" s="30"/>
      <c r="O615" s="30"/>
      <c r="P615" s="39"/>
      <c r="Q615" s="34"/>
      <c r="R615" s="35"/>
      <c r="S615" s="36"/>
      <c r="T615" s="35"/>
      <c r="U615" s="36"/>
      <c r="V615" s="37"/>
    </row>
    <row r="616" spans="1:22" x14ac:dyDescent="0.25">
      <c r="A616" s="27"/>
      <c r="B616" s="27"/>
      <c r="C616" s="27"/>
      <c r="D616" s="27"/>
      <c r="E616" s="27"/>
      <c r="F616" s="27"/>
      <c r="G616" s="27"/>
      <c r="H616" s="28"/>
      <c r="I616" s="27"/>
      <c r="J616" s="29"/>
      <c r="K616" s="30"/>
      <c r="L616" s="31"/>
      <c r="M616" s="32"/>
      <c r="N616" s="30"/>
      <c r="O616" s="30"/>
      <c r="P616" s="39"/>
      <c r="Q616" s="34"/>
      <c r="R616" s="35"/>
      <c r="S616" s="36"/>
      <c r="T616" s="35"/>
      <c r="U616" s="36"/>
      <c r="V616" s="37"/>
    </row>
    <row r="617" spans="1:22" x14ac:dyDescent="0.25">
      <c r="A617" s="27"/>
      <c r="B617" s="27"/>
      <c r="C617" s="27"/>
      <c r="D617" s="27"/>
      <c r="E617" s="27"/>
      <c r="F617" s="27"/>
      <c r="G617" s="27"/>
      <c r="H617" s="28"/>
      <c r="I617" s="27"/>
      <c r="J617" s="29"/>
      <c r="K617" s="30"/>
      <c r="L617" s="31"/>
      <c r="M617" s="32"/>
      <c r="N617" s="30"/>
      <c r="O617" s="30"/>
      <c r="P617" s="39"/>
      <c r="Q617" s="34"/>
      <c r="R617" s="35"/>
      <c r="S617" s="36"/>
      <c r="T617" s="35"/>
      <c r="U617" s="36"/>
      <c r="V617" s="37"/>
    </row>
    <row r="618" spans="1:22" x14ac:dyDescent="0.25">
      <c r="A618" s="27"/>
      <c r="B618" s="27"/>
      <c r="C618" s="27"/>
      <c r="D618" s="27"/>
      <c r="E618" s="27"/>
      <c r="F618" s="27"/>
      <c r="G618" s="27"/>
      <c r="H618" s="28"/>
      <c r="I618" s="27"/>
      <c r="J618" s="29"/>
      <c r="K618" s="30"/>
      <c r="L618" s="31"/>
      <c r="M618" s="32"/>
      <c r="N618" s="30"/>
      <c r="O618" s="30"/>
      <c r="P618" s="39"/>
      <c r="Q618" s="34"/>
      <c r="R618" s="35"/>
      <c r="S618" s="36"/>
      <c r="T618" s="35"/>
      <c r="U618" s="36"/>
      <c r="V618" s="37"/>
    </row>
    <row r="619" spans="1:22" x14ac:dyDescent="0.25">
      <c r="A619" s="27"/>
      <c r="B619" s="27"/>
      <c r="C619" s="27"/>
      <c r="D619" s="27"/>
      <c r="E619" s="27"/>
      <c r="F619" s="27"/>
      <c r="G619" s="27"/>
      <c r="H619" s="28"/>
      <c r="I619" s="27"/>
      <c r="J619" s="29"/>
      <c r="K619" s="30"/>
      <c r="L619" s="31"/>
      <c r="M619" s="32"/>
      <c r="N619" s="30"/>
      <c r="O619" s="30"/>
      <c r="P619" s="39"/>
      <c r="Q619" s="34"/>
      <c r="R619" s="35"/>
      <c r="S619" s="36"/>
      <c r="T619" s="35"/>
      <c r="U619" s="36"/>
      <c r="V619" s="37"/>
    </row>
    <row r="620" spans="1:22" x14ac:dyDescent="0.25">
      <c r="A620" s="27"/>
      <c r="B620" s="27"/>
      <c r="C620" s="27"/>
      <c r="D620" s="27"/>
      <c r="E620" s="27"/>
      <c r="F620" s="27"/>
      <c r="G620" s="27"/>
      <c r="H620" s="28"/>
      <c r="I620" s="27"/>
      <c r="J620" s="29"/>
      <c r="K620" s="30"/>
      <c r="L620" s="31"/>
      <c r="M620" s="32"/>
      <c r="N620" s="30"/>
      <c r="O620" s="30"/>
      <c r="P620" s="39"/>
      <c r="Q620" s="34"/>
      <c r="R620" s="35"/>
      <c r="S620" s="36"/>
      <c r="T620" s="35"/>
      <c r="U620" s="36"/>
      <c r="V620" s="37"/>
    </row>
    <row r="621" spans="1:22" x14ac:dyDescent="0.25">
      <c r="A621" s="27"/>
      <c r="B621" s="27"/>
      <c r="C621" s="27"/>
      <c r="D621" s="27"/>
      <c r="E621" s="27"/>
      <c r="F621" s="27"/>
      <c r="G621" s="27"/>
      <c r="H621" s="28"/>
      <c r="I621" s="27"/>
      <c r="J621" s="29"/>
      <c r="K621" s="30"/>
      <c r="L621" s="31"/>
      <c r="M621" s="32"/>
      <c r="N621" s="30"/>
      <c r="O621" s="30"/>
      <c r="P621" s="39"/>
      <c r="Q621" s="34"/>
      <c r="R621" s="35"/>
      <c r="S621" s="36"/>
      <c r="T621" s="35"/>
      <c r="U621" s="36"/>
      <c r="V621" s="37"/>
    </row>
    <row r="622" spans="1:22" x14ac:dyDescent="0.25">
      <c r="A622" s="27"/>
      <c r="B622" s="27"/>
      <c r="C622" s="27"/>
      <c r="D622" s="27"/>
      <c r="E622" s="27"/>
      <c r="F622" s="27"/>
      <c r="G622" s="27"/>
      <c r="H622" s="28"/>
      <c r="I622" s="27"/>
      <c r="J622" s="29"/>
      <c r="K622" s="30"/>
      <c r="L622" s="31"/>
      <c r="M622" s="32"/>
      <c r="N622" s="30"/>
      <c r="O622" s="30"/>
      <c r="P622" s="39"/>
      <c r="Q622" s="34"/>
      <c r="R622" s="35"/>
      <c r="S622" s="36"/>
      <c r="T622" s="35"/>
      <c r="U622" s="36"/>
      <c r="V622" s="37"/>
    </row>
    <row r="623" spans="1:22" x14ac:dyDescent="0.25">
      <c r="A623" s="27"/>
      <c r="B623" s="27"/>
      <c r="C623" s="27"/>
      <c r="D623" s="27"/>
      <c r="E623" s="27"/>
      <c r="F623" s="27"/>
      <c r="G623" s="27"/>
      <c r="H623" s="28"/>
      <c r="I623" s="27"/>
      <c r="J623" s="29"/>
      <c r="K623" s="30"/>
      <c r="L623" s="31"/>
      <c r="M623" s="32"/>
      <c r="N623" s="30"/>
      <c r="O623" s="30"/>
      <c r="P623" s="39"/>
      <c r="Q623" s="34"/>
      <c r="R623" s="35"/>
      <c r="S623" s="36"/>
      <c r="T623" s="35"/>
      <c r="U623" s="36"/>
      <c r="V623" s="37"/>
    </row>
    <row r="624" spans="1:22" x14ac:dyDescent="0.25">
      <c r="A624" s="27"/>
      <c r="B624" s="27"/>
      <c r="C624" s="27"/>
      <c r="D624" s="27"/>
      <c r="E624" s="27"/>
      <c r="F624" s="27"/>
      <c r="G624" s="27"/>
      <c r="H624" s="28"/>
      <c r="I624" s="27"/>
      <c r="J624" s="29"/>
      <c r="K624" s="30"/>
      <c r="L624" s="31"/>
      <c r="M624" s="32"/>
      <c r="N624" s="30"/>
      <c r="O624" s="30"/>
      <c r="P624" s="39"/>
      <c r="Q624" s="34"/>
      <c r="R624" s="35"/>
      <c r="S624" s="36"/>
      <c r="T624" s="35"/>
      <c r="U624" s="36"/>
      <c r="V624" s="37"/>
    </row>
    <row r="625" spans="1:22" x14ac:dyDescent="0.25">
      <c r="A625" s="27"/>
      <c r="B625" s="27"/>
      <c r="C625" s="27"/>
      <c r="D625" s="27"/>
      <c r="E625" s="27"/>
      <c r="F625" s="27"/>
      <c r="G625" s="27"/>
      <c r="H625" s="28"/>
      <c r="I625" s="27"/>
      <c r="J625" s="29"/>
      <c r="K625" s="30"/>
      <c r="L625" s="31"/>
      <c r="M625" s="32"/>
      <c r="N625" s="30"/>
      <c r="O625" s="30"/>
      <c r="P625" s="39"/>
      <c r="Q625" s="34"/>
      <c r="R625" s="35"/>
      <c r="S625" s="36"/>
      <c r="T625" s="35"/>
      <c r="U625" s="36"/>
      <c r="V625" s="37"/>
    </row>
    <row r="626" spans="1:22" x14ac:dyDescent="0.25">
      <c r="A626" s="27"/>
      <c r="B626" s="27"/>
      <c r="C626" s="27"/>
      <c r="D626" s="27"/>
      <c r="E626" s="27"/>
      <c r="F626" s="27"/>
      <c r="G626" s="27"/>
      <c r="H626" s="28"/>
      <c r="I626" s="27"/>
      <c r="J626" s="29"/>
      <c r="K626" s="30"/>
      <c r="L626" s="31"/>
      <c r="M626" s="32"/>
      <c r="N626" s="30"/>
      <c r="O626" s="30"/>
      <c r="P626" s="39"/>
      <c r="Q626" s="34"/>
      <c r="R626" s="35"/>
      <c r="S626" s="36"/>
      <c r="T626" s="35"/>
      <c r="U626" s="36"/>
      <c r="V626" s="37"/>
    </row>
    <row r="627" spans="1:22" x14ac:dyDescent="0.25">
      <c r="A627" s="27"/>
      <c r="B627" s="27"/>
      <c r="C627" s="27"/>
      <c r="D627" s="27"/>
      <c r="E627" s="27"/>
      <c r="F627" s="27"/>
      <c r="G627" s="27"/>
      <c r="H627" s="28"/>
      <c r="I627" s="27"/>
      <c r="J627" s="29"/>
      <c r="K627" s="30"/>
      <c r="L627" s="31"/>
      <c r="M627" s="32"/>
      <c r="N627" s="30"/>
      <c r="O627" s="30"/>
      <c r="P627" s="39"/>
      <c r="Q627" s="34"/>
      <c r="R627" s="35"/>
      <c r="S627" s="36"/>
      <c r="T627" s="35"/>
      <c r="U627" s="36"/>
      <c r="V627" s="37"/>
    </row>
    <row r="628" spans="1:22" x14ac:dyDescent="0.25">
      <c r="A628" s="27"/>
      <c r="B628" s="27"/>
      <c r="C628" s="27"/>
      <c r="D628" s="27"/>
      <c r="E628" s="27"/>
      <c r="F628" s="27"/>
      <c r="G628" s="27"/>
      <c r="H628" s="28"/>
      <c r="I628" s="27"/>
      <c r="J628" s="29"/>
      <c r="K628" s="30"/>
      <c r="L628" s="31"/>
      <c r="M628" s="32"/>
      <c r="N628" s="30"/>
      <c r="O628" s="30"/>
      <c r="P628" s="39"/>
      <c r="Q628" s="34"/>
      <c r="R628" s="35"/>
      <c r="S628" s="36"/>
      <c r="T628" s="35"/>
      <c r="U628" s="36"/>
      <c r="V628" s="37"/>
    </row>
    <row r="629" spans="1:22" x14ac:dyDescent="0.25">
      <c r="A629" s="27"/>
      <c r="B629" s="27"/>
      <c r="C629" s="27"/>
      <c r="D629" s="27"/>
      <c r="E629" s="27"/>
      <c r="F629" s="27"/>
      <c r="G629" s="27"/>
      <c r="H629" s="28"/>
      <c r="I629" s="27"/>
      <c r="J629" s="29"/>
      <c r="K629" s="30"/>
      <c r="L629" s="31"/>
      <c r="M629" s="32"/>
      <c r="N629" s="30"/>
      <c r="O629" s="30"/>
      <c r="P629" s="39"/>
      <c r="Q629" s="34"/>
      <c r="R629" s="35"/>
      <c r="S629" s="36"/>
      <c r="T629" s="35"/>
      <c r="U629" s="36"/>
      <c r="V629" s="37"/>
    </row>
    <row r="630" spans="1:22" x14ac:dyDescent="0.25">
      <c r="A630" s="27"/>
      <c r="B630" s="27"/>
      <c r="C630" s="27"/>
      <c r="D630" s="27"/>
      <c r="E630" s="27"/>
      <c r="F630" s="27"/>
      <c r="G630" s="27"/>
      <c r="H630" s="28"/>
      <c r="I630" s="27"/>
      <c r="J630" s="29"/>
      <c r="K630" s="30"/>
      <c r="L630" s="31"/>
      <c r="M630" s="32"/>
      <c r="N630" s="30"/>
      <c r="O630" s="30"/>
      <c r="P630" s="39"/>
      <c r="Q630" s="34"/>
      <c r="R630" s="35"/>
      <c r="S630" s="36"/>
      <c r="T630" s="35"/>
      <c r="U630" s="36"/>
      <c r="V630" s="37"/>
    </row>
    <row r="631" spans="1:22" x14ac:dyDescent="0.25">
      <c r="A631" s="27"/>
      <c r="B631" s="27"/>
      <c r="C631" s="27"/>
      <c r="D631" s="27"/>
      <c r="E631" s="27"/>
      <c r="F631" s="27"/>
      <c r="G631" s="27"/>
      <c r="H631" s="28"/>
      <c r="I631" s="27"/>
      <c r="J631" s="29"/>
      <c r="K631" s="30"/>
      <c r="L631" s="31"/>
      <c r="M631" s="32"/>
      <c r="N631" s="30"/>
      <c r="O631" s="30"/>
      <c r="P631" s="39"/>
      <c r="Q631" s="34"/>
      <c r="R631" s="35"/>
      <c r="S631" s="36"/>
      <c r="T631" s="35"/>
      <c r="U631" s="36"/>
      <c r="V631" s="37"/>
    </row>
    <row r="632" spans="1:22" x14ac:dyDescent="0.25">
      <c r="A632" s="27"/>
      <c r="B632" s="27"/>
      <c r="C632" s="27"/>
      <c r="D632" s="27"/>
      <c r="E632" s="27"/>
      <c r="F632" s="27"/>
      <c r="G632" s="27"/>
      <c r="H632" s="28"/>
      <c r="I632" s="27"/>
      <c r="J632" s="29"/>
      <c r="K632" s="30"/>
      <c r="L632" s="31"/>
      <c r="M632" s="32"/>
      <c r="N632" s="30"/>
      <c r="O632" s="30"/>
      <c r="P632" s="39"/>
      <c r="Q632" s="34"/>
      <c r="R632" s="35"/>
      <c r="S632" s="36"/>
      <c r="T632" s="35"/>
      <c r="U632" s="36"/>
      <c r="V632" s="37"/>
    </row>
    <row r="633" spans="1:22" x14ac:dyDescent="0.25">
      <c r="A633" s="27"/>
      <c r="B633" s="27"/>
      <c r="C633" s="27"/>
      <c r="D633" s="27"/>
      <c r="E633" s="27"/>
      <c r="F633" s="27"/>
      <c r="G633" s="27"/>
      <c r="H633" s="28"/>
      <c r="I633" s="27"/>
      <c r="J633" s="29"/>
      <c r="K633" s="30"/>
      <c r="L633" s="31"/>
      <c r="M633" s="32"/>
      <c r="N633" s="30"/>
      <c r="O633" s="30"/>
      <c r="P633" s="39"/>
      <c r="Q633" s="34"/>
      <c r="R633" s="35"/>
      <c r="S633" s="36"/>
      <c r="T633" s="35"/>
      <c r="U633" s="36"/>
      <c r="V633" s="37"/>
    </row>
    <row r="634" spans="1:22" x14ac:dyDescent="0.25">
      <c r="A634" s="27"/>
      <c r="B634" s="27"/>
      <c r="C634" s="27"/>
      <c r="D634" s="27"/>
      <c r="E634" s="27"/>
      <c r="F634" s="27"/>
      <c r="G634" s="27"/>
      <c r="H634" s="28"/>
      <c r="I634" s="27"/>
      <c r="J634" s="29"/>
      <c r="K634" s="30"/>
      <c r="L634" s="31"/>
      <c r="M634" s="32"/>
      <c r="N634" s="30"/>
      <c r="O634" s="30"/>
      <c r="P634" s="39"/>
      <c r="Q634" s="34"/>
      <c r="R634" s="35"/>
      <c r="S634" s="36"/>
      <c r="T634" s="35"/>
      <c r="U634" s="36"/>
      <c r="V634" s="37"/>
    </row>
    <row r="635" spans="1:22" x14ac:dyDescent="0.25">
      <c r="A635" s="27"/>
      <c r="B635" s="27"/>
      <c r="C635" s="27"/>
      <c r="D635" s="27"/>
      <c r="E635" s="27"/>
      <c r="F635" s="27"/>
      <c r="G635" s="27"/>
      <c r="H635" s="28"/>
      <c r="I635" s="27"/>
      <c r="J635" s="29"/>
      <c r="K635" s="30"/>
      <c r="L635" s="31"/>
      <c r="M635" s="32"/>
      <c r="N635" s="30"/>
      <c r="O635" s="30"/>
      <c r="P635" s="39"/>
      <c r="Q635" s="34"/>
      <c r="R635" s="35"/>
      <c r="S635" s="36"/>
      <c r="T635" s="35"/>
      <c r="U635" s="36"/>
      <c r="V635" s="37"/>
    </row>
    <row r="636" spans="1:22" x14ac:dyDescent="0.25">
      <c r="A636" s="27"/>
      <c r="B636" s="27"/>
      <c r="C636" s="27"/>
      <c r="D636" s="27"/>
      <c r="E636" s="27"/>
      <c r="F636" s="27"/>
      <c r="G636" s="27"/>
      <c r="H636" s="28"/>
      <c r="I636" s="27"/>
      <c r="J636" s="29"/>
      <c r="K636" s="30"/>
      <c r="L636" s="31"/>
      <c r="M636" s="32"/>
      <c r="N636" s="30"/>
      <c r="O636" s="30"/>
      <c r="P636" s="39"/>
      <c r="Q636" s="34"/>
      <c r="R636" s="35"/>
      <c r="S636" s="36"/>
      <c r="T636" s="35"/>
      <c r="U636" s="36"/>
      <c r="V636" s="37"/>
    </row>
    <row r="637" spans="1:22" x14ac:dyDescent="0.25">
      <c r="A637" s="27"/>
      <c r="B637" s="27"/>
      <c r="C637" s="27"/>
      <c r="D637" s="27"/>
      <c r="E637" s="27"/>
      <c r="F637" s="27"/>
      <c r="G637" s="27"/>
      <c r="H637" s="28"/>
      <c r="I637" s="27"/>
      <c r="J637" s="29"/>
      <c r="K637" s="30"/>
      <c r="L637" s="31"/>
      <c r="M637" s="32"/>
      <c r="N637" s="30"/>
      <c r="O637" s="30"/>
      <c r="P637" s="39"/>
      <c r="Q637" s="34"/>
      <c r="R637" s="35"/>
      <c r="S637" s="36"/>
      <c r="T637" s="35"/>
      <c r="U637" s="36"/>
      <c r="V637" s="37"/>
    </row>
    <row r="638" spans="1:22" x14ac:dyDescent="0.25">
      <c r="A638" s="27"/>
      <c r="B638" s="27"/>
      <c r="C638" s="27"/>
      <c r="D638" s="27"/>
      <c r="E638" s="27"/>
      <c r="F638" s="27"/>
      <c r="G638" s="27"/>
      <c r="H638" s="28"/>
      <c r="I638" s="27"/>
      <c r="J638" s="29"/>
      <c r="K638" s="30"/>
      <c r="L638" s="31"/>
      <c r="M638" s="32"/>
      <c r="N638" s="30"/>
      <c r="O638" s="30"/>
      <c r="P638" s="39"/>
      <c r="Q638" s="34"/>
      <c r="R638" s="35"/>
      <c r="S638" s="36"/>
      <c r="T638" s="35"/>
      <c r="U638" s="36"/>
      <c r="V638" s="37"/>
    </row>
    <row r="639" spans="1:22" x14ac:dyDescent="0.25">
      <c r="A639" s="27"/>
      <c r="B639" s="27"/>
      <c r="C639" s="27"/>
      <c r="D639" s="27"/>
      <c r="E639" s="27"/>
      <c r="F639" s="27"/>
      <c r="G639" s="27"/>
      <c r="H639" s="28"/>
      <c r="I639" s="27"/>
      <c r="J639" s="29"/>
      <c r="K639" s="30"/>
      <c r="L639" s="31"/>
      <c r="M639" s="32"/>
      <c r="N639" s="30"/>
      <c r="O639" s="30"/>
      <c r="P639" s="39"/>
      <c r="Q639" s="34"/>
      <c r="R639" s="35"/>
      <c r="S639" s="36"/>
      <c r="T639" s="35"/>
      <c r="U639" s="36"/>
      <c r="V639" s="37"/>
    </row>
    <row r="640" spans="1:22" x14ac:dyDescent="0.25">
      <c r="A640" s="27"/>
      <c r="B640" s="27"/>
      <c r="C640" s="27"/>
      <c r="D640" s="27"/>
      <c r="E640" s="27"/>
      <c r="F640" s="27"/>
      <c r="G640" s="27"/>
      <c r="H640" s="28"/>
      <c r="I640" s="27"/>
      <c r="J640" s="29"/>
      <c r="K640" s="30"/>
      <c r="L640" s="31"/>
      <c r="M640" s="32"/>
      <c r="N640" s="30"/>
      <c r="O640" s="30"/>
      <c r="P640" s="39"/>
      <c r="Q640" s="34"/>
      <c r="R640" s="35"/>
      <c r="S640" s="36"/>
      <c r="T640" s="35"/>
      <c r="U640" s="36"/>
      <c r="V640" s="37"/>
    </row>
    <row r="641" spans="1:22" x14ac:dyDescent="0.25">
      <c r="A641" s="27"/>
      <c r="B641" s="27"/>
      <c r="C641" s="27"/>
      <c r="D641" s="27"/>
      <c r="E641" s="27"/>
      <c r="F641" s="27"/>
      <c r="G641" s="27"/>
      <c r="H641" s="28"/>
      <c r="I641" s="27"/>
      <c r="J641" s="29"/>
      <c r="K641" s="30"/>
      <c r="L641" s="31"/>
      <c r="M641" s="32"/>
      <c r="N641" s="30"/>
      <c r="O641" s="30"/>
      <c r="P641" s="39"/>
      <c r="Q641" s="34"/>
      <c r="R641" s="35"/>
      <c r="S641" s="36"/>
      <c r="T641" s="35"/>
      <c r="U641" s="36"/>
      <c r="V641" s="37"/>
    </row>
    <row r="642" spans="1:22" x14ac:dyDescent="0.25">
      <c r="A642" s="27"/>
      <c r="B642" s="27"/>
      <c r="C642" s="27"/>
      <c r="D642" s="27"/>
      <c r="E642" s="27"/>
      <c r="F642" s="27"/>
      <c r="G642" s="27"/>
      <c r="H642" s="28"/>
      <c r="I642" s="27"/>
      <c r="J642" s="29"/>
      <c r="K642" s="30"/>
      <c r="L642" s="31"/>
      <c r="M642" s="32"/>
      <c r="N642" s="30"/>
      <c r="O642" s="30"/>
      <c r="P642" s="39"/>
      <c r="Q642" s="34"/>
      <c r="R642" s="35"/>
      <c r="S642" s="36"/>
      <c r="T642" s="35"/>
      <c r="U642" s="36"/>
      <c r="V642" s="37"/>
    </row>
    <row r="643" spans="1:22" x14ac:dyDescent="0.25">
      <c r="A643" s="27"/>
      <c r="B643" s="27"/>
      <c r="C643" s="27"/>
      <c r="D643" s="27"/>
      <c r="E643" s="27"/>
      <c r="F643" s="27"/>
      <c r="G643" s="27"/>
      <c r="H643" s="28"/>
      <c r="I643" s="27"/>
      <c r="J643" s="29"/>
      <c r="K643" s="30"/>
      <c r="L643" s="31"/>
      <c r="M643" s="32"/>
      <c r="N643" s="30"/>
      <c r="O643" s="30"/>
      <c r="P643" s="39"/>
      <c r="Q643" s="34"/>
      <c r="R643" s="35"/>
      <c r="S643" s="36"/>
      <c r="T643" s="35"/>
      <c r="U643" s="36"/>
      <c r="V643" s="37"/>
    </row>
    <row r="644" spans="1:22" x14ac:dyDescent="0.25">
      <c r="A644" s="27"/>
      <c r="B644" s="27"/>
      <c r="C644" s="27"/>
      <c r="D644" s="27"/>
      <c r="E644" s="27"/>
      <c r="F644" s="27"/>
      <c r="G644" s="27"/>
      <c r="H644" s="28"/>
      <c r="I644" s="27"/>
      <c r="J644" s="29"/>
      <c r="K644" s="30"/>
      <c r="L644" s="31"/>
      <c r="M644" s="32"/>
      <c r="N644" s="30"/>
      <c r="O644" s="30"/>
      <c r="P644" s="39"/>
      <c r="Q644" s="34"/>
      <c r="R644" s="35"/>
      <c r="S644" s="36"/>
      <c r="T644" s="35"/>
      <c r="U644" s="36"/>
      <c r="V644" s="37"/>
    </row>
    <row r="645" spans="1:22" x14ac:dyDescent="0.25">
      <c r="A645" s="27"/>
      <c r="B645" s="27"/>
      <c r="C645" s="27"/>
      <c r="D645" s="27"/>
      <c r="E645" s="27"/>
      <c r="F645" s="27"/>
      <c r="G645" s="27"/>
      <c r="H645" s="28"/>
      <c r="I645" s="27"/>
      <c r="J645" s="29"/>
      <c r="K645" s="30"/>
      <c r="L645" s="31"/>
      <c r="M645" s="32"/>
      <c r="N645" s="30"/>
      <c r="O645" s="30"/>
      <c r="P645" s="39"/>
      <c r="Q645" s="34"/>
      <c r="R645" s="35"/>
      <c r="S645" s="36"/>
      <c r="T645" s="35"/>
      <c r="U645" s="36"/>
      <c r="V645" s="37"/>
    </row>
    <row r="646" spans="1:22" x14ac:dyDescent="0.25">
      <c r="A646" s="27"/>
      <c r="B646" s="27"/>
      <c r="C646" s="27"/>
      <c r="D646" s="27"/>
      <c r="E646" s="27"/>
      <c r="F646" s="27"/>
      <c r="G646" s="27"/>
      <c r="H646" s="28"/>
      <c r="I646" s="27"/>
      <c r="J646" s="29"/>
      <c r="K646" s="30"/>
      <c r="L646" s="31"/>
      <c r="M646" s="32"/>
      <c r="N646" s="30"/>
      <c r="O646" s="30"/>
      <c r="P646" s="39"/>
      <c r="Q646" s="34"/>
      <c r="R646" s="35"/>
      <c r="S646" s="36"/>
      <c r="T646" s="35"/>
      <c r="U646" s="36"/>
      <c r="V646" s="37"/>
    </row>
    <row r="647" spans="1:22" x14ac:dyDescent="0.25">
      <c r="A647" s="27"/>
      <c r="B647" s="27"/>
      <c r="C647" s="27"/>
      <c r="D647" s="27"/>
      <c r="E647" s="27"/>
      <c r="F647" s="27"/>
      <c r="G647" s="27"/>
      <c r="H647" s="28"/>
      <c r="I647" s="27"/>
      <c r="J647" s="29"/>
      <c r="K647" s="30"/>
      <c r="L647" s="31"/>
      <c r="M647" s="32"/>
      <c r="N647" s="30"/>
      <c r="O647" s="30"/>
      <c r="P647" s="39"/>
      <c r="Q647" s="34"/>
      <c r="R647" s="35"/>
      <c r="S647" s="36"/>
      <c r="T647" s="35"/>
      <c r="U647" s="36"/>
      <c r="V647" s="37"/>
    </row>
    <row r="648" spans="1:22" x14ac:dyDescent="0.25">
      <c r="A648" s="27"/>
      <c r="B648" s="27"/>
      <c r="C648" s="27"/>
      <c r="D648" s="27"/>
      <c r="E648" s="27"/>
      <c r="F648" s="27"/>
      <c r="G648" s="27"/>
      <c r="H648" s="28"/>
      <c r="I648" s="27"/>
      <c r="J648" s="29"/>
      <c r="K648" s="30"/>
      <c r="L648" s="31"/>
      <c r="M648" s="32"/>
      <c r="N648" s="30"/>
      <c r="O648" s="30"/>
      <c r="P648" s="39"/>
      <c r="Q648" s="34"/>
      <c r="R648" s="35"/>
      <c r="S648" s="36"/>
      <c r="T648" s="35"/>
      <c r="U648" s="36"/>
      <c r="V648" s="37"/>
    </row>
    <row r="649" spans="1:22" x14ac:dyDescent="0.25">
      <c r="A649" s="27"/>
      <c r="B649" s="27"/>
      <c r="C649" s="27"/>
      <c r="D649" s="27"/>
      <c r="E649" s="27"/>
      <c r="F649" s="27"/>
      <c r="G649" s="27"/>
      <c r="H649" s="28"/>
      <c r="I649" s="27"/>
      <c r="J649" s="29"/>
      <c r="K649" s="30"/>
      <c r="L649" s="31"/>
      <c r="M649" s="32"/>
      <c r="N649" s="30"/>
      <c r="O649" s="30"/>
      <c r="P649" s="39"/>
      <c r="Q649" s="34"/>
      <c r="R649" s="35"/>
      <c r="S649" s="36"/>
      <c r="T649" s="35"/>
      <c r="U649" s="36"/>
      <c r="V649" s="37"/>
    </row>
    <row r="650" spans="1:22" x14ac:dyDescent="0.25">
      <c r="A650" s="27"/>
      <c r="B650" s="27"/>
      <c r="C650" s="27"/>
      <c r="D650" s="27"/>
      <c r="E650" s="27"/>
      <c r="F650" s="27"/>
      <c r="G650" s="27"/>
      <c r="H650" s="28"/>
      <c r="I650" s="27"/>
      <c r="J650" s="29"/>
      <c r="K650" s="30"/>
      <c r="L650" s="31"/>
      <c r="M650" s="32"/>
      <c r="N650" s="30"/>
      <c r="O650" s="30"/>
      <c r="P650" s="39"/>
      <c r="Q650" s="34"/>
      <c r="R650" s="35"/>
      <c r="S650" s="36"/>
      <c r="T650" s="35"/>
      <c r="U650" s="36"/>
      <c r="V650" s="37"/>
    </row>
    <row r="651" spans="1:22" x14ac:dyDescent="0.25">
      <c r="A651" s="27"/>
      <c r="B651" s="27"/>
      <c r="C651" s="27"/>
      <c r="D651" s="27"/>
      <c r="E651" s="27"/>
      <c r="F651" s="27"/>
      <c r="G651" s="27"/>
      <c r="H651" s="28"/>
      <c r="I651" s="27"/>
      <c r="J651" s="29"/>
      <c r="K651" s="30"/>
      <c r="L651" s="31"/>
      <c r="M651" s="32"/>
      <c r="N651" s="30"/>
      <c r="O651" s="30"/>
      <c r="P651" s="39"/>
      <c r="Q651" s="34"/>
      <c r="R651" s="35"/>
      <c r="S651" s="36"/>
      <c r="T651" s="35"/>
      <c r="U651" s="36"/>
      <c r="V651" s="37"/>
    </row>
    <row r="652" spans="1:22" x14ac:dyDescent="0.25">
      <c r="A652" s="27"/>
      <c r="B652" s="27"/>
      <c r="C652" s="27"/>
      <c r="D652" s="27"/>
      <c r="E652" s="27"/>
      <c r="F652" s="27"/>
      <c r="G652" s="27"/>
      <c r="H652" s="28"/>
      <c r="I652" s="27"/>
      <c r="J652" s="29"/>
      <c r="K652" s="30"/>
      <c r="L652" s="31"/>
      <c r="M652" s="32"/>
      <c r="N652" s="30"/>
      <c r="O652" s="30"/>
      <c r="P652" s="39"/>
      <c r="Q652" s="34"/>
      <c r="R652" s="35"/>
      <c r="S652" s="36"/>
      <c r="T652" s="35"/>
      <c r="U652" s="36"/>
      <c r="V652" s="37"/>
    </row>
    <row r="653" spans="1:22" x14ac:dyDescent="0.25">
      <c r="A653" s="27"/>
      <c r="B653" s="27"/>
      <c r="C653" s="27"/>
      <c r="D653" s="27"/>
      <c r="E653" s="27"/>
      <c r="F653" s="27"/>
      <c r="G653" s="27"/>
      <c r="H653" s="28"/>
      <c r="I653" s="27"/>
      <c r="J653" s="29"/>
      <c r="K653" s="30"/>
      <c r="L653" s="31"/>
      <c r="M653" s="32"/>
      <c r="N653" s="30"/>
      <c r="O653" s="30"/>
      <c r="P653" s="39"/>
      <c r="Q653" s="34"/>
      <c r="R653" s="35"/>
      <c r="S653" s="36"/>
      <c r="T653" s="35"/>
      <c r="U653" s="36"/>
      <c r="V653" s="37"/>
    </row>
    <row r="654" spans="1:22" x14ac:dyDescent="0.25">
      <c r="A654" s="27"/>
      <c r="B654" s="27"/>
      <c r="C654" s="27"/>
      <c r="D654" s="27"/>
      <c r="E654" s="27"/>
      <c r="F654" s="27"/>
      <c r="G654" s="27"/>
      <c r="H654" s="28"/>
      <c r="I654" s="27"/>
      <c r="J654" s="29"/>
      <c r="K654" s="30"/>
      <c r="L654" s="31"/>
      <c r="M654" s="32"/>
      <c r="N654" s="30"/>
      <c r="O654" s="30"/>
      <c r="P654" s="39"/>
      <c r="Q654" s="34"/>
      <c r="R654" s="35"/>
      <c r="S654" s="36"/>
      <c r="T654" s="35"/>
      <c r="U654" s="36"/>
      <c r="V654" s="37"/>
    </row>
    <row r="655" spans="1:22" x14ac:dyDescent="0.25">
      <c r="A655" s="27"/>
      <c r="B655" s="27"/>
      <c r="C655" s="27"/>
      <c r="D655" s="27"/>
      <c r="E655" s="27"/>
      <c r="F655" s="27"/>
      <c r="G655" s="27"/>
      <c r="H655" s="28"/>
      <c r="I655" s="27"/>
      <c r="J655" s="29"/>
      <c r="K655" s="30"/>
      <c r="L655" s="31"/>
      <c r="M655" s="32"/>
      <c r="N655" s="30"/>
      <c r="O655" s="30"/>
      <c r="P655" s="39"/>
      <c r="Q655" s="34"/>
      <c r="R655" s="35"/>
      <c r="S655" s="36"/>
      <c r="T655" s="35"/>
      <c r="U655" s="36"/>
      <c r="V655" s="37"/>
    </row>
    <row r="656" spans="1:22" x14ac:dyDescent="0.25">
      <c r="A656" s="27"/>
      <c r="B656" s="27"/>
      <c r="C656" s="27"/>
      <c r="D656" s="27"/>
      <c r="E656" s="27"/>
      <c r="F656" s="27"/>
      <c r="G656" s="27"/>
      <c r="H656" s="28"/>
      <c r="I656" s="27"/>
      <c r="J656" s="29"/>
      <c r="K656" s="30"/>
      <c r="L656" s="31"/>
      <c r="M656" s="32"/>
      <c r="N656" s="30"/>
      <c r="O656" s="30"/>
      <c r="P656" s="39"/>
      <c r="Q656" s="34"/>
      <c r="R656" s="35"/>
      <c r="S656" s="36"/>
      <c r="T656" s="35"/>
      <c r="U656" s="36"/>
      <c r="V656" s="37"/>
    </row>
    <row r="657" spans="1:22" x14ac:dyDescent="0.25">
      <c r="A657" s="27"/>
      <c r="B657" s="27"/>
      <c r="C657" s="27"/>
      <c r="D657" s="27"/>
      <c r="E657" s="27"/>
      <c r="F657" s="27"/>
      <c r="G657" s="27"/>
      <c r="H657" s="28"/>
      <c r="I657" s="27"/>
      <c r="J657" s="29"/>
      <c r="K657" s="30"/>
      <c r="L657" s="31"/>
      <c r="M657" s="32"/>
      <c r="N657" s="30"/>
      <c r="O657" s="30"/>
      <c r="P657" s="39"/>
      <c r="Q657" s="34"/>
      <c r="R657" s="35"/>
      <c r="S657" s="36"/>
      <c r="T657" s="35"/>
      <c r="U657" s="36"/>
      <c r="V657" s="37"/>
    </row>
    <row r="658" spans="1:22" x14ac:dyDescent="0.25">
      <c r="A658" s="27"/>
      <c r="B658" s="27"/>
      <c r="C658" s="27"/>
      <c r="D658" s="27"/>
      <c r="E658" s="27"/>
      <c r="F658" s="27"/>
      <c r="G658" s="27"/>
      <c r="H658" s="28"/>
      <c r="I658" s="27"/>
      <c r="J658" s="29"/>
      <c r="K658" s="30"/>
      <c r="L658" s="31"/>
      <c r="M658" s="32"/>
      <c r="N658" s="30"/>
      <c r="O658" s="30"/>
      <c r="P658" s="39"/>
      <c r="Q658" s="34"/>
      <c r="R658" s="35"/>
      <c r="S658" s="36"/>
      <c r="T658" s="35"/>
      <c r="U658" s="36"/>
      <c r="V658" s="37"/>
    </row>
    <row r="659" spans="1:22" x14ac:dyDescent="0.25">
      <c r="A659" s="27"/>
      <c r="B659" s="27"/>
      <c r="C659" s="27"/>
      <c r="D659" s="27"/>
      <c r="E659" s="27"/>
      <c r="F659" s="27"/>
      <c r="G659" s="27"/>
      <c r="H659" s="28"/>
      <c r="I659" s="27"/>
      <c r="J659" s="29"/>
      <c r="K659" s="30"/>
      <c r="L659" s="31"/>
      <c r="M659" s="32"/>
      <c r="N659" s="30"/>
      <c r="O659" s="30"/>
      <c r="P659" s="39"/>
      <c r="Q659" s="34"/>
      <c r="R659" s="35"/>
      <c r="S659" s="36"/>
      <c r="T659" s="35"/>
      <c r="U659" s="36"/>
      <c r="V659" s="37"/>
    </row>
    <row r="660" spans="1:22" x14ac:dyDescent="0.25">
      <c r="A660" s="27"/>
      <c r="B660" s="27"/>
      <c r="C660" s="27"/>
      <c r="D660" s="27"/>
      <c r="E660" s="27"/>
      <c r="F660" s="27"/>
      <c r="G660" s="27"/>
      <c r="H660" s="28"/>
      <c r="I660" s="27"/>
      <c r="J660" s="29"/>
      <c r="K660" s="30"/>
      <c r="L660" s="31"/>
      <c r="M660" s="32"/>
      <c r="N660" s="30"/>
      <c r="O660" s="30"/>
      <c r="P660" s="39"/>
      <c r="Q660" s="34"/>
      <c r="R660" s="35"/>
      <c r="S660" s="36"/>
      <c r="T660" s="35"/>
      <c r="U660" s="36"/>
      <c r="V660" s="37"/>
    </row>
    <row r="661" spans="1:22" x14ac:dyDescent="0.25">
      <c r="A661" s="27"/>
      <c r="B661" s="27"/>
      <c r="C661" s="27"/>
      <c r="D661" s="27"/>
      <c r="E661" s="27"/>
      <c r="F661" s="27"/>
      <c r="G661" s="27"/>
      <c r="H661" s="28"/>
      <c r="I661" s="27"/>
      <c r="J661" s="29"/>
      <c r="K661" s="30"/>
      <c r="L661" s="31"/>
      <c r="M661" s="32"/>
      <c r="N661" s="30"/>
      <c r="O661" s="30"/>
      <c r="P661" s="39"/>
      <c r="Q661" s="34"/>
      <c r="R661" s="35"/>
      <c r="S661" s="36"/>
      <c r="T661" s="35"/>
      <c r="U661" s="36"/>
      <c r="V661" s="37"/>
    </row>
    <row r="662" spans="1:22" x14ac:dyDescent="0.25">
      <c r="A662" s="27"/>
      <c r="B662" s="27"/>
      <c r="C662" s="27"/>
      <c r="D662" s="27"/>
      <c r="E662" s="27"/>
      <c r="F662" s="27"/>
      <c r="G662" s="27"/>
      <c r="H662" s="28"/>
      <c r="I662" s="27"/>
      <c r="J662" s="29"/>
      <c r="K662" s="30"/>
      <c r="L662" s="31"/>
      <c r="M662" s="32"/>
      <c r="N662" s="30"/>
      <c r="O662" s="30"/>
      <c r="P662" s="39"/>
      <c r="Q662" s="34"/>
      <c r="R662" s="35"/>
      <c r="S662" s="36"/>
      <c r="T662" s="35"/>
      <c r="U662" s="36"/>
      <c r="V662" s="37"/>
    </row>
    <row r="663" spans="1:22" x14ac:dyDescent="0.25">
      <c r="A663" s="27"/>
      <c r="B663" s="27"/>
      <c r="C663" s="27"/>
      <c r="D663" s="27"/>
      <c r="E663" s="27"/>
      <c r="F663" s="27"/>
      <c r="G663" s="27"/>
      <c r="H663" s="28"/>
      <c r="I663" s="27"/>
      <c r="J663" s="29"/>
      <c r="K663" s="30"/>
      <c r="L663" s="31"/>
      <c r="M663" s="32"/>
      <c r="N663" s="30"/>
      <c r="O663" s="30"/>
      <c r="P663" s="39"/>
      <c r="Q663" s="34"/>
      <c r="R663" s="35"/>
      <c r="S663" s="36"/>
      <c r="T663" s="35"/>
      <c r="U663" s="36"/>
      <c r="V663" s="37"/>
    </row>
    <row r="664" spans="1:22" x14ac:dyDescent="0.25">
      <c r="A664" s="27"/>
      <c r="B664" s="27"/>
      <c r="C664" s="27"/>
      <c r="D664" s="27"/>
      <c r="E664" s="27"/>
      <c r="F664" s="27"/>
      <c r="G664" s="27"/>
      <c r="H664" s="28"/>
      <c r="I664" s="27"/>
      <c r="J664" s="29"/>
      <c r="K664" s="30"/>
      <c r="L664" s="31"/>
      <c r="M664" s="32"/>
      <c r="N664" s="30"/>
      <c r="O664" s="30"/>
      <c r="P664" s="39"/>
      <c r="Q664" s="34"/>
      <c r="R664" s="35"/>
      <c r="S664" s="36"/>
      <c r="T664" s="35"/>
      <c r="U664" s="36"/>
      <c r="V664" s="37"/>
    </row>
    <row r="665" spans="1:22" x14ac:dyDescent="0.25">
      <c r="A665" s="27"/>
      <c r="B665" s="27"/>
      <c r="C665" s="27"/>
      <c r="D665" s="27"/>
      <c r="E665" s="27"/>
      <c r="F665" s="27"/>
      <c r="G665" s="27"/>
      <c r="H665" s="28"/>
      <c r="I665" s="27"/>
      <c r="J665" s="29"/>
      <c r="K665" s="30"/>
      <c r="L665" s="31"/>
      <c r="M665" s="32"/>
      <c r="N665" s="30"/>
      <c r="O665" s="30"/>
      <c r="P665" s="39"/>
      <c r="Q665" s="34"/>
      <c r="R665" s="35"/>
      <c r="S665" s="36"/>
      <c r="T665" s="35"/>
      <c r="U665" s="36"/>
      <c r="V665" s="37"/>
    </row>
    <row r="666" spans="1:22" x14ac:dyDescent="0.25">
      <c r="A666" s="27"/>
      <c r="B666" s="27"/>
      <c r="C666" s="27"/>
      <c r="D666" s="27"/>
      <c r="E666" s="27"/>
      <c r="F666" s="27"/>
      <c r="G666" s="27"/>
      <c r="H666" s="28"/>
      <c r="I666" s="27"/>
      <c r="J666" s="29"/>
      <c r="K666" s="30"/>
      <c r="L666" s="31"/>
      <c r="M666" s="32"/>
      <c r="N666" s="30"/>
      <c r="O666" s="30"/>
      <c r="P666" s="39"/>
      <c r="Q666" s="34"/>
      <c r="R666" s="35"/>
      <c r="S666" s="36"/>
      <c r="T666" s="35"/>
      <c r="U666" s="36"/>
      <c r="V666" s="37"/>
    </row>
    <row r="667" spans="1:22" x14ac:dyDescent="0.25">
      <c r="A667" s="27"/>
      <c r="B667" s="27"/>
      <c r="C667" s="27"/>
      <c r="D667" s="27"/>
      <c r="E667" s="27"/>
      <c r="F667" s="27"/>
      <c r="G667" s="27"/>
      <c r="H667" s="28"/>
      <c r="I667" s="27"/>
      <c r="J667" s="29"/>
      <c r="K667" s="30"/>
      <c r="L667" s="31"/>
      <c r="M667" s="32"/>
      <c r="N667" s="30"/>
      <c r="O667" s="30"/>
      <c r="P667" s="39"/>
      <c r="Q667" s="34"/>
      <c r="R667" s="35"/>
      <c r="S667" s="36"/>
      <c r="T667" s="35"/>
      <c r="U667" s="36"/>
      <c r="V667" s="37"/>
    </row>
    <row r="668" spans="1:22" x14ac:dyDescent="0.25">
      <c r="A668" s="27"/>
      <c r="B668" s="27"/>
      <c r="C668" s="27"/>
      <c r="D668" s="27"/>
      <c r="E668" s="27"/>
      <c r="F668" s="27"/>
      <c r="G668" s="27"/>
      <c r="H668" s="28"/>
      <c r="I668" s="27"/>
      <c r="J668" s="29"/>
      <c r="K668" s="30"/>
      <c r="L668" s="31"/>
      <c r="M668" s="32"/>
      <c r="N668" s="30"/>
      <c r="O668" s="30"/>
      <c r="P668" s="39"/>
      <c r="Q668" s="34"/>
      <c r="R668" s="35"/>
      <c r="S668" s="36"/>
      <c r="T668" s="35"/>
      <c r="U668" s="36"/>
      <c r="V668" s="37"/>
    </row>
    <row r="669" spans="1:22" x14ac:dyDescent="0.25">
      <c r="A669" s="27"/>
      <c r="B669" s="27"/>
      <c r="C669" s="27"/>
      <c r="D669" s="27"/>
      <c r="E669" s="27"/>
      <c r="F669" s="27"/>
      <c r="G669" s="27"/>
      <c r="H669" s="28"/>
      <c r="I669" s="27"/>
      <c r="J669" s="29"/>
      <c r="K669" s="30"/>
      <c r="L669" s="31"/>
      <c r="M669" s="32"/>
      <c r="N669" s="30"/>
      <c r="O669" s="30"/>
      <c r="P669" s="39"/>
      <c r="Q669" s="34"/>
      <c r="R669" s="35"/>
      <c r="S669" s="36"/>
      <c r="T669" s="35"/>
      <c r="U669" s="36"/>
      <c r="V669" s="37"/>
    </row>
    <row r="670" spans="1:22" x14ac:dyDescent="0.25">
      <c r="A670" s="27"/>
      <c r="B670" s="27"/>
      <c r="C670" s="27"/>
      <c r="D670" s="27"/>
      <c r="E670" s="27"/>
      <c r="F670" s="27"/>
      <c r="G670" s="27"/>
      <c r="H670" s="28"/>
      <c r="I670" s="27"/>
      <c r="J670" s="29"/>
      <c r="K670" s="30"/>
      <c r="L670" s="31"/>
      <c r="M670" s="32"/>
      <c r="N670" s="30"/>
      <c r="O670" s="30"/>
      <c r="P670" s="39"/>
      <c r="Q670" s="34"/>
      <c r="R670" s="35"/>
      <c r="S670" s="36"/>
      <c r="T670" s="35"/>
      <c r="U670" s="36"/>
      <c r="V670" s="37"/>
    </row>
    <row r="671" spans="1:22" x14ac:dyDescent="0.25">
      <c r="A671" s="27"/>
      <c r="B671" s="27"/>
      <c r="C671" s="27"/>
      <c r="D671" s="27"/>
      <c r="E671" s="27"/>
      <c r="F671" s="27"/>
      <c r="G671" s="27"/>
      <c r="H671" s="28"/>
      <c r="I671" s="27"/>
      <c r="J671" s="29"/>
      <c r="K671" s="30"/>
      <c r="L671" s="31"/>
      <c r="M671" s="32"/>
      <c r="N671" s="30"/>
      <c r="O671" s="30"/>
      <c r="P671" s="39"/>
      <c r="Q671" s="34"/>
      <c r="R671" s="35"/>
      <c r="S671" s="36"/>
      <c r="T671" s="35"/>
      <c r="U671" s="36"/>
      <c r="V671" s="37"/>
    </row>
    <row r="672" spans="1:22" x14ac:dyDescent="0.25">
      <c r="A672" s="27"/>
      <c r="B672" s="27"/>
      <c r="C672" s="27"/>
      <c r="D672" s="27"/>
      <c r="E672" s="27"/>
      <c r="F672" s="27"/>
      <c r="G672" s="27"/>
      <c r="H672" s="28"/>
      <c r="I672" s="27"/>
      <c r="J672" s="29"/>
      <c r="K672" s="30"/>
      <c r="L672" s="31"/>
      <c r="M672" s="32"/>
      <c r="N672" s="30"/>
      <c r="O672" s="30"/>
      <c r="P672" s="39"/>
      <c r="Q672" s="34"/>
      <c r="R672" s="35"/>
      <c r="S672" s="36"/>
      <c r="T672" s="35"/>
      <c r="U672" s="36"/>
      <c r="V672" s="37"/>
    </row>
    <row r="673" spans="1:22" x14ac:dyDescent="0.25">
      <c r="A673" s="27"/>
      <c r="B673" s="27"/>
      <c r="C673" s="27"/>
      <c r="D673" s="27"/>
      <c r="E673" s="27"/>
      <c r="F673" s="27"/>
      <c r="G673" s="27"/>
      <c r="H673" s="28"/>
      <c r="I673" s="27"/>
      <c r="J673" s="29"/>
      <c r="K673" s="30"/>
      <c r="L673" s="31"/>
      <c r="M673" s="32"/>
      <c r="N673" s="30"/>
      <c r="O673" s="30"/>
      <c r="P673" s="39"/>
      <c r="Q673" s="34"/>
      <c r="R673" s="35"/>
      <c r="S673" s="36"/>
      <c r="T673" s="35"/>
      <c r="U673" s="36"/>
      <c r="V673" s="37"/>
    </row>
    <row r="674" spans="1:22" x14ac:dyDescent="0.25">
      <c r="A674" s="27"/>
      <c r="B674" s="27"/>
      <c r="C674" s="27"/>
      <c r="D674" s="27"/>
      <c r="E674" s="27"/>
      <c r="F674" s="27"/>
      <c r="G674" s="27"/>
      <c r="H674" s="28"/>
      <c r="I674" s="27"/>
      <c r="J674" s="29"/>
      <c r="K674" s="30"/>
      <c r="L674" s="31"/>
      <c r="M674" s="32"/>
      <c r="N674" s="30"/>
      <c r="O674" s="30"/>
      <c r="P674" s="39"/>
      <c r="Q674" s="34"/>
      <c r="R674" s="35"/>
      <c r="S674" s="36"/>
      <c r="T674" s="35"/>
      <c r="U674" s="36"/>
      <c r="V674" s="37"/>
    </row>
    <row r="675" spans="1:22" x14ac:dyDescent="0.25">
      <c r="A675" s="27"/>
      <c r="B675" s="27"/>
      <c r="C675" s="27"/>
      <c r="D675" s="27"/>
      <c r="E675" s="27"/>
      <c r="F675" s="27"/>
      <c r="G675" s="27"/>
      <c r="H675" s="28"/>
      <c r="I675" s="27"/>
      <c r="J675" s="29"/>
      <c r="K675" s="30"/>
      <c r="L675" s="31"/>
      <c r="M675" s="32"/>
      <c r="N675" s="30"/>
      <c r="O675" s="30"/>
      <c r="P675" s="39"/>
      <c r="Q675" s="34"/>
      <c r="R675" s="35"/>
      <c r="S675" s="36"/>
      <c r="T675" s="35"/>
      <c r="U675" s="36"/>
      <c r="V675" s="37"/>
    </row>
    <row r="676" spans="1:22" x14ac:dyDescent="0.25">
      <c r="A676" s="27"/>
      <c r="B676" s="27"/>
      <c r="C676" s="27"/>
      <c r="D676" s="27"/>
      <c r="E676" s="27"/>
      <c r="F676" s="27"/>
      <c r="G676" s="27"/>
      <c r="H676" s="28"/>
      <c r="I676" s="27"/>
      <c r="J676" s="29"/>
      <c r="K676" s="30"/>
      <c r="L676" s="31"/>
      <c r="M676" s="32"/>
      <c r="N676" s="30"/>
      <c r="O676" s="30"/>
      <c r="P676" s="39"/>
      <c r="Q676" s="34"/>
      <c r="R676" s="35"/>
      <c r="S676" s="36"/>
      <c r="T676" s="35"/>
      <c r="U676" s="36"/>
      <c r="V676" s="37"/>
    </row>
    <row r="677" spans="1:22" x14ac:dyDescent="0.25">
      <c r="A677" s="27"/>
      <c r="B677" s="27"/>
      <c r="C677" s="27"/>
      <c r="D677" s="27"/>
      <c r="E677" s="27"/>
      <c r="F677" s="27"/>
      <c r="G677" s="27"/>
      <c r="H677" s="28"/>
      <c r="I677" s="27"/>
      <c r="J677" s="29"/>
      <c r="K677" s="30"/>
      <c r="L677" s="31"/>
      <c r="M677" s="32"/>
      <c r="N677" s="30"/>
      <c r="O677" s="30"/>
      <c r="P677" s="39"/>
      <c r="Q677" s="34"/>
      <c r="R677" s="35"/>
      <c r="S677" s="36"/>
      <c r="T677" s="35"/>
      <c r="U677" s="36"/>
      <c r="V677" s="37"/>
    </row>
    <row r="678" spans="1:22" x14ac:dyDescent="0.25">
      <c r="A678" s="27"/>
      <c r="B678" s="27"/>
      <c r="C678" s="27"/>
      <c r="D678" s="27"/>
      <c r="E678" s="27"/>
      <c r="F678" s="27"/>
      <c r="G678" s="27"/>
      <c r="H678" s="28"/>
      <c r="I678" s="27"/>
      <c r="J678" s="29"/>
      <c r="K678" s="30"/>
      <c r="L678" s="31"/>
      <c r="M678" s="32"/>
      <c r="N678" s="30"/>
      <c r="O678" s="30"/>
      <c r="P678" s="39"/>
      <c r="Q678" s="34"/>
      <c r="R678" s="35"/>
      <c r="S678" s="36"/>
      <c r="T678" s="35"/>
      <c r="U678" s="36"/>
      <c r="V678" s="37"/>
    </row>
    <row r="679" spans="1:22" x14ac:dyDescent="0.25">
      <c r="A679" s="27"/>
      <c r="B679" s="27"/>
      <c r="C679" s="27"/>
      <c r="D679" s="27"/>
      <c r="E679" s="27"/>
      <c r="F679" s="27"/>
      <c r="G679" s="27"/>
      <c r="H679" s="28"/>
      <c r="I679" s="27"/>
      <c r="J679" s="29"/>
      <c r="K679" s="30"/>
      <c r="L679" s="31"/>
      <c r="M679" s="32"/>
      <c r="N679" s="30"/>
      <c r="O679" s="30"/>
      <c r="P679" s="39"/>
      <c r="Q679" s="34"/>
      <c r="R679" s="35"/>
      <c r="S679" s="36"/>
      <c r="T679" s="35"/>
      <c r="U679" s="36"/>
      <c r="V679" s="37"/>
    </row>
    <row r="680" spans="1:22" x14ac:dyDescent="0.25">
      <c r="A680" s="27"/>
      <c r="B680" s="27"/>
      <c r="C680" s="27"/>
      <c r="D680" s="27"/>
      <c r="E680" s="27"/>
      <c r="F680" s="27"/>
      <c r="G680" s="27"/>
      <c r="H680" s="28"/>
      <c r="I680" s="27"/>
      <c r="J680" s="29"/>
      <c r="K680" s="30"/>
      <c r="L680" s="31"/>
      <c r="M680" s="32"/>
      <c r="N680" s="30"/>
      <c r="O680" s="30"/>
      <c r="P680" s="39"/>
      <c r="Q680" s="34"/>
      <c r="R680" s="35"/>
      <c r="S680" s="36"/>
      <c r="T680" s="35"/>
      <c r="U680" s="36"/>
      <c r="V680" s="37"/>
    </row>
    <row r="681" spans="1:22" x14ac:dyDescent="0.25">
      <c r="A681" s="27"/>
      <c r="B681" s="27"/>
      <c r="C681" s="27"/>
      <c r="D681" s="27"/>
      <c r="E681" s="27"/>
      <c r="F681" s="27"/>
      <c r="G681" s="27"/>
      <c r="H681" s="28"/>
      <c r="I681" s="27"/>
      <c r="J681" s="29"/>
      <c r="K681" s="30"/>
      <c r="L681" s="31"/>
      <c r="M681" s="32"/>
      <c r="N681" s="30"/>
      <c r="O681" s="30"/>
      <c r="P681" s="39"/>
      <c r="Q681" s="34"/>
      <c r="R681" s="35"/>
      <c r="S681" s="36"/>
      <c r="T681" s="35"/>
      <c r="U681" s="36"/>
      <c r="V681" s="37"/>
    </row>
    <row r="682" spans="1:22" x14ac:dyDescent="0.25">
      <c r="A682" s="27"/>
      <c r="B682" s="27"/>
      <c r="C682" s="27"/>
      <c r="D682" s="27"/>
      <c r="E682" s="27"/>
      <c r="F682" s="27"/>
      <c r="G682" s="27"/>
      <c r="H682" s="28"/>
      <c r="I682" s="27"/>
      <c r="J682" s="29"/>
      <c r="K682" s="30"/>
      <c r="L682" s="31"/>
      <c r="M682" s="32"/>
      <c r="N682" s="30"/>
      <c r="O682" s="30"/>
      <c r="P682" s="39"/>
      <c r="Q682" s="34"/>
      <c r="R682" s="35"/>
      <c r="S682" s="36"/>
      <c r="T682" s="35"/>
      <c r="U682" s="36"/>
      <c r="V682" s="37"/>
    </row>
    <row r="683" spans="1:22" x14ac:dyDescent="0.25">
      <c r="A683" s="27"/>
      <c r="B683" s="27"/>
      <c r="C683" s="27"/>
      <c r="D683" s="27"/>
      <c r="E683" s="27"/>
      <c r="F683" s="27"/>
      <c r="G683" s="27"/>
      <c r="H683" s="28"/>
      <c r="I683" s="27"/>
      <c r="J683" s="29"/>
      <c r="K683" s="30"/>
      <c r="L683" s="31"/>
      <c r="M683" s="32"/>
      <c r="N683" s="30"/>
      <c r="O683" s="30"/>
      <c r="P683" s="39"/>
      <c r="Q683" s="34"/>
      <c r="R683" s="35"/>
      <c r="S683" s="36"/>
      <c r="T683" s="35"/>
      <c r="U683" s="36"/>
      <c r="V683" s="37"/>
    </row>
    <row r="684" spans="1:22" x14ac:dyDescent="0.25">
      <c r="A684" s="27"/>
      <c r="B684" s="27"/>
      <c r="C684" s="27"/>
      <c r="D684" s="27"/>
      <c r="E684" s="27"/>
      <c r="F684" s="27"/>
      <c r="G684" s="27"/>
      <c r="H684" s="28"/>
      <c r="I684" s="27"/>
      <c r="J684" s="29"/>
      <c r="K684" s="30"/>
      <c r="L684" s="31"/>
      <c r="M684" s="32"/>
      <c r="N684" s="30"/>
      <c r="O684" s="30"/>
      <c r="P684" s="39"/>
      <c r="Q684" s="34"/>
      <c r="R684" s="35"/>
      <c r="S684" s="36"/>
      <c r="T684" s="35"/>
      <c r="U684" s="36"/>
      <c r="V684" s="37"/>
    </row>
    <row r="685" spans="1:22" x14ac:dyDescent="0.25">
      <c r="A685" s="27"/>
      <c r="B685" s="27"/>
      <c r="C685" s="27"/>
      <c r="D685" s="27"/>
      <c r="E685" s="27"/>
      <c r="F685" s="27"/>
      <c r="G685" s="27"/>
      <c r="H685" s="28"/>
      <c r="I685" s="27"/>
      <c r="J685" s="29"/>
      <c r="K685" s="30"/>
      <c r="L685" s="31"/>
      <c r="M685" s="32"/>
      <c r="N685" s="30"/>
      <c r="O685" s="30"/>
      <c r="P685" s="39"/>
      <c r="Q685" s="34"/>
      <c r="R685" s="35"/>
      <c r="S685" s="36"/>
      <c r="T685" s="35"/>
      <c r="U685" s="36"/>
      <c r="V685" s="37"/>
    </row>
    <row r="686" spans="1:22" x14ac:dyDescent="0.25">
      <c r="A686" s="27"/>
      <c r="B686" s="27"/>
      <c r="C686" s="27"/>
      <c r="D686" s="27"/>
      <c r="E686" s="27"/>
      <c r="F686" s="27"/>
      <c r="G686" s="27"/>
      <c r="H686" s="28"/>
      <c r="I686" s="27"/>
      <c r="J686" s="29"/>
      <c r="K686" s="30"/>
      <c r="L686" s="31"/>
      <c r="M686" s="32"/>
      <c r="N686" s="30"/>
      <c r="O686" s="30"/>
      <c r="P686" s="39"/>
      <c r="Q686" s="34"/>
      <c r="R686" s="35"/>
      <c r="S686" s="36"/>
      <c r="T686" s="35"/>
      <c r="U686" s="36"/>
      <c r="V686" s="37"/>
    </row>
    <row r="687" spans="1:22" x14ac:dyDescent="0.25">
      <c r="A687" s="27"/>
      <c r="B687" s="27"/>
      <c r="C687" s="27"/>
      <c r="D687" s="27"/>
      <c r="E687" s="27"/>
      <c r="F687" s="27"/>
      <c r="G687" s="27"/>
      <c r="H687" s="28"/>
      <c r="I687" s="27"/>
      <c r="J687" s="29"/>
      <c r="K687" s="30"/>
      <c r="L687" s="31"/>
      <c r="M687" s="32"/>
      <c r="N687" s="30"/>
      <c r="O687" s="30"/>
      <c r="P687" s="39"/>
      <c r="Q687" s="34"/>
      <c r="R687" s="35"/>
      <c r="S687" s="36"/>
      <c r="T687" s="35"/>
      <c r="U687" s="36"/>
      <c r="V687" s="37"/>
    </row>
    <row r="688" spans="1:22" x14ac:dyDescent="0.25">
      <c r="A688" s="27"/>
      <c r="B688" s="27"/>
      <c r="C688" s="27"/>
      <c r="D688" s="27"/>
      <c r="E688" s="27"/>
      <c r="F688" s="27"/>
      <c r="G688" s="27"/>
      <c r="H688" s="28"/>
      <c r="I688" s="27"/>
      <c r="J688" s="29"/>
      <c r="K688" s="30"/>
      <c r="L688" s="31"/>
      <c r="M688" s="32"/>
      <c r="N688" s="30"/>
      <c r="O688" s="30"/>
      <c r="P688" s="39"/>
      <c r="Q688" s="34"/>
      <c r="R688" s="35"/>
      <c r="S688" s="36"/>
      <c r="T688" s="35"/>
      <c r="U688" s="36"/>
      <c r="V688" s="37"/>
    </row>
    <row r="689" spans="1:22" x14ac:dyDescent="0.25">
      <c r="A689" s="27"/>
      <c r="B689" s="27"/>
      <c r="C689" s="27"/>
      <c r="D689" s="27"/>
      <c r="E689" s="27"/>
      <c r="F689" s="27"/>
      <c r="G689" s="27"/>
      <c r="H689" s="28"/>
      <c r="I689" s="27"/>
      <c r="J689" s="29"/>
      <c r="K689" s="30"/>
      <c r="L689" s="31"/>
      <c r="M689" s="32"/>
      <c r="N689" s="30"/>
      <c r="O689" s="30"/>
      <c r="P689" s="39"/>
      <c r="Q689" s="34"/>
      <c r="R689" s="35"/>
      <c r="S689" s="36"/>
      <c r="T689" s="35"/>
      <c r="U689" s="36"/>
      <c r="V689" s="37"/>
    </row>
    <row r="690" spans="1:22" x14ac:dyDescent="0.25">
      <c r="A690" s="27"/>
      <c r="B690" s="27"/>
      <c r="C690" s="27"/>
      <c r="D690" s="27"/>
      <c r="E690" s="27"/>
      <c r="F690" s="27"/>
      <c r="G690" s="27"/>
      <c r="H690" s="28"/>
      <c r="I690" s="27"/>
      <c r="J690" s="29"/>
      <c r="K690" s="30"/>
      <c r="L690" s="31"/>
      <c r="M690" s="32"/>
      <c r="N690" s="30"/>
      <c r="O690" s="30"/>
      <c r="P690" s="39"/>
      <c r="Q690" s="34"/>
      <c r="R690" s="35"/>
      <c r="S690" s="36"/>
      <c r="T690" s="35"/>
      <c r="U690" s="36"/>
      <c r="V690" s="37"/>
    </row>
    <row r="691" spans="1:22" x14ac:dyDescent="0.25">
      <c r="A691" s="27"/>
      <c r="B691" s="27"/>
      <c r="C691" s="27"/>
      <c r="D691" s="27"/>
      <c r="E691" s="27"/>
      <c r="F691" s="27"/>
      <c r="G691" s="27"/>
      <c r="H691" s="28"/>
      <c r="I691" s="27"/>
      <c r="J691" s="29"/>
      <c r="K691" s="30"/>
      <c r="L691" s="31"/>
      <c r="M691" s="32"/>
      <c r="N691" s="30"/>
      <c r="O691" s="30"/>
      <c r="P691" s="39"/>
      <c r="Q691" s="34"/>
      <c r="R691" s="35"/>
      <c r="S691" s="36"/>
      <c r="T691" s="35"/>
      <c r="U691" s="36"/>
      <c r="V691" s="37"/>
    </row>
    <row r="692" spans="1:22" x14ac:dyDescent="0.25">
      <c r="A692" s="27"/>
      <c r="B692" s="27"/>
      <c r="C692" s="27"/>
      <c r="D692" s="27"/>
      <c r="E692" s="27"/>
      <c r="F692" s="27"/>
      <c r="G692" s="27"/>
      <c r="H692" s="28"/>
      <c r="I692" s="27"/>
      <c r="J692" s="29"/>
      <c r="K692" s="30"/>
      <c r="L692" s="31"/>
      <c r="M692" s="32"/>
      <c r="N692" s="30"/>
      <c r="O692" s="30"/>
      <c r="P692" s="39"/>
      <c r="Q692" s="34"/>
      <c r="R692" s="35"/>
      <c r="S692" s="36"/>
      <c r="T692" s="35"/>
      <c r="U692" s="36"/>
      <c r="V692" s="37"/>
    </row>
    <row r="693" spans="1:22" x14ac:dyDescent="0.25">
      <c r="A693" s="27"/>
      <c r="B693" s="27"/>
      <c r="C693" s="27"/>
      <c r="D693" s="27"/>
      <c r="E693" s="27"/>
      <c r="F693" s="27"/>
      <c r="G693" s="27"/>
      <c r="H693" s="28"/>
      <c r="I693" s="27"/>
      <c r="J693" s="29"/>
      <c r="K693" s="30"/>
      <c r="L693" s="31"/>
      <c r="M693" s="32"/>
      <c r="N693" s="30"/>
      <c r="O693" s="30"/>
      <c r="P693" s="39"/>
      <c r="Q693" s="34"/>
      <c r="R693" s="35"/>
      <c r="S693" s="36"/>
      <c r="T693" s="35"/>
      <c r="U693" s="36"/>
      <c r="V693" s="37"/>
    </row>
    <row r="694" spans="1:22" x14ac:dyDescent="0.25">
      <c r="A694" s="27"/>
      <c r="B694" s="27"/>
      <c r="C694" s="27"/>
      <c r="D694" s="27"/>
      <c r="E694" s="27"/>
      <c r="F694" s="27"/>
      <c r="G694" s="27"/>
      <c r="H694" s="28"/>
      <c r="I694" s="27"/>
      <c r="J694" s="29"/>
      <c r="K694" s="30"/>
      <c r="L694" s="31"/>
      <c r="M694" s="32"/>
      <c r="N694" s="30"/>
      <c r="O694" s="30"/>
      <c r="P694" s="39"/>
      <c r="Q694" s="34"/>
      <c r="R694" s="35"/>
      <c r="S694" s="36"/>
      <c r="T694" s="35"/>
      <c r="U694" s="36"/>
      <c r="V694" s="37"/>
    </row>
    <row r="695" spans="1:22" x14ac:dyDescent="0.25">
      <c r="A695" s="27"/>
      <c r="B695" s="27"/>
      <c r="C695" s="27"/>
      <c r="D695" s="27"/>
      <c r="E695" s="27"/>
      <c r="F695" s="27"/>
      <c r="G695" s="27"/>
      <c r="H695" s="28"/>
      <c r="I695" s="27"/>
      <c r="J695" s="29"/>
      <c r="K695" s="30"/>
      <c r="L695" s="31"/>
      <c r="M695" s="32"/>
      <c r="N695" s="30"/>
      <c r="O695" s="30"/>
      <c r="P695" s="39"/>
      <c r="Q695" s="34"/>
      <c r="R695" s="35"/>
      <c r="S695" s="36"/>
      <c r="T695" s="35"/>
      <c r="U695" s="36"/>
      <c r="V695" s="37"/>
    </row>
    <row r="696" spans="1:22" x14ac:dyDescent="0.25">
      <c r="A696" s="27"/>
      <c r="B696" s="27"/>
      <c r="C696" s="27"/>
      <c r="D696" s="27"/>
      <c r="E696" s="27"/>
      <c r="F696" s="27"/>
      <c r="G696" s="27"/>
      <c r="H696" s="28"/>
      <c r="I696" s="27"/>
      <c r="J696" s="29"/>
      <c r="K696" s="30"/>
      <c r="L696" s="31"/>
      <c r="M696" s="32"/>
      <c r="N696" s="30"/>
      <c r="O696" s="30"/>
      <c r="P696" s="39"/>
      <c r="Q696" s="34"/>
      <c r="R696" s="35"/>
      <c r="S696" s="36"/>
      <c r="T696" s="35"/>
      <c r="U696" s="36"/>
      <c r="V696" s="37"/>
    </row>
    <row r="697" spans="1:22" x14ac:dyDescent="0.25">
      <c r="A697" s="27"/>
      <c r="B697" s="27"/>
      <c r="C697" s="27"/>
      <c r="D697" s="27"/>
      <c r="E697" s="27"/>
      <c r="F697" s="27"/>
      <c r="G697" s="27"/>
      <c r="H697" s="28"/>
      <c r="I697" s="27"/>
      <c r="J697" s="29"/>
      <c r="K697" s="30"/>
      <c r="L697" s="31"/>
      <c r="M697" s="32"/>
      <c r="N697" s="30"/>
      <c r="O697" s="30"/>
      <c r="P697" s="39"/>
      <c r="Q697" s="34"/>
      <c r="R697" s="35"/>
      <c r="S697" s="36"/>
      <c r="T697" s="35"/>
      <c r="U697" s="36"/>
      <c r="V697" s="37"/>
    </row>
    <row r="698" spans="1:22" x14ac:dyDescent="0.25">
      <c r="A698" s="27"/>
      <c r="B698" s="27"/>
      <c r="C698" s="27"/>
      <c r="D698" s="27"/>
      <c r="E698" s="27"/>
      <c r="F698" s="27"/>
      <c r="G698" s="27"/>
      <c r="H698" s="28"/>
      <c r="I698" s="27"/>
      <c r="J698" s="29"/>
      <c r="K698" s="30"/>
      <c r="L698" s="31"/>
      <c r="M698" s="32"/>
      <c r="N698" s="30"/>
      <c r="O698" s="30"/>
      <c r="P698" s="39"/>
      <c r="Q698" s="34"/>
      <c r="R698" s="35"/>
      <c r="S698" s="36"/>
      <c r="T698" s="35"/>
      <c r="U698" s="36"/>
      <c r="V698" s="37"/>
    </row>
    <row r="699" spans="1:22" x14ac:dyDescent="0.25">
      <c r="A699" s="27"/>
      <c r="B699" s="27"/>
      <c r="C699" s="27"/>
      <c r="D699" s="27"/>
      <c r="E699" s="27"/>
      <c r="F699" s="27"/>
      <c r="G699" s="27"/>
      <c r="H699" s="28"/>
      <c r="I699" s="27"/>
      <c r="J699" s="29"/>
      <c r="K699" s="30"/>
      <c r="L699" s="31"/>
      <c r="M699" s="32"/>
      <c r="N699" s="30"/>
      <c r="O699" s="30"/>
      <c r="P699" s="39"/>
      <c r="Q699" s="34"/>
      <c r="R699" s="35"/>
      <c r="S699" s="36"/>
      <c r="T699" s="35"/>
      <c r="U699" s="36"/>
      <c r="V699" s="37"/>
    </row>
    <row r="700" spans="1:22" x14ac:dyDescent="0.25">
      <c r="A700" s="27"/>
      <c r="B700" s="27"/>
      <c r="C700" s="27"/>
      <c r="D700" s="27"/>
      <c r="E700" s="27"/>
      <c r="F700" s="27"/>
      <c r="G700" s="27"/>
      <c r="H700" s="28"/>
      <c r="I700" s="27"/>
      <c r="J700" s="29"/>
      <c r="K700" s="30"/>
      <c r="L700" s="31"/>
      <c r="M700" s="32"/>
      <c r="N700" s="30"/>
      <c r="O700" s="30"/>
      <c r="P700" s="39"/>
      <c r="Q700" s="34"/>
      <c r="R700" s="35"/>
      <c r="S700" s="36"/>
      <c r="T700" s="35"/>
      <c r="U700" s="36"/>
      <c r="V700" s="37"/>
    </row>
    <row r="701" spans="1:22" x14ac:dyDescent="0.25">
      <c r="A701" s="27"/>
      <c r="B701" s="27"/>
      <c r="C701" s="27"/>
      <c r="D701" s="27"/>
      <c r="E701" s="27"/>
      <c r="F701" s="27"/>
      <c r="G701" s="27"/>
      <c r="H701" s="28"/>
      <c r="I701" s="27"/>
      <c r="J701" s="29"/>
      <c r="K701" s="30"/>
      <c r="L701" s="31"/>
      <c r="M701" s="32"/>
      <c r="N701" s="30"/>
      <c r="O701" s="30"/>
      <c r="P701" s="39"/>
      <c r="Q701" s="34"/>
      <c r="R701" s="35"/>
      <c r="S701" s="36"/>
      <c r="T701" s="35"/>
      <c r="U701" s="36"/>
      <c r="V701" s="37"/>
    </row>
    <row r="702" spans="1:22" x14ac:dyDescent="0.25">
      <c r="A702" s="27"/>
      <c r="B702" s="27"/>
      <c r="C702" s="27"/>
      <c r="D702" s="27"/>
      <c r="E702" s="27"/>
      <c r="F702" s="27"/>
      <c r="G702" s="27"/>
      <c r="H702" s="28"/>
      <c r="I702" s="27"/>
      <c r="J702" s="29"/>
      <c r="K702" s="30"/>
      <c r="L702" s="31"/>
      <c r="M702" s="32"/>
      <c r="N702" s="30"/>
      <c r="O702" s="30"/>
      <c r="P702" s="39"/>
      <c r="Q702" s="34"/>
      <c r="R702" s="35"/>
      <c r="S702" s="36"/>
      <c r="T702" s="35"/>
      <c r="U702" s="36"/>
      <c r="V702" s="37"/>
    </row>
    <row r="703" spans="1:22" x14ac:dyDescent="0.25">
      <c r="A703" s="27"/>
      <c r="B703" s="27"/>
      <c r="C703" s="27"/>
      <c r="D703" s="27"/>
      <c r="E703" s="27"/>
      <c r="F703" s="27"/>
      <c r="G703" s="27"/>
      <c r="H703" s="28"/>
      <c r="I703" s="27"/>
      <c r="J703" s="29"/>
      <c r="K703" s="30"/>
      <c r="L703" s="31"/>
      <c r="M703" s="32"/>
      <c r="N703" s="30"/>
      <c r="O703" s="30"/>
      <c r="P703" s="39"/>
      <c r="Q703" s="34"/>
      <c r="R703" s="35"/>
      <c r="S703" s="36"/>
      <c r="T703" s="35"/>
      <c r="U703" s="36"/>
      <c r="V703" s="37"/>
    </row>
    <row r="704" spans="1:22" x14ac:dyDescent="0.25">
      <c r="A704" s="27"/>
      <c r="B704" s="27"/>
      <c r="C704" s="27"/>
      <c r="D704" s="27"/>
      <c r="E704" s="27"/>
      <c r="F704" s="27"/>
      <c r="G704" s="27"/>
      <c r="H704" s="28"/>
      <c r="I704" s="27"/>
      <c r="J704" s="29"/>
      <c r="K704" s="30"/>
      <c r="L704" s="31"/>
      <c r="M704" s="32"/>
      <c r="N704" s="30"/>
      <c r="O704" s="30"/>
      <c r="P704" s="39"/>
      <c r="Q704" s="34"/>
      <c r="R704" s="35"/>
      <c r="S704" s="36"/>
      <c r="T704" s="35"/>
      <c r="U704" s="36"/>
      <c r="V704" s="37"/>
    </row>
    <row r="705" spans="1:22" x14ac:dyDescent="0.25">
      <c r="A705" s="27"/>
      <c r="B705" s="27"/>
      <c r="C705" s="27"/>
      <c r="D705" s="27"/>
      <c r="E705" s="27"/>
      <c r="F705" s="27"/>
      <c r="G705" s="27"/>
      <c r="H705" s="28"/>
      <c r="I705" s="27"/>
      <c r="J705" s="29"/>
      <c r="K705" s="30"/>
      <c r="L705" s="31"/>
      <c r="M705" s="32"/>
      <c r="N705" s="30"/>
      <c r="O705" s="30"/>
      <c r="P705" s="39"/>
      <c r="Q705" s="34"/>
      <c r="R705" s="35"/>
      <c r="S705" s="36"/>
      <c r="T705" s="35"/>
      <c r="U705" s="36"/>
      <c r="V705" s="37"/>
    </row>
    <row r="706" spans="1:22" x14ac:dyDescent="0.25">
      <c r="A706" s="27"/>
      <c r="B706" s="27"/>
      <c r="C706" s="27"/>
      <c r="D706" s="27"/>
      <c r="E706" s="27"/>
      <c r="F706" s="27"/>
      <c r="G706" s="27"/>
      <c r="H706" s="28"/>
      <c r="I706" s="27"/>
      <c r="J706" s="29"/>
      <c r="K706" s="30"/>
      <c r="L706" s="31"/>
      <c r="M706" s="32"/>
      <c r="N706" s="30"/>
      <c r="O706" s="30"/>
      <c r="P706" s="39"/>
      <c r="Q706" s="34"/>
      <c r="R706" s="35"/>
      <c r="S706" s="36"/>
      <c r="T706" s="35"/>
      <c r="U706" s="36"/>
      <c r="V706" s="37"/>
    </row>
    <row r="707" spans="1:22" x14ac:dyDescent="0.25">
      <c r="A707" s="27"/>
      <c r="B707" s="27"/>
      <c r="C707" s="27"/>
      <c r="D707" s="27"/>
      <c r="E707" s="27"/>
      <c r="F707" s="27"/>
      <c r="G707" s="27"/>
      <c r="H707" s="28"/>
      <c r="I707" s="27"/>
      <c r="J707" s="29"/>
      <c r="K707" s="30"/>
      <c r="L707" s="31"/>
      <c r="M707" s="32"/>
      <c r="N707" s="30"/>
      <c r="O707" s="30"/>
      <c r="P707" s="39"/>
      <c r="Q707" s="34"/>
      <c r="R707" s="35"/>
      <c r="S707" s="36"/>
      <c r="T707" s="35"/>
      <c r="U707" s="36"/>
      <c r="V707" s="37"/>
    </row>
    <row r="708" spans="1:22" x14ac:dyDescent="0.25">
      <c r="A708" s="27"/>
      <c r="B708" s="27"/>
      <c r="C708" s="27"/>
      <c r="D708" s="27"/>
      <c r="E708" s="27"/>
      <c r="F708" s="27"/>
      <c r="G708" s="27"/>
      <c r="H708" s="28"/>
      <c r="I708" s="27"/>
      <c r="J708" s="29"/>
      <c r="K708" s="30"/>
      <c r="L708" s="31"/>
      <c r="M708" s="32"/>
      <c r="N708" s="30"/>
      <c r="O708" s="30"/>
      <c r="P708" s="39"/>
      <c r="Q708" s="34"/>
      <c r="R708" s="35"/>
      <c r="S708" s="36"/>
      <c r="T708" s="35"/>
      <c r="U708" s="36"/>
      <c r="V708" s="37"/>
    </row>
    <row r="709" spans="1:22" x14ac:dyDescent="0.25">
      <c r="A709" s="27"/>
      <c r="B709" s="27"/>
      <c r="C709" s="27"/>
      <c r="D709" s="27"/>
      <c r="E709" s="27"/>
      <c r="F709" s="27"/>
      <c r="G709" s="27"/>
      <c r="H709" s="28"/>
      <c r="I709" s="27"/>
      <c r="J709" s="29"/>
      <c r="K709" s="30"/>
      <c r="L709" s="31"/>
      <c r="M709" s="32"/>
      <c r="N709" s="30"/>
      <c r="O709" s="30"/>
      <c r="P709" s="39"/>
      <c r="Q709" s="34"/>
      <c r="R709" s="35"/>
      <c r="S709" s="36"/>
      <c r="T709" s="35"/>
      <c r="U709" s="36"/>
      <c r="V709" s="37"/>
    </row>
    <row r="710" spans="1:22" x14ac:dyDescent="0.25">
      <c r="A710" s="27"/>
      <c r="B710" s="27"/>
      <c r="C710" s="27"/>
      <c r="D710" s="27"/>
      <c r="E710" s="27"/>
      <c r="F710" s="27"/>
      <c r="G710" s="27"/>
      <c r="H710" s="28"/>
      <c r="I710" s="27"/>
      <c r="J710" s="29"/>
      <c r="K710" s="30"/>
      <c r="L710" s="31"/>
      <c r="M710" s="32"/>
      <c r="N710" s="30"/>
      <c r="O710" s="30"/>
      <c r="P710" s="39"/>
      <c r="Q710" s="34"/>
      <c r="R710" s="35"/>
      <c r="S710" s="36"/>
      <c r="T710" s="35"/>
      <c r="U710" s="36"/>
      <c r="V710" s="37"/>
    </row>
    <row r="711" spans="1:22" x14ac:dyDescent="0.25">
      <c r="A711" s="27"/>
      <c r="B711" s="27"/>
      <c r="C711" s="27"/>
      <c r="D711" s="27"/>
      <c r="E711" s="27"/>
      <c r="F711" s="27"/>
      <c r="G711" s="27"/>
      <c r="H711" s="28"/>
      <c r="I711" s="27"/>
      <c r="J711" s="29"/>
      <c r="K711" s="30"/>
      <c r="L711" s="31"/>
      <c r="M711" s="32"/>
      <c r="N711" s="30"/>
      <c r="O711" s="30"/>
      <c r="P711" s="39"/>
      <c r="Q711" s="34"/>
      <c r="R711" s="35"/>
      <c r="S711" s="36"/>
      <c r="T711" s="35"/>
      <c r="U711" s="36"/>
      <c r="V711" s="37"/>
    </row>
    <row r="712" spans="1:22" x14ac:dyDescent="0.25">
      <c r="A712" s="27"/>
      <c r="B712" s="27"/>
      <c r="C712" s="27"/>
      <c r="D712" s="27"/>
      <c r="E712" s="27"/>
      <c r="F712" s="27"/>
      <c r="G712" s="27"/>
      <c r="H712" s="28"/>
      <c r="I712" s="27"/>
      <c r="J712" s="29"/>
      <c r="K712" s="30"/>
      <c r="L712" s="31"/>
      <c r="M712" s="32"/>
      <c r="N712" s="30"/>
      <c r="O712" s="30"/>
      <c r="P712" s="39"/>
      <c r="Q712" s="34"/>
      <c r="R712" s="35"/>
      <c r="S712" s="36"/>
      <c r="T712" s="35"/>
      <c r="U712" s="36"/>
      <c r="V712" s="37"/>
    </row>
    <row r="713" spans="1:22" x14ac:dyDescent="0.25">
      <c r="A713" s="27"/>
      <c r="B713" s="27"/>
      <c r="C713" s="27"/>
      <c r="D713" s="27"/>
      <c r="E713" s="27"/>
      <c r="F713" s="27"/>
      <c r="G713" s="27"/>
      <c r="H713" s="28"/>
      <c r="I713" s="27"/>
      <c r="J713" s="29"/>
      <c r="K713" s="30"/>
      <c r="L713" s="31"/>
      <c r="M713" s="32"/>
      <c r="N713" s="30"/>
      <c r="O713" s="30"/>
      <c r="P713" s="39"/>
      <c r="Q713" s="34"/>
      <c r="R713" s="35"/>
      <c r="S713" s="36"/>
      <c r="T713" s="35"/>
      <c r="U713" s="36"/>
      <c r="V713" s="37"/>
    </row>
    <row r="714" spans="1:22" x14ac:dyDescent="0.25">
      <c r="A714" s="27"/>
      <c r="B714" s="27"/>
      <c r="C714" s="27"/>
      <c r="D714" s="27"/>
      <c r="E714" s="27"/>
      <c r="F714" s="27"/>
      <c r="G714" s="27"/>
      <c r="H714" s="28"/>
      <c r="I714" s="27"/>
      <c r="J714" s="29"/>
      <c r="K714" s="30"/>
      <c r="L714" s="31"/>
      <c r="M714" s="32"/>
      <c r="N714" s="30"/>
      <c r="O714" s="30"/>
      <c r="P714" s="39"/>
      <c r="Q714" s="34"/>
      <c r="R714" s="35"/>
      <c r="S714" s="36"/>
      <c r="T714" s="35"/>
      <c r="U714" s="36"/>
      <c r="V714" s="37"/>
    </row>
    <row r="715" spans="1:22" x14ac:dyDescent="0.25">
      <c r="A715" s="27"/>
      <c r="B715" s="27"/>
      <c r="C715" s="27"/>
      <c r="D715" s="27"/>
      <c r="E715" s="27"/>
      <c r="F715" s="27"/>
      <c r="G715" s="27"/>
      <c r="H715" s="28"/>
      <c r="I715" s="27"/>
      <c r="J715" s="29"/>
      <c r="K715" s="30"/>
      <c r="L715" s="31"/>
      <c r="M715" s="32"/>
      <c r="N715" s="30"/>
      <c r="O715" s="30"/>
      <c r="P715" s="39"/>
      <c r="Q715" s="34"/>
      <c r="R715" s="35"/>
      <c r="S715" s="36"/>
      <c r="T715" s="35"/>
      <c r="U715" s="36"/>
      <c r="V715" s="37"/>
    </row>
    <row r="716" spans="1:22" x14ac:dyDescent="0.25">
      <c r="A716" s="27"/>
      <c r="B716" s="27"/>
      <c r="C716" s="27"/>
      <c r="D716" s="27"/>
      <c r="E716" s="27"/>
      <c r="F716" s="27"/>
      <c r="G716" s="27"/>
      <c r="H716" s="28"/>
      <c r="I716" s="27"/>
      <c r="J716" s="29"/>
      <c r="K716" s="30"/>
      <c r="L716" s="31"/>
      <c r="M716" s="32"/>
      <c r="N716" s="30"/>
      <c r="O716" s="30"/>
      <c r="P716" s="39"/>
      <c r="Q716" s="34"/>
      <c r="R716" s="35"/>
      <c r="S716" s="36"/>
      <c r="T716" s="35"/>
      <c r="U716" s="36"/>
      <c r="V716" s="37"/>
    </row>
    <row r="717" spans="1:22" x14ac:dyDescent="0.25">
      <c r="A717" s="27"/>
      <c r="B717" s="27"/>
      <c r="C717" s="27"/>
      <c r="D717" s="27"/>
      <c r="E717" s="27"/>
      <c r="F717" s="27"/>
      <c r="G717" s="27"/>
      <c r="H717" s="28"/>
      <c r="I717" s="27"/>
      <c r="J717" s="29"/>
      <c r="K717" s="30"/>
      <c r="L717" s="31"/>
      <c r="M717" s="32"/>
      <c r="N717" s="30"/>
      <c r="O717" s="30"/>
      <c r="P717" s="39"/>
      <c r="Q717" s="34"/>
      <c r="R717" s="35"/>
      <c r="S717" s="36"/>
      <c r="T717" s="35"/>
      <c r="U717" s="36"/>
      <c r="V717" s="37"/>
    </row>
    <row r="718" spans="1:22" x14ac:dyDescent="0.25">
      <c r="A718" s="27"/>
      <c r="B718" s="27"/>
      <c r="C718" s="27"/>
      <c r="D718" s="27"/>
      <c r="E718" s="27"/>
      <c r="F718" s="27"/>
      <c r="G718" s="27"/>
      <c r="H718" s="28"/>
      <c r="I718" s="27"/>
      <c r="J718" s="29"/>
      <c r="K718" s="30"/>
      <c r="L718" s="31"/>
      <c r="M718" s="32"/>
      <c r="N718" s="30"/>
      <c r="O718" s="30"/>
      <c r="P718" s="39"/>
      <c r="Q718" s="34"/>
      <c r="R718" s="35"/>
      <c r="S718" s="36"/>
      <c r="T718" s="35"/>
      <c r="U718" s="36"/>
      <c r="V718" s="37"/>
    </row>
    <row r="719" spans="1:22" x14ac:dyDescent="0.25">
      <c r="A719" s="27"/>
      <c r="B719" s="27"/>
      <c r="C719" s="27"/>
      <c r="D719" s="27"/>
      <c r="E719" s="27"/>
      <c r="F719" s="27"/>
      <c r="G719" s="27"/>
      <c r="H719" s="28"/>
      <c r="I719" s="27"/>
      <c r="J719" s="29"/>
      <c r="K719" s="30"/>
      <c r="L719" s="31"/>
      <c r="M719" s="32"/>
      <c r="N719" s="30"/>
      <c r="O719" s="30"/>
      <c r="P719" s="39"/>
      <c r="Q719" s="34"/>
      <c r="R719" s="35"/>
      <c r="S719" s="36"/>
      <c r="T719" s="35"/>
      <c r="U719" s="36"/>
      <c r="V719" s="37"/>
    </row>
    <row r="720" spans="1:22" x14ac:dyDescent="0.25">
      <c r="A720" s="27"/>
      <c r="B720" s="27"/>
      <c r="C720" s="27"/>
      <c r="D720" s="27"/>
      <c r="E720" s="27"/>
      <c r="F720" s="27"/>
      <c r="G720" s="27"/>
      <c r="H720" s="28"/>
      <c r="I720" s="27"/>
      <c r="J720" s="29"/>
      <c r="K720" s="30"/>
      <c r="L720" s="31"/>
      <c r="M720" s="32"/>
      <c r="N720" s="30"/>
      <c r="O720" s="30"/>
      <c r="P720" s="39"/>
      <c r="Q720" s="34"/>
      <c r="R720" s="35"/>
      <c r="S720" s="36"/>
      <c r="T720" s="35"/>
      <c r="U720" s="36"/>
      <c r="V720" s="37"/>
    </row>
    <row r="721" spans="1:22" x14ac:dyDescent="0.25">
      <c r="A721" s="27"/>
      <c r="B721" s="27"/>
      <c r="C721" s="27"/>
      <c r="D721" s="27"/>
      <c r="E721" s="27"/>
      <c r="F721" s="27"/>
      <c r="G721" s="27"/>
      <c r="H721" s="28"/>
      <c r="I721" s="27"/>
      <c r="J721" s="29"/>
      <c r="K721" s="30"/>
      <c r="L721" s="31"/>
      <c r="M721" s="32"/>
      <c r="N721" s="30"/>
      <c r="O721" s="30"/>
      <c r="P721" s="39"/>
      <c r="Q721" s="34"/>
      <c r="R721" s="35"/>
      <c r="S721" s="36"/>
      <c r="T721" s="35"/>
      <c r="U721" s="36"/>
      <c r="V721" s="37"/>
    </row>
    <row r="722" spans="1:22" x14ac:dyDescent="0.25">
      <c r="A722" s="27"/>
      <c r="B722" s="27"/>
      <c r="C722" s="27"/>
      <c r="D722" s="27"/>
      <c r="E722" s="27"/>
      <c r="F722" s="27"/>
      <c r="G722" s="27"/>
      <c r="H722" s="28"/>
      <c r="I722" s="27"/>
      <c r="J722" s="29"/>
      <c r="K722" s="30"/>
      <c r="L722" s="31"/>
      <c r="M722" s="32"/>
      <c r="N722" s="30"/>
      <c r="O722" s="30"/>
      <c r="P722" s="39"/>
      <c r="Q722" s="34"/>
      <c r="R722" s="35"/>
      <c r="S722" s="36"/>
      <c r="T722" s="35"/>
      <c r="U722" s="36"/>
      <c r="V722" s="37"/>
    </row>
    <row r="723" spans="1:22" x14ac:dyDescent="0.25">
      <c r="A723" s="27"/>
      <c r="B723" s="27"/>
      <c r="C723" s="27"/>
      <c r="D723" s="27"/>
      <c r="E723" s="27"/>
      <c r="F723" s="27"/>
      <c r="G723" s="27"/>
      <c r="H723" s="28"/>
      <c r="I723" s="27"/>
      <c r="J723" s="29"/>
      <c r="K723" s="30"/>
      <c r="L723" s="31"/>
      <c r="M723" s="32"/>
      <c r="N723" s="30"/>
      <c r="O723" s="30"/>
      <c r="P723" s="39"/>
      <c r="Q723" s="34"/>
      <c r="R723" s="35"/>
      <c r="S723" s="36"/>
      <c r="T723" s="35"/>
      <c r="U723" s="36"/>
      <c r="V723" s="37"/>
    </row>
    <row r="724" spans="1:22" x14ac:dyDescent="0.25">
      <c r="A724" s="27"/>
      <c r="B724" s="27"/>
      <c r="C724" s="27"/>
      <c r="D724" s="27"/>
      <c r="E724" s="27"/>
      <c r="F724" s="27"/>
      <c r="G724" s="27"/>
      <c r="H724" s="28"/>
      <c r="I724" s="27"/>
      <c r="J724" s="29"/>
      <c r="K724" s="30"/>
      <c r="L724" s="31"/>
      <c r="M724" s="32"/>
      <c r="N724" s="30"/>
      <c r="O724" s="30"/>
      <c r="P724" s="39"/>
      <c r="Q724" s="34"/>
      <c r="R724" s="35"/>
      <c r="S724" s="36"/>
      <c r="T724" s="35"/>
      <c r="U724" s="36"/>
      <c r="V724" s="37"/>
    </row>
    <row r="725" spans="1:22" x14ac:dyDescent="0.25">
      <c r="A725" s="27"/>
      <c r="B725" s="27"/>
      <c r="C725" s="27"/>
      <c r="D725" s="27"/>
      <c r="E725" s="27"/>
      <c r="F725" s="27"/>
      <c r="G725" s="27"/>
      <c r="H725" s="28"/>
      <c r="I725" s="27"/>
      <c r="J725" s="29"/>
      <c r="K725" s="30"/>
      <c r="L725" s="31"/>
      <c r="M725" s="32"/>
      <c r="N725" s="30"/>
      <c r="O725" s="30"/>
      <c r="P725" s="39"/>
      <c r="Q725" s="34"/>
      <c r="R725" s="35"/>
      <c r="S725" s="36"/>
      <c r="T725" s="35"/>
      <c r="U725" s="36"/>
      <c r="V725" s="37"/>
    </row>
    <row r="726" spans="1:22" x14ac:dyDescent="0.25">
      <c r="A726" s="27"/>
      <c r="B726" s="27"/>
      <c r="C726" s="27"/>
      <c r="D726" s="27"/>
      <c r="E726" s="27"/>
      <c r="F726" s="27"/>
      <c r="G726" s="27"/>
      <c r="H726" s="28"/>
      <c r="I726" s="27"/>
      <c r="J726" s="29"/>
      <c r="K726" s="30"/>
      <c r="L726" s="31"/>
      <c r="M726" s="32"/>
      <c r="N726" s="30"/>
      <c r="O726" s="30"/>
      <c r="P726" s="39"/>
      <c r="Q726" s="34"/>
      <c r="R726" s="35"/>
      <c r="S726" s="36"/>
      <c r="T726" s="35"/>
      <c r="U726" s="36"/>
      <c r="V726" s="37"/>
    </row>
    <row r="727" spans="1:22" x14ac:dyDescent="0.25">
      <c r="A727" s="27"/>
      <c r="B727" s="27"/>
      <c r="C727" s="27"/>
      <c r="D727" s="27"/>
      <c r="E727" s="27"/>
      <c r="F727" s="27"/>
      <c r="G727" s="27"/>
      <c r="H727" s="28"/>
      <c r="I727" s="27"/>
      <c r="J727" s="29"/>
      <c r="K727" s="30"/>
      <c r="L727" s="31"/>
      <c r="M727" s="32"/>
      <c r="N727" s="30"/>
      <c r="O727" s="30"/>
      <c r="P727" s="39"/>
      <c r="Q727" s="34"/>
      <c r="R727" s="35"/>
      <c r="S727" s="36"/>
      <c r="T727" s="35"/>
      <c r="U727" s="36"/>
      <c r="V727" s="37"/>
    </row>
    <row r="728" spans="1:22" x14ac:dyDescent="0.25">
      <c r="A728" s="27"/>
      <c r="B728" s="27"/>
      <c r="C728" s="27"/>
      <c r="D728" s="27"/>
      <c r="E728" s="27"/>
      <c r="F728" s="27"/>
      <c r="G728" s="27"/>
      <c r="H728" s="28"/>
      <c r="I728" s="27"/>
      <c r="J728" s="29"/>
      <c r="K728" s="30"/>
      <c r="L728" s="31"/>
      <c r="M728" s="32"/>
      <c r="N728" s="30"/>
      <c r="O728" s="30"/>
      <c r="P728" s="39"/>
      <c r="Q728" s="34"/>
      <c r="R728" s="35"/>
      <c r="S728" s="36"/>
      <c r="T728" s="35"/>
      <c r="U728" s="36"/>
      <c r="V728" s="37"/>
    </row>
    <row r="729" spans="1:22" x14ac:dyDescent="0.25">
      <c r="A729" s="27"/>
      <c r="B729" s="27"/>
      <c r="C729" s="27"/>
      <c r="D729" s="27"/>
      <c r="E729" s="27"/>
      <c r="F729" s="27"/>
      <c r="G729" s="27"/>
      <c r="H729" s="28"/>
      <c r="I729" s="27"/>
      <c r="J729" s="29"/>
      <c r="K729" s="30"/>
      <c r="L729" s="31"/>
      <c r="M729" s="32"/>
      <c r="N729" s="30"/>
      <c r="O729" s="30"/>
      <c r="P729" s="39"/>
      <c r="Q729" s="34"/>
      <c r="R729" s="35"/>
      <c r="S729" s="36"/>
      <c r="T729" s="35"/>
      <c r="U729" s="36"/>
      <c r="V729" s="37"/>
    </row>
    <row r="730" spans="1:22" x14ac:dyDescent="0.25">
      <c r="A730" s="27"/>
      <c r="B730" s="27"/>
      <c r="C730" s="27"/>
      <c r="D730" s="27"/>
      <c r="E730" s="27"/>
      <c r="F730" s="27"/>
      <c r="G730" s="27"/>
      <c r="H730" s="28"/>
      <c r="I730" s="27"/>
      <c r="J730" s="29"/>
      <c r="K730" s="30"/>
      <c r="L730" s="31"/>
      <c r="M730" s="32"/>
      <c r="N730" s="30"/>
      <c r="O730" s="30"/>
      <c r="P730" s="39"/>
      <c r="Q730" s="34"/>
      <c r="R730" s="35"/>
      <c r="S730" s="36"/>
      <c r="T730" s="35"/>
      <c r="U730" s="36"/>
      <c r="V730" s="37"/>
    </row>
    <row r="731" spans="1:22" x14ac:dyDescent="0.25">
      <c r="A731" s="27"/>
      <c r="B731" s="27"/>
      <c r="C731" s="27"/>
      <c r="D731" s="27"/>
      <c r="E731" s="27"/>
      <c r="F731" s="27"/>
      <c r="G731" s="27"/>
      <c r="H731" s="28"/>
      <c r="I731" s="27"/>
      <c r="J731" s="29"/>
      <c r="K731" s="30"/>
      <c r="L731" s="31"/>
      <c r="M731" s="32"/>
      <c r="N731" s="30"/>
      <c r="O731" s="30"/>
      <c r="P731" s="39"/>
      <c r="Q731" s="34"/>
      <c r="R731" s="35"/>
      <c r="S731" s="36"/>
      <c r="T731" s="35"/>
      <c r="U731" s="36"/>
      <c r="V731" s="37"/>
    </row>
    <row r="732" spans="1:22" x14ac:dyDescent="0.25">
      <c r="A732" s="27"/>
      <c r="B732" s="27"/>
      <c r="C732" s="27"/>
      <c r="D732" s="27"/>
      <c r="E732" s="27"/>
      <c r="F732" s="27"/>
      <c r="G732" s="27"/>
      <c r="H732" s="28"/>
      <c r="I732" s="27"/>
      <c r="J732" s="29"/>
      <c r="K732" s="30"/>
      <c r="L732" s="31"/>
      <c r="M732" s="32"/>
      <c r="N732" s="30"/>
      <c r="O732" s="30"/>
      <c r="P732" s="39"/>
      <c r="Q732" s="34"/>
      <c r="R732" s="35"/>
      <c r="S732" s="36"/>
      <c r="T732" s="35"/>
      <c r="U732" s="36"/>
      <c r="V732" s="37"/>
    </row>
    <row r="733" spans="1:22" x14ac:dyDescent="0.25">
      <c r="A733" s="27"/>
      <c r="B733" s="27"/>
      <c r="C733" s="27"/>
      <c r="D733" s="27"/>
      <c r="E733" s="27"/>
      <c r="F733" s="27"/>
      <c r="G733" s="27"/>
      <c r="H733" s="28"/>
      <c r="I733" s="27"/>
      <c r="J733" s="29"/>
      <c r="K733" s="30"/>
      <c r="L733" s="31"/>
      <c r="M733" s="32"/>
      <c r="N733" s="30"/>
      <c r="O733" s="30"/>
      <c r="P733" s="39"/>
      <c r="Q733" s="34"/>
      <c r="R733" s="35"/>
      <c r="S733" s="36"/>
      <c r="T733" s="35"/>
      <c r="U733" s="36"/>
      <c r="V733" s="37"/>
    </row>
    <row r="734" spans="1:22" x14ac:dyDescent="0.25">
      <c r="A734" s="27"/>
      <c r="B734" s="27"/>
      <c r="C734" s="27"/>
      <c r="D734" s="27"/>
      <c r="E734" s="27"/>
      <c r="F734" s="27"/>
      <c r="G734" s="27"/>
      <c r="H734" s="28"/>
      <c r="I734" s="27"/>
      <c r="J734" s="29"/>
      <c r="K734" s="30"/>
      <c r="L734" s="31"/>
      <c r="M734" s="32"/>
      <c r="N734" s="30"/>
      <c r="O734" s="30"/>
      <c r="P734" s="39"/>
      <c r="Q734" s="34"/>
      <c r="R734" s="35"/>
      <c r="S734" s="36"/>
      <c r="T734" s="35"/>
      <c r="U734" s="36"/>
      <c r="V734" s="37"/>
    </row>
    <row r="735" spans="1:22" x14ac:dyDescent="0.25">
      <c r="A735" s="27"/>
      <c r="B735" s="27"/>
      <c r="C735" s="27"/>
      <c r="D735" s="27"/>
      <c r="E735" s="27"/>
      <c r="F735" s="27"/>
      <c r="G735" s="27"/>
      <c r="H735" s="28"/>
      <c r="I735" s="27"/>
      <c r="J735" s="29"/>
      <c r="K735" s="30"/>
      <c r="L735" s="31"/>
      <c r="M735" s="32"/>
      <c r="N735" s="30"/>
      <c r="O735" s="30"/>
      <c r="P735" s="39"/>
      <c r="Q735" s="34"/>
      <c r="R735" s="35"/>
      <c r="S735" s="36"/>
      <c r="T735" s="35"/>
      <c r="U735" s="36"/>
      <c r="V735" s="37"/>
    </row>
    <row r="736" spans="1:22" x14ac:dyDescent="0.25">
      <c r="A736" s="27"/>
      <c r="B736" s="27"/>
      <c r="C736" s="27"/>
      <c r="D736" s="27"/>
      <c r="E736" s="27"/>
      <c r="F736" s="27"/>
      <c r="G736" s="27"/>
      <c r="H736" s="28"/>
      <c r="I736" s="27"/>
      <c r="J736" s="29"/>
      <c r="K736" s="30"/>
      <c r="L736" s="31"/>
      <c r="M736" s="32"/>
      <c r="N736" s="30"/>
      <c r="O736" s="30"/>
      <c r="P736" s="39"/>
      <c r="Q736" s="34"/>
      <c r="R736" s="35"/>
      <c r="S736" s="36"/>
      <c r="T736" s="35"/>
      <c r="U736" s="36"/>
      <c r="V736" s="37"/>
    </row>
    <row r="737" spans="1:22" x14ac:dyDescent="0.25">
      <c r="A737" s="27"/>
      <c r="B737" s="27"/>
      <c r="C737" s="27"/>
      <c r="D737" s="27"/>
      <c r="E737" s="27"/>
      <c r="F737" s="27"/>
      <c r="G737" s="27"/>
      <c r="H737" s="28"/>
      <c r="I737" s="27"/>
      <c r="J737" s="29"/>
      <c r="K737" s="30"/>
      <c r="L737" s="31"/>
      <c r="M737" s="32"/>
      <c r="N737" s="30"/>
      <c r="O737" s="30"/>
      <c r="P737" s="39"/>
      <c r="Q737" s="34"/>
      <c r="R737" s="35"/>
      <c r="S737" s="36"/>
      <c r="T737" s="35"/>
      <c r="U737" s="36"/>
      <c r="V737" s="37"/>
    </row>
    <row r="738" spans="1:22" x14ac:dyDescent="0.25">
      <c r="A738" s="27"/>
      <c r="B738" s="27"/>
      <c r="C738" s="27"/>
      <c r="D738" s="27"/>
      <c r="E738" s="27"/>
      <c r="F738" s="27"/>
      <c r="G738" s="27"/>
      <c r="H738" s="28"/>
      <c r="I738" s="27"/>
      <c r="J738" s="29"/>
      <c r="K738" s="30"/>
      <c r="L738" s="31"/>
      <c r="M738" s="32"/>
      <c r="N738" s="30"/>
      <c r="O738" s="30"/>
      <c r="P738" s="39"/>
      <c r="Q738" s="34"/>
      <c r="R738" s="35"/>
      <c r="S738" s="36"/>
      <c r="T738" s="35"/>
      <c r="U738" s="36"/>
      <c r="V738" s="37"/>
    </row>
    <row r="739" spans="1:22" x14ac:dyDescent="0.25">
      <c r="A739" s="27"/>
      <c r="B739" s="27"/>
      <c r="C739" s="27"/>
      <c r="D739" s="27"/>
      <c r="E739" s="27"/>
      <c r="F739" s="27"/>
      <c r="G739" s="27"/>
      <c r="H739" s="28"/>
      <c r="I739" s="27"/>
      <c r="J739" s="29"/>
      <c r="K739" s="30"/>
      <c r="L739" s="31"/>
      <c r="M739" s="32"/>
      <c r="N739" s="30"/>
      <c r="O739" s="30"/>
      <c r="P739" s="39"/>
      <c r="Q739" s="34"/>
      <c r="R739" s="35"/>
      <c r="S739" s="36"/>
      <c r="T739" s="35"/>
      <c r="U739" s="36"/>
      <c r="V739" s="37"/>
    </row>
    <row r="740" spans="1:22" x14ac:dyDescent="0.25">
      <c r="A740" s="27"/>
      <c r="B740" s="27"/>
      <c r="C740" s="27"/>
      <c r="D740" s="27"/>
      <c r="E740" s="27"/>
      <c r="F740" s="27"/>
      <c r="G740" s="27"/>
      <c r="H740" s="28"/>
      <c r="I740" s="27"/>
      <c r="J740" s="29"/>
      <c r="K740" s="30"/>
      <c r="L740" s="31"/>
      <c r="M740" s="32"/>
      <c r="N740" s="30"/>
      <c r="O740" s="30"/>
      <c r="P740" s="39"/>
      <c r="Q740" s="34"/>
      <c r="R740" s="35"/>
      <c r="S740" s="36"/>
      <c r="T740" s="35"/>
      <c r="U740" s="36"/>
      <c r="V740" s="37"/>
    </row>
    <row r="741" spans="1:22" x14ac:dyDescent="0.25">
      <c r="A741" s="27"/>
      <c r="B741" s="27"/>
      <c r="C741" s="27"/>
      <c r="D741" s="27"/>
      <c r="E741" s="27"/>
      <c r="F741" s="27"/>
      <c r="G741" s="27"/>
      <c r="H741" s="28"/>
      <c r="I741" s="27"/>
      <c r="J741" s="29"/>
      <c r="K741" s="30"/>
      <c r="L741" s="31"/>
      <c r="M741" s="32"/>
      <c r="N741" s="30"/>
      <c r="O741" s="30"/>
      <c r="P741" s="39"/>
      <c r="Q741" s="34"/>
      <c r="R741" s="35"/>
      <c r="S741" s="36"/>
      <c r="T741" s="35"/>
      <c r="U741" s="36"/>
      <c r="V741" s="37"/>
    </row>
    <row r="742" spans="1:22" x14ac:dyDescent="0.25">
      <c r="A742" s="27"/>
      <c r="B742" s="27"/>
      <c r="C742" s="27"/>
      <c r="D742" s="27"/>
      <c r="E742" s="27"/>
      <c r="F742" s="27"/>
      <c r="G742" s="27"/>
      <c r="H742" s="28"/>
      <c r="I742" s="27"/>
      <c r="J742" s="29"/>
      <c r="K742" s="30"/>
      <c r="L742" s="31"/>
      <c r="M742" s="32"/>
      <c r="N742" s="30"/>
      <c r="O742" s="30"/>
      <c r="P742" s="39"/>
      <c r="Q742" s="34"/>
      <c r="R742" s="35"/>
      <c r="S742" s="36"/>
      <c r="T742" s="35"/>
      <c r="U742" s="36"/>
      <c r="V742" s="37"/>
    </row>
    <row r="743" spans="1:22" x14ac:dyDescent="0.25">
      <c r="A743" s="27"/>
      <c r="B743" s="27"/>
      <c r="C743" s="27"/>
      <c r="D743" s="27"/>
      <c r="E743" s="27"/>
      <c r="F743" s="27"/>
      <c r="G743" s="27"/>
      <c r="H743" s="28"/>
      <c r="I743" s="27"/>
      <c r="J743" s="29"/>
      <c r="K743" s="30"/>
      <c r="L743" s="31"/>
      <c r="M743" s="32"/>
      <c r="N743" s="30"/>
      <c r="O743" s="30"/>
      <c r="P743" s="39"/>
      <c r="Q743" s="34"/>
      <c r="R743" s="35"/>
      <c r="S743" s="36"/>
      <c r="T743" s="35"/>
      <c r="U743" s="36"/>
      <c r="V743" s="37"/>
    </row>
    <row r="744" spans="1:22" x14ac:dyDescent="0.25">
      <c r="A744" s="27"/>
      <c r="B744" s="27"/>
      <c r="C744" s="27"/>
      <c r="D744" s="27"/>
      <c r="E744" s="27"/>
      <c r="F744" s="27"/>
      <c r="G744" s="27"/>
      <c r="H744" s="28"/>
      <c r="I744" s="27"/>
      <c r="J744" s="29"/>
      <c r="K744" s="30"/>
      <c r="L744" s="31"/>
      <c r="M744" s="32"/>
      <c r="N744" s="30"/>
      <c r="O744" s="30"/>
      <c r="P744" s="39"/>
      <c r="Q744" s="34"/>
      <c r="R744" s="35"/>
      <c r="S744" s="36"/>
      <c r="T744" s="35"/>
      <c r="U744" s="36"/>
      <c r="V744" s="37"/>
    </row>
    <row r="745" spans="1:22" x14ac:dyDescent="0.25">
      <c r="A745" s="27"/>
      <c r="B745" s="27"/>
      <c r="C745" s="27"/>
      <c r="D745" s="27"/>
      <c r="E745" s="27"/>
      <c r="F745" s="27"/>
      <c r="G745" s="27"/>
      <c r="H745" s="28"/>
      <c r="I745" s="27"/>
      <c r="J745" s="29"/>
      <c r="K745" s="30"/>
      <c r="L745" s="31"/>
      <c r="M745" s="32"/>
      <c r="N745" s="30"/>
      <c r="O745" s="30"/>
      <c r="P745" s="39"/>
      <c r="Q745" s="34"/>
      <c r="R745" s="35"/>
      <c r="S745" s="36"/>
      <c r="T745" s="35"/>
      <c r="U745" s="36"/>
      <c r="V745" s="37"/>
    </row>
    <row r="746" spans="1:22" x14ac:dyDescent="0.25">
      <c r="A746" s="27"/>
      <c r="B746" s="27"/>
      <c r="C746" s="27"/>
      <c r="D746" s="27"/>
      <c r="E746" s="27"/>
      <c r="F746" s="27"/>
      <c r="G746" s="27"/>
      <c r="H746" s="28"/>
      <c r="I746" s="27"/>
      <c r="J746" s="29"/>
      <c r="K746" s="30"/>
      <c r="L746" s="31"/>
      <c r="M746" s="32"/>
      <c r="N746" s="30"/>
      <c r="O746" s="30"/>
      <c r="P746" s="39"/>
      <c r="Q746" s="34"/>
      <c r="R746" s="35"/>
      <c r="S746" s="36"/>
      <c r="T746" s="35"/>
      <c r="U746" s="36"/>
      <c r="V746" s="37"/>
    </row>
    <row r="747" spans="1:22" x14ac:dyDescent="0.25">
      <c r="A747" s="27"/>
      <c r="B747" s="27"/>
      <c r="C747" s="27"/>
      <c r="D747" s="27"/>
      <c r="E747" s="27"/>
      <c r="F747" s="27"/>
      <c r="G747" s="27"/>
      <c r="H747" s="28"/>
      <c r="I747" s="27"/>
      <c r="J747" s="29"/>
      <c r="K747" s="30"/>
      <c r="L747" s="31"/>
      <c r="M747" s="32"/>
      <c r="N747" s="30"/>
      <c r="O747" s="30"/>
      <c r="P747" s="39"/>
      <c r="Q747" s="34"/>
      <c r="R747" s="35"/>
      <c r="S747" s="36"/>
      <c r="T747" s="35"/>
      <c r="U747" s="36"/>
      <c r="V747" s="37"/>
    </row>
    <row r="748" spans="1:22" x14ac:dyDescent="0.25">
      <c r="A748" s="27"/>
      <c r="B748" s="27"/>
      <c r="C748" s="27"/>
      <c r="D748" s="27"/>
      <c r="E748" s="27"/>
      <c r="F748" s="27"/>
      <c r="G748" s="27"/>
      <c r="H748" s="28"/>
      <c r="I748" s="27"/>
      <c r="J748" s="29"/>
      <c r="K748" s="30"/>
      <c r="L748" s="31"/>
      <c r="M748" s="32"/>
      <c r="N748" s="30"/>
      <c r="O748" s="30"/>
      <c r="P748" s="39"/>
      <c r="Q748" s="34"/>
      <c r="R748" s="35"/>
      <c r="S748" s="36"/>
      <c r="T748" s="35"/>
      <c r="U748" s="36"/>
      <c r="V748" s="37"/>
    </row>
    <row r="749" spans="1:22" x14ac:dyDescent="0.25">
      <c r="A749" s="27"/>
      <c r="B749" s="27"/>
      <c r="C749" s="27"/>
      <c r="D749" s="27"/>
      <c r="E749" s="27"/>
      <c r="F749" s="27"/>
      <c r="G749" s="27"/>
      <c r="H749" s="28"/>
      <c r="I749" s="27"/>
      <c r="J749" s="29"/>
      <c r="K749" s="30"/>
      <c r="L749" s="31"/>
      <c r="M749" s="32"/>
      <c r="N749" s="30"/>
      <c r="O749" s="30"/>
      <c r="P749" s="39"/>
      <c r="Q749" s="34"/>
      <c r="R749" s="35"/>
      <c r="S749" s="36"/>
      <c r="T749" s="35"/>
      <c r="U749" s="36"/>
      <c r="V749" s="37"/>
    </row>
    <row r="750" spans="1:22" x14ac:dyDescent="0.25">
      <c r="A750" s="27"/>
      <c r="B750" s="27"/>
      <c r="C750" s="27"/>
      <c r="D750" s="27"/>
      <c r="E750" s="27"/>
      <c r="F750" s="27"/>
      <c r="G750" s="27"/>
      <c r="H750" s="28"/>
      <c r="I750" s="27"/>
      <c r="J750" s="29"/>
      <c r="K750" s="30"/>
      <c r="L750" s="31"/>
      <c r="M750" s="32"/>
      <c r="N750" s="30"/>
      <c r="O750" s="30"/>
      <c r="P750" s="39"/>
      <c r="Q750" s="34"/>
      <c r="R750" s="35"/>
      <c r="S750" s="36"/>
      <c r="T750" s="35"/>
      <c r="U750" s="36"/>
      <c r="V750" s="37"/>
    </row>
    <row r="751" spans="1:22" x14ac:dyDescent="0.25">
      <c r="A751" s="27"/>
      <c r="B751" s="27"/>
      <c r="C751" s="27"/>
      <c r="D751" s="27"/>
      <c r="E751" s="27"/>
      <c r="F751" s="27"/>
      <c r="G751" s="27"/>
      <c r="H751" s="28"/>
      <c r="I751" s="27"/>
      <c r="J751" s="29"/>
      <c r="K751" s="30"/>
      <c r="L751" s="31"/>
      <c r="M751" s="32"/>
      <c r="N751" s="30"/>
      <c r="O751" s="30"/>
      <c r="P751" s="39"/>
      <c r="Q751" s="34"/>
      <c r="R751" s="35"/>
      <c r="S751" s="36"/>
      <c r="T751" s="35"/>
      <c r="U751" s="36"/>
      <c r="V751" s="37"/>
    </row>
    <row r="752" spans="1:22" x14ac:dyDescent="0.25">
      <c r="A752" s="27"/>
      <c r="B752" s="27"/>
      <c r="C752" s="27"/>
      <c r="D752" s="27"/>
      <c r="E752" s="27"/>
      <c r="F752" s="27"/>
      <c r="G752" s="27"/>
      <c r="H752" s="28"/>
      <c r="I752" s="27"/>
      <c r="J752" s="29"/>
      <c r="K752" s="30"/>
      <c r="L752" s="31"/>
      <c r="M752" s="32"/>
      <c r="N752" s="30"/>
      <c r="O752" s="30"/>
      <c r="P752" s="39"/>
      <c r="Q752" s="34"/>
      <c r="R752" s="35"/>
      <c r="S752" s="36"/>
      <c r="T752" s="35"/>
      <c r="U752" s="36"/>
      <c r="V752" s="37"/>
    </row>
    <row r="753" spans="1:22" x14ac:dyDescent="0.25">
      <c r="A753" s="27"/>
      <c r="B753" s="27"/>
      <c r="C753" s="27"/>
      <c r="D753" s="27"/>
      <c r="E753" s="27"/>
      <c r="F753" s="27"/>
      <c r="G753" s="27"/>
      <c r="H753" s="28"/>
      <c r="I753" s="27"/>
      <c r="J753" s="29"/>
      <c r="K753" s="30"/>
      <c r="L753" s="31"/>
      <c r="M753" s="32"/>
      <c r="N753" s="30"/>
      <c r="O753" s="30"/>
      <c r="P753" s="39"/>
      <c r="Q753" s="34"/>
      <c r="R753" s="35"/>
      <c r="S753" s="36"/>
      <c r="T753" s="35"/>
      <c r="U753" s="36"/>
      <c r="V753" s="37"/>
    </row>
    <row r="754" spans="1:22" x14ac:dyDescent="0.25">
      <c r="A754" s="27"/>
      <c r="B754" s="27"/>
      <c r="C754" s="27"/>
      <c r="D754" s="27"/>
      <c r="E754" s="27"/>
      <c r="F754" s="27"/>
      <c r="G754" s="27"/>
      <c r="H754" s="28"/>
      <c r="I754" s="27"/>
      <c r="J754" s="29"/>
      <c r="K754" s="30"/>
      <c r="L754" s="31"/>
      <c r="M754" s="32"/>
      <c r="N754" s="30"/>
      <c r="O754" s="30"/>
      <c r="P754" s="39"/>
      <c r="Q754" s="34"/>
      <c r="R754" s="35"/>
      <c r="S754" s="36"/>
      <c r="T754" s="35"/>
      <c r="U754" s="36"/>
      <c r="V754" s="37"/>
    </row>
    <row r="755" spans="1:22" x14ac:dyDescent="0.25">
      <c r="A755" s="27"/>
      <c r="B755" s="27"/>
      <c r="C755" s="27"/>
      <c r="D755" s="27"/>
      <c r="E755" s="27"/>
      <c r="F755" s="27"/>
      <c r="G755" s="27"/>
      <c r="H755" s="28"/>
      <c r="I755" s="27"/>
      <c r="J755" s="29"/>
      <c r="K755" s="30"/>
      <c r="L755" s="31"/>
      <c r="M755" s="32"/>
      <c r="N755" s="30"/>
      <c r="O755" s="30"/>
      <c r="P755" s="39"/>
      <c r="Q755" s="34"/>
      <c r="R755" s="35"/>
      <c r="S755" s="36"/>
      <c r="T755" s="35"/>
      <c r="U755" s="36"/>
      <c r="V755" s="37"/>
    </row>
    <row r="756" spans="1:22" x14ac:dyDescent="0.25">
      <c r="A756" s="27"/>
      <c r="B756" s="27"/>
      <c r="C756" s="27"/>
      <c r="D756" s="27"/>
      <c r="E756" s="27"/>
      <c r="F756" s="27"/>
      <c r="G756" s="27"/>
      <c r="H756" s="28"/>
      <c r="I756" s="27"/>
      <c r="J756" s="29"/>
      <c r="K756" s="30"/>
      <c r="L756" s="31"/>
      <c r="M756" s="32"/>
      <c r="N756" s="30"/>
      <c r="O756" s="30"/>
      <c r="P756" s="39"/>
      <c r="Q756" s="34"/>
      <c r="R756" s="35"/>
      <c r="S756" s="36"/>
      <c r="T756" s="35"/>
      <c r="U756" s="36"/>
      <c r="V756" s="37"/>
    </row>
    <row r="757" spans="1:22" x14ac:dyDescent="0.25">
      <c r="A757" s="27"/>
      <c r="B757" s="27"/>
      <c r="C757" s="27"/>
      <c r="D757" s="27"/>
      <c r="E757" s="27"/>
      <c r="F757" s="27"/>
      <c r="G757" s="27"/>
      <c r="H757" s="28"/>
      <c r="I757" s="27"/>
      <c r="J757" s="29"/>
      <c r="K757" s="30"/>
      <c r="L757" s="31"/>
      <c r="M757" s="32"/>
      <c r="N757" s="30"/>
      <c r="O757" s="30"/>
      <c r="P757" s="39"/>
      <c r="Q757" s="34"/>
      <c r="R757" s="35"/>
      <c r="S757" s="36"/>
      <c r="T757" s="35"/>
      <c r="U757" s="36"/>
      <c r="V757" s="37"/>
    </row>
    <row r="758" spans="1:22" x14ac:dyDescent="0.25">
      <c r="A758" s="27"/>
      <c r="B758" s="27"/>
      <c r="C758" s="27"/>
      <c r="D758" s="27"/>
      <c r="E758" s="27"/>
      <c r="F758" s="27"/>
      <c r="G758" s="27"/>
      <c r="H758" s="28"/>
      <c r="I758" s="27"/>
      <c r="J758" s="29"/>
      <c r="K758" s="30"/>
      <c r="L758" s="31"/>
      <c r="M758" s="32"/>
      <c r="N758" s="30"/>
      <c r="O758" s="30"/>
      <c r="P758" s="39"/>
      <c r="Q758" s="34"/>
      <c r="R758" s="35"/>
      <c r="S758" s="36"/>
      <c r="T758" s="35"/>
      <c r="U758" s="36"/>
      <c r="V758" s="37"/>
    </row>
    <row r="759" spans="1:22" x14ac:dyDescent="0.25">
      <c r="A759" s="27"/>
      <c r="B759" s="27"/>
      <c r="C759" s="27"/>
      <c r="D759" s="27"/>
      <c r="E759" s="27"/>
      <c r="F759" s="27"/>
      <c r="G759" s="27"/>
      <c r="H759" s="28"/>
      <c r="I759" s="27"/>
      <c r="J759" s="29"/>
      <c r="K759" s="30"/>
      <c r="L759" s="31"/>
      <c r="M759" s="32"/>
      <c r="N759" s="30"/>
      <c r="O759" s="30"/>
      <c r="P759" s="39"/>
      <c r="Q759" s="34"/>
      <c r="R759" s="35"/>
      <c r="S759" s="36"/>
      <c r="T759" s="35"/>
      <c r="U759" s="36"/>
      <c r="V759" s="37"/>
    </row>
    <row r="760" spans="1:22" x14ac:dyDescent="0.25">
      <c r="A760" s="27"/>
      <c r="B760" s="27"/>
      <c r="C760" s="27"/>
      <c r="D760" s="27"/>
      <c r="E760" s="27"/>
      <c r="F760" s="27"/>
      <c r="G760" s="27"/>
      <c r="H760" s="28"/>
      <c r="I760" s="27"/>
      <c r="J760" s="29"/>
      <c r="K760" s="30"/>
      <c r="L760" s="31"/>
      <c r="M760" s="32"/>
      <c r="N760" s="30"/>
      <c r="O760" s="30"/>
      <c r="P760" s="39"/>
      <c r="Q760" s="34"/>
      <c r="R760" s="35"/>
      <c r="S760" s="36"/>
      <c r="T760" s="35"/>
      <c r="U760" s="36"/>
      <c r="V760" s="37"/>
    </row>
    <row r="761" spans="1:22" x14ac:dyDescent="0.25">
      <c r="A761" s="27"/>
      <c r="B761" s="27"/>
      <c r="C761" s="27"/>
      <c r="D761" s="27"/>
      <c r="E761" s="27"/>
      <c r="F761" s="27"/>
      <c r="G761" s="27"/>
      <c r="H761" s="28"/>
      <c r="I761" s="27"/>
      <c r="J761" s="29"/>
      <c r="K761" s="30"/>
      <c r="L761" s="31"/>
      <c r="M761" s="32"/>
      <c r="N761" s="30"/>
      <c r="O761" s="30"/>
      <c r="P761" s="39"/>
      <c r="Q761" s="34"/>
      <c r="R761" s="35"/>
      <c r="S761" s="36"/>
      <c r="T761" s="35"/>
      <c r="U761" s="36"/>
      <c r="V761" s="37"/>
    </row>
    <row r="762" spans="1:22" x14ac:dyDescent="0.25">
      <c r="A762" s="27"/>
      <c r="B762" s="27"/>
      <c r="C762" s="27"/>
      <c r="D762" s="27"/>
      <c r="E762" s="27"/>
      <c r="F762" s="27"/>
      <c r="G762" s="27"/>
      <c r="H762" s="28"/>
      <c r="I762" s="27"/>
      <c r="J762" s="29"/>
      <c r="K762" s="30"/>
      <c r="L762" s="31"/>
      <c r="M762" s="32"/>
      <c r="N762" s="30"/>
      <c r="O762" s="30"/>
      <c r="P762" s="39"/>
      <c r="Q762" s="34"/>
      <c r="R762" s="35"/>
      <c r="S762" s="36"/>
      <c r="T762" s="35"/>
      <c r="U762" s="36"/>
      <c r="V762" s="37"/>
    </row>
    <row r="763" spans="1:22" x14ac:dyDescent="0.25">
      <c r="A763" s="27"/>
      <c r="B763" s="27"/>
      <c r="C763" s="27"/>
      <c r="D763" s="27"/>
      <c r="E763" s="27"/>
      <c r="F763" s="27"/>
      <c r="G763" s="27"/>
      <c r="H763" s="28"/>
      <c r="I763" s="27"/>
      <c r="J763" s="29"/>
      <c r="K763" s="30"/>
      <c r="L763" s="31"/>
      <c r="M763" s="32"/>
      <c r="N763" s="30"/>
      <c r="O763" s="30"/>
      <c r="P763" s="39"/>
      <c r="Q763" s="34"/>
      <c r="R763" s="35"/>
      <c r="S763" s="36"/>
      <c r="T763" s="35"/>
      <c r="U763" s="36"/>
      <c r="V763" s="37"/>
    </row>
    <row r="764" spans="1:22" x14ac:dyDescent="0.25">
      <c r="A764" s="27"/>
      <c r="B764" s="27"/>
      <c r="C764" s="27"/>
      <c r="D764" s="27"/>
      <c r="E764" s="27"/>
      <c r="F764" s="27"/>
      <c r="G764" s="27"/>
      <c r="H764" s="28"/>
      <c r="I764" s="27"/>
      <c r="J764" s="29"/>
      <c r="K764" s="30"/>
      <c r="L764" s="31"/>
      <c r="M764" s="32"/>
      <c r="N764" s="30"/>
      <c r="O764" s="30"/>
      <c r="P764" s="39"/>
      <c r="Q764" s="34"/>
      <c r="R764" s="35"/>
      <c r="S764" s="36"/>
      <c r="T764" s="35"/>
      <c r="U764" s="36"/>
      <c r="V764" s="37"/>
    </row>
    <row r="765" spans="1:22" x14ac:dyDescent="0.25">
      <c r="A765" s="27"/>
      <c r="B765" s="27"/>
      <c r="C765" s="27"/>
      <c r="D765" s="27"/>
      <c r="E765" s="27"/>
      <c r="F765" s="27"/>
      <c r="G765" s="27"/>
      <c r="H765" s="28"/>
      <c r="I765" s="27"/>
      <c r="J765" s="29"/>
      <c r="K765" s="30"/>
      <c r="L765" s="31"/>
      <c r="M765" s="32"/>
      <c r="N765" s="30"/>
      <c r="O765" s="30"/>
      <c r="P765" s="39"/>
      <c r="Q765" s="34"/>
      <c r="R765" s="35"/>
      <c r="S765" s="36"/>
      <c r="T765" s="35"/>
      <c r="U765" s="36"/>
      <c r="V765" s="37"/>
    </row>
    <row r="766" spans="1:22" x14ac:dyDescent="0.25">
      <c r="A766" s="27"/>
      <c r="B766" s="27"/>
      <c r="C766" s="27"/>
      <c r="D766" s="27"/>
      <c r="E766" s="27"/>
      <c r="F766" s="27"/>
      <c r="G766" s="27"/>
      <c r="H766" s="28"/>
      <c r="I766" s="27"/>
      <c r="J766" s="29"/>
      <c r="K766" s="30"/>
      <c r="L766" s="31"/>
      <c r="M766" s="32"/>
      <c r="N766" s="30"/>
      <c r="O766" s="30"/>
      <c r="P766" s="39"/>
      <c r="Q766" s="34"/>
      <c r="R766" s="35"/>
      <c r="S766" s="36"/>
      <c r="T766" s="35"/>
      <c r="U766" s="36"/>
      <c r="V766" s="37"/>
    </row>
    <row r="767" spans="1:22" x14ac:dyDescent="0.25">
      <c r="A767" s="27"/>
      <c r="B767" s="27"/>
      <c r="C767" s="27"/>
      <c r="D767" s="27"/>
      <c r="E767" s="27"/>
      <c r="F767" s="27"/>
      <c r="G767" s="27"/>
      <c r="H767" s="28"/>
      <c r="I767" s="27"/>
      <c r="J767" s="29"/>
      <c r="K767" s="30"/>
      <c r="L767" s="31"/>
      <c r="M767" s="32"/>
      <c r="N767" s="30"/>
      <c r="O767" s="30"/>
      <c r="P767" s="39"/>
      <c r="Q767" s="34"/>
      <c r="R767" s="35"/>
      <c r="S767" s="36"/>
      <c r="T767" s="35"/>
      <c r="U767" s="36"/>
      <c r="V767" s="37"/>
    </row>
    <row r="768" spans="1:22" x14ac:dyDescent="0.25">
      <c r="A768" s="27"/>
      <c r="B768" s="27"/>
      <c r="C768" s="27"/>
      <c r="D768" s="27"/>
      <c r="E768" s="27"/>
      <c r="F768" s="27"/>
      <c r="G768" s="27"/>
      <c r="H768" s="28"/>
      <c r="I768" s="27"/>
      <c r="J768" s="29"/>
      <c r="K768" s="30"/>
      <c r="L768" s="31"/>
      <c r="M768" s="32"/>
      <c r="N768" s="30"/>
      <c r="O768" s="30"/>
      <c r="P768" s="39"/>
      <c r="Q768" s="34"/>
      <c r="R768" s="35"/>
      <c r="S768" s="36"/>
      <c r="T768" s="35"/>
      <c r="U768" s="36"/>
      <c r="V768" s="37"/>
    </row>
    <row r="769" spans="1:22" x14ac:dyDescent="0.25">
      <c r="A769" s="27"/>
      <c r="B769" s="27"/>
      <c r="C769" s="27"/>
      <c r="D769" s="27"/>
      <c r="E769" s="27"/>
      <c r="F769" s="27"/>
      <c r="G769" s="27"/>
      <c r="H769" s="28"/>
      <c r="I769" s="27"/>
      <c r="J769" s="29"/>
      <c r="K769" s="30"/>
      <c r="L769" s="31"/>
      <c r="M769" s="32"/>
      <c r="N769" s="30"/>
      <c r="O769" s="30"/>
      <c r="P769" s="39"/>
      <c r="Q769" s="34"/>
      <c r="R769" s="35"/>
      <c r="S769" s="36"/>
      <c r="T769" s="35"/>
      <c r="U769" s="36"/>
      <c r="V769" s="37"/>
    </row>
    <row r="770" spans="1:22" x14ac:dyDescent="0.25">
      <c r="A770" s="27"/>
      <c r="B770" s="27"/>
      <c r="C770" s="27"/>
      <c r="D770" s="27"/>
      <c r="E770" s="27"/>
      <c r="F770" s="27"/>
      <c r="G770" s="27"/>
      <c r="H770" s="28"/>
      <c r="I770" s="27"/>
      <c r="J770" s="29"/>
      <c r="K770" s="30"/>
      <c r="L770" s="31"/>
      <c r="M770" s="32"/>
      <c r="N770" s="30"/>
      <c r="O770" s="30"/>
      <c r="P770" s="39"/>
      <c r="Q770" s="34"/>
      <c r="R770" s="35"/>
      <c r="S770" s="36"/>
      <c r="T770" s="35"/>
      <c r="U770" s="36"/>
      <c r="V770" s="37"/>
    </row>
    <row r="771" spans="1:22" x14ac:dyDescent="0.25">
      <c r="A771" s="27"/>
      <c r="B771" s="27"/>
      <c r="C771" s="27"/>
      <c r="D771" s="27"/>
      <c r="E771" s="27"/>
      <c r="F771" s="27"/>
      <c r="G771" s="27"/>
      <c r="H771" s="28"/>
      <c r="I771" s="27"/>
      <c r="J771" s="29"/>
      <c r="K771" s="30"/>
      <c r="L771" s="31"/>
      <c r="M771" s="32"/>
      <c r="N771" s="30"/>
      <c r="O771" s="30"/>
      <c r="P771" s="39"/>
      <c r="Q771" s="34"/>
      <c r="R771" s="35"/>
      <c r="S771" s="36"/>
      <c r="T771" s="35"/>
      <c r="U771" s="36"/>
      <c r="V771" s="37"/>
    </row>
    <row r="772" spans="1:22" x14ac:dyDescent="0.25">
      <c r="A772" s="27"/>
      <c r="B772" s="27"/>
      <c r="C772" s="27"/>
      <c r="D772" s="27"/>
      <c r="E772" s="27"/>
      <c r="F772" s="27"/>
      <c r="G772" s="27"/>
      <c r="H772" s="28"/>
      <c r="I772" s="27"/>
      <c r="J772" s="29"/>
      <c r="K772" s="30"/>
      <c r="L772" s="31"/>
      <c r="M772" s="32"/>
      <c r="N772" s="30"/>
      <c r="O772" s="30"/>
      <c r="P772" s="39"/>
      <c r="Q772" s="34"/>
      <c r="R772" s="35"/>
      <c r="S772" s="36"/>
      <c r="T772" s="35"/>
      <c r="U772" s="36"/>
      <c r="V772" s="37"/>
    </row>
    <row r="773" spans="1:22" x14ac:dyDescent="0.25">
      <c r="A773" s="27"/>
      <c r="B773" s="27"/>
      <c r="C773" s="27"/>
      <c r="D773" s="27"/>
      <c r="E773" s="27"/>
      <c r="F773" s="27"/>
      <c r="G773" s="27"/>
      <c r="H773" s="28"/>
      <c r="I773" s="27"/>
      <c r="J773" s="29"/>
      <c r="K773" s="30"/>
      <c r="L773" s="31"/>
      <c r="M773" s="32"/>
      <c r="N773" s="30"/>
      <c r="O773" s="30"/>
      <c r="P773" s="39"/>
      <c r="Q773" s="34"/>
      <c r="R773" s="35"/>
      <c r="S773" s="36"/>
      <c r="T773" s="35"/>
      <c r="U773" s="36"/>
      <c r="V773" s="37"/>
    </row>
    <row r="774" spans="1:22" x14ac:dyDescent="0.25">
      <c r="A774" s="27"/>
      <c r="B774" s="27"/>
      <c r="C774" s="27"/>
      <c r="D774" s="27"/>
      <c r="E774" s="27"/>
      <c r="F774" s="27"/>
      <c r="G774" s="27"/>
      <c r="H774" s="28"/>
      <c r="I774" s="27"/>
      <c r="J774" s="29"/>
      <c r="K774" s="30"/>
      <c r="L774" s="31"/>
      <c r="M774" s="32"/>
      <c r="N774" s="30"/>
      <c r="O774" s="30"/>
      <c r="P774" s="39"/>
      <c r="Q774" s="34"/>
      <c r="R774" s="35"/>
      <c r="S774" s="36"/>
      <c r="T774" s="35"/>
      <c r="U774" s="36"/>
      <c r="V774" s="37"/>
    </row>
    <row r="775" spans="1:22" x14ac:dyDescent="0.25">
      <c r="A775" s="27"/>
      <c r="B775" s="27"/>
      <c r="C775" s="27"/>
      <c r="D775" s="27"/>
      <c r="E775" s="27"/>
      <c r="F775" s="27"/>
      <c r="G775" s="27"/>
      <c r="H775" s="28"/>
      <c r="I775" s="27"/>
      <c r="J775" s="29"/>
      <c r="K775" s="30"/>
      <c r="L775" s="31"/>
      <c r="M775" s="32"/>
      <c r="N775" s="30"/>
      <c r="O775" s="30"/>
      <c r="P775" s="39"/>
      <c r="Q775" s="34"/>
      <c r="R775" s="35"/>
      <c r="S775" s="36"/>
      <c r="T775" s="35"/>
      <c r="U775" s="36"/>
      <c r="V775" s="37"/>
    </row>
    <row r="776" spans="1:22" x14ac:dyDescent="0.25">
      <c r="A776" s="27"/>
      <c r="B776" s="27"/>
      <c r="C776" s="27"/>
      <c r="D776" s="27"/>
      <c r="E776" s="27"/>
      <c r="F776" s="27"/>
      <c r="G776" s="27"/>
      <c r="H776" s="28"/>
      <c r="I776" s="27"/>
      <c r="J776" s="29"/>
      <c r="K776" s="30"/>
      <c r="L776" s="31"/>
      <c r="M776" s="32"/>
      <c r="N776" s="30"/>
      <c r="O776" s="30"/>
      <c r="P776" s="39"/>
      <c r="Q776" s="34"/>
      <c r="R776" s="35"/>
      <c r="S776" s="36"/>
      <c r="T776" s="35"/>
      <c r="U776" s="36"/>
      <c r="V776" s="37"/>
    </row>
    <row r="777" spans="1:22" x14ac:dyDescent="0.25">
      <c r="A777" s="27"/>
      <c r="B777" s="27"/>
      <c r="C777" s="27"/>
      <c r="D777" s="27"/>
      <c r="E777" s="27"/>
      <c r="F777" s="27"/>
      <c r="G777" s="27"/>
      <c r="H777" s="28"/>
      <c r="I777" s="27"/>
      <c r="J777" s="29"/>
      <c r="K777" s="30"/>
      <c r="L777" s="31"/>
      <c r="M777" s="32"/>
      <c r="N777" s="30"/>
      <c r="O777" s="30"/>
      <c r="P777" s="39"/>
      <c r="Q777" s="34"/>
      <c r="R777" s="35"/>
      <c r="S777" s="36"/>
      <c r="T777" s="35"/>
      <c r="U777" s="36"/>
      <c r="V777" s="37"/>
    </row>
    <row r="778" spans="1:22" x14ac:dyDescent="0.25">
      <c r="A778" s="27"/>
      <c r="B778" s="27"/>
      <c r="C778" s="27"/>
      <c r="D778" s="27"/>
      <c r="E778" s="27"/>
      <c r="F778" s="27"/>
      <c r="G778" s="27"/>
      <c r="H778" s="28"/>
      <c r="I778" s="27"/>
      <c r="J778" s="29"/>
      <c r="K778" s="30"/>
      <c r="L778" s="31"/>
      <c r="M778" s="32"/>
      <c r="N778" s="30"/>
      <c r="O778" s="30"/>
      <c r="P778" s="39"/>
      <c r="Q778" s="34"/>
      <c r="R778" s="35"/>
      <c r="S778" s="36"/>
      <c r="T778" s="35"/>
      <c r="U778" s="36"/>
      <c r="V778" s="37"/>
    </row>
    <row r="779" spans="1:22" x14ac:dyDescent="0.25">
      <c r="A779" s="27"/>
      <c r="B779" s="27"/>
      <c r="C779" s="27"/>
      <c r="D779" s="27"/>
      <c r="E779" s="27"/>
      <c r="F779" s="27"/>
      <c r="G779" s="27"/>
      <c r="H779" s="28"/>
      <c r="I779" s="27"/>
      <c r="J779" s="29"/>
      <c r="K779" s="30"/>
      <c r="L779" s="31"/>
      <c r="M779" s="32"/>
      <c r="N779" s="30"/>
      <c r="O779" s="30"/>
      <c r="P779" s="39"/>
      <c r="Q779" s="34"/>
      <c r="R779" s="35"/>
      <c r="S779" s="36"/>
      <c r="T779" s="35"/>
      <c r="U779" s="36"/>
      <c r="V779" s="37"/>
    </row>
    <row r="780" spans="1:22" x14ac:dyDescent="0.25">
      <c r="A780" s="27"/>
      <c r="B780" s="27"/>
      <c r="C780" s="27"/>
      <c r="D780" s="27"/>
      <c r="E780" s="27"/>
      <c r="F780" s="27"/>
      <c r="G780" s="27"/>
      <c r="H780" s="28"/>
      <c r="I780" s="27"/>
      <c r="J780" s="29"/>
      <c r="K780" s="30"/>
      <c r="L780" s="31"/>
      <c r="M780" s="32"/>
      <c r="N780" s="30"/>
      <c r="O780" s="30"/>
      <c r="P780" s="39"/>
      <c r="Q780" s="34"/>
      <c r="R780" s="35"/>
      <c r="S780" s="36"/>
      <c r="T780" s="35"/>
      <c r="U780" s="36"/>
      <c r="V780" s="37"/>
    </row>
    <row r="781" spans="1:22" x14ac:dyDescent="0.25">
      <c r="A781" s="27"/>
      <c r="B781" s="27"/>
      <c r="C781" s="27"/>
      <c r="D781" s="27"/>
      <c r="E781" s="27"/>
      <c r="F781" s="27"/>
      <c r="G781" s="27"/>
      <c r="H781" s="28"/>
      <c r="I781" s="27"/>
      <c r="J781" s="29"/>
      <c r="K781" s="30"/>
      <c r="L781" s="31"/>
      <c r="M781" s="32"/>
      <c r="N781" s="30"/>
      <c r="O781" s="30"/>
      <c r="P781" s="39"/>
      <c r="Q781" s="34"/>
      <c r="R781" s="35"/>
      <c r="S781" s="36"/>
      <c r="T781" s="35"/>
      <c r="U781" s="36"/>
      <c r="V781" s="37"/>
    </row>
    <row r="782" spans="1:22" x14ac:dyDescent="0.25">
      <c r="A782" s="27"/>
      <c r="B782" s="27"/>
      <c r="C782" s="27"/>
      <c r="D782" s="27"/>
      <c r="E782" s="27"/>
      <c r="F782" s="27"/>
      <c r="G782" s="27"/>
      <c r="H782" s="28"/>
      <c r="I782" s="27"/>
      <c r="J782" s="29"/>
      <c r="K782" s="30"/>
      <c r="L782" s="31"/>
      <c r="M782" s="32"/>
      <c r="N782" s="30"/>
      <c r="O782" s="30"/>
      <c r="P782" s="39"/>
      <c r="Q782" s="34"/>
      <c r="R782" s="35"/>
      <c r="S782" s="36"/>
      <c r="T782" s="35"/>
      <c r="U782" s="36"/>
      <c r="V782" s="37"/>
    </row>
    <row r="783" spans="1:22" x14ac:dyDescent="0.25">
      <c r="A783" s="27"/>
      <c r="B783" s="27"/>
      <c r="C783" s="27"/>
      <c r="D783" s="27"/>
      <c r="E783" s="27"/>
      <c r="F783" s="27"/>
      <c r="G783" s="27"/>
      <c r="H783" s="28"/>
      <c r="I783" s="27"/>
      <c r="J783" s="29"/>
      <c r="K783" s="30"/>
      <c r="L783" s="31"/>
      <c r="M783" s="32"/>
      <c r="N783" s="30"/>
      <c r="O783" s="30"/>
      <c r="P783" s="39"/>
      <c r="Q783" s="34"/>
      <c r="R783" s="35"/>
      <c r="S783" s="36"/>
      <c r="T783" s="35"/>
      <c r="U783" s="36"/>
      <c r="V783" s="37"/>
    </row>
    <row r="784" spans="1:22" x14ac:dyDescent="0.25">
      <c r="A784" s="27"/>
      <c r="B784" s="27"/>
      <c r="C784" s="27"/>
      <c r="D784" s="27"/>
      <c r="E784" s="27"/>
      <c r="F784" s="27"/>
      <c r="G784" s="27"/>
      <c r="H784" s="28"/>
      <c r="I784" s="27"/>
      <c r="J784" s="29"/>
      <c r="K784" s="30"/>
      <c r="L784" s="31"/>
      <c r="M784" s="32"/>
      <c r="N784" s="30"/>
      <c r="O784" s="30"/>
      <c r="P784" s="39"/>
      <c r="Q784" s="34"/>
      <c r="R784" s="35"/>
      <c r="S784" s="36"/>
      <c r="T784" s="35"/>
      <c r="U784" s="36"/>
      <c r="V784" s="37"/>
    </row>
    <row r="785" spans="1:22" x14ac:dyDescent="0.25">
      <c r="A785" s="27"/>
      <c r="B785" s="27"/>
      <c r="C785" s="27"/>
      <c r="D785" s="27"/>
      <c r="E785" s="27"/>
      <c r="F785" s="27"/>
      <c r="G785" s="27"/>
      <c r="H785" s="28"/>
      <c r="I785" s="27"/>
      <c r="J785" s="29"/>
      <c r="K785" s="30"/>
      <c r="L785" s="31"/>
      <c r="M785" s="32"/>
      <c r="N785" s="30"/>
      <c r="O785" s="30"/>
      <c r="P785" s="39"/>
      <c r="Q785" s="34"/>
      <c r="R785" s="35"/>
      <c r="S785" s="36"/>
      <c r="T785" s="35"/>
      <c r="U785" s="36"/>
      <c r="V785" s="37"/>
    </row>
    <row r="786" spans="1:22" x14ac:dyDescent="0.25">
      <c r="A786" s="27"/>
      <c r="B786" s="27"/>
      <c r="C786" s="27"/>
      <c r="D786" s="27"/>
      <c r="E786" s="27"/>
      <c r="F786" s="27"/>
      <c r="G786" s="27"/>
      <c r="H786" s="28"/>
      <c r="I786" s="27"/>
      <c r="J786" s="29"/>
      <c r="K786" s="30"/>
      <c r="L786" s="31"/>
      <c r="M786" s="32"/>
      <c r="N786" s="30"/>
      <c r="O786" s="30"/>
      <c r="P786" s="39"/>
      <c r="Q786" s="34"/>
      <c r="R786" s="35"/>
      <c r="S786" s="36"/>
      <c r="T786" s="35"/>
      <c r="U786" s="36"/>
      <c r="V786" s="37"/>
    </row>
    <row r="787" spans="1:22" x14ac:dyDescent="0.25">
      <c r="A787" s="27"/>
      <c r="B787" s="27"/>
      <c r="C787" s="27"/>
      <c r="D787" s="27"/>
      <c r="E787" s="27"/>
      <c r="F787" s="27"/>
      <c r="G787" s="27"/>
      <c r="H787" s="28"/>
      <c r="I787" s="27"/>
      <c r="J787" s="29"/>
      <c r="K787" s="30"/>
      <c r="L787" s="31"/>
      <c r="M787" s="32"/>
      <c r="N787" s="30"/>
      <c r="O787" s="30"/>
      <c r="P787" s="39"/>
      <c r="Q787" s="34"/>
      <c r="R787" s="35"/>
      <c r="S787" s="36"/>
      <c r="T787" s="35"/>
      <c r="U787" s="36"/>
      <c r="V787" s="37"/>
    </row>
    <row r="788" spans="1:22" x14ac:dyDescent="0.25">
      <c r="A788" s="27"/>
      <c r="B788" s="27"/>
      <c r="C788" s="27"/>
      <c r="D788" s="27"/>
      <c r="E788" s="27"/>
      <c r="F788" s="27"/>
      <c r="G788" s="27"/>
      <c r="H788" s="28"/>
      <c r="I788" s="27"/>
      <c r="J788" s="29"/>
      <c r="K788" s="30"/>
      <c r="L788" s="31"/>
      <c r="M788" s="32"/>
      <c r="N788" s="30"/>
      <c r="O788" s="30"/>
      <c r="P788" s="39"/>
      <c r="Q788" s="34"/>
      <c r="R788" s="35"/>
      <c r="S788" s="36"/>
      <c r="T788" s="35"/>
      <c r="U788" s="36"/>
      <c r="V788" s="37"/>
    </row>
    <row r="789" spans="1:22" x14ac:dyDescent="0.25">
      <c r="A789" s="27"/>
      <c r="B789" s="27"/>
      <c r="C789" s="27"/>
      <c r="D789" s="27"/>
      <c r="E789" s="27"/>
      <c r="F789" s="27"/>
      <c r="G789" s="27"/>
      <c r="H789" s="28"/>
      <c r="I789" s="27"/>
      <c r="J789" s="29"/>
      <c r="K789" s="30"/>
      <c r="L789" s="31"/>
      <c r="M789" s="32"/>
      <c r="N789" s="30"/>
      <c r="O789" s="30"/>
      <c r="P789" s="39"/>
      <c r="Q789" s="34"/>
      <c r="R789" s="35"/>
      <c r="S789" s="36"/>
      <c r="T789" s="35"/>
      <c r="U789" s="36"/>
      <c r="V789" s="37"/>
    </row>
    <row r="790" spans="1:22" x14ac:dyDescent="0.25">
      <c r="A790" s="27"/>
      <c r="B790" s="27"/>
      <c r="C790" s="27"/>
      <c r="D790" s="27"/>
      <c r="E790" s="27"/>
      <c r="F790" s="27"/>
      <c r="G790" s="27"/>
      <c r="H790" s="28"/>
      <c r="I790" s="27"/>
      <c r="J790" s="29"/>
      <c r="K790" s="30"/>
      <c r="L790" s="31"/>
      <c r="M790" s="32"/>
      <c r="N790" s="30"/>
      <c r="O790" s="30"/>
      <c r="P790" s="39"/>
      <c r="Q790" s="34"/>
      <c r="R790" s="35"/>
      <c r="S790" s="36"/>
      <c r="T790" s="35"/>
      <c r="U790" s="36"/>
      <c r="V790" s="37"/>
    </row>
    <row r="791" spans="1:22" x14ac:dyDescent="0.25">
      <c r="A791" s="27"/>
      <c r="B791" s="27"/>
      <c r="C791" s="27"/>
      <c r="D791" s="27"/>
      <c r="E791" s="27"/>
      <c r="F791" s="27"/>
      <c r="G791" s="27"/>
      <c r="H791" s="28"/>
      <c r="I791" s="27"/>
      <c r="J791" s="29"/>
      <c r="K791" s="30"/>
      <c r="L791" s="31"/>
      <c r="M791" s="32"/>
      <c r="N791" s="30"/>
      <c r="O791" s="30"/>
      <c r="P791" s="39"/>
      <c r="Q791" s="34"/>
      <c r="R791" s="35"/>
      <c r="S791" s="36"/>
      <c r="T791" s="35"/>
      <c r="U791" s="36"/>
      <c r="V791" s="37"/>
    </row>
    <row r="792" spans="1:22" x14ac:dyDescent="0.25">
      <c r="A792" s="27"/>
      <c r="B792" s="27"/>
      <c r="C792" s="27"/>
      <c r="D792" s="27"/>
      <c r="E792" s="27"/>
      <c r="F792" s="27"/>
      <c r="G792" s="27"/>
      <c r="H792" s="28"/>
      <c r="I792" s="27"/>
      <c r="J792" s="29"/>
      <c r="K792" s="30"/>
      <c r="L792" s="31"/>
      <c r="M792" s="32"/>
      <c r="N792" s="30"/>
      <c r="O792" s="30"/>
      <c r="P792" s="39"/>
      <c r="Q792" s="34"/>
      <c r="R792" s="35"/>
      <c r="S792" s="36"/>
      <c r="T792" s="35"/>
      <c r="U792" s="36"/>
      <c r="V792" s="37"/>
    </row>
    <row r="793" spans="1:22" x14ac:dyDescent="0.25">
      <c r="A793" s="27"/>
      <c r="B793" s="27"/>
      <c r="C793" s="27"/>
      <c r="D793" s="27"/>
      <c r="E793" s="27"/>
      <c r="F793" s="27"/>
      <c r="G793" s="27"/>
      <c r="H793" s="28"/>
      <c r="I793" s="27"/>
      <c r="J793" s="29"/>
      <c r="K793" s="30"/>
      <c r="L793" s="31"/>
      <c r="M793" s="32"/>
      <c r="N793" s="30"/>
      <c r="O793" s="30"/>
      <c r="P793" s="39"/>
      <c r="Q793" s="34"/>
      <c r="R793" s="35"/>
      <c r="S793" s="36"/>
      <c r="T793" s="35"/>
      <c r="U793" s="36"/>
      <c r="V793" s="37"/>
    </row>
    <row r="794" spans="1:22" x14ac:dyDescent="0.25">
      <c r="A794" s="27"/>
      <c r="B794" s="27"/>
      <c r="C794" s="27"/>
      <c r="D794" s="27"/>
      <c r="E794" s="27"/>
      <c r="F794" s="27"/>
      <c r="G794" s="27"/>
      <c r="H794" s="28"/>
      <c r="I794" s="27"/>
      <c r="J794" s="29"/>
      <c r="K794" s="30"/>
      <c r="L794" s="31"/>
      <c r="M794" s="32"/>
      <c r="N794" s="30"/>
      <c r="O794" s="30"/>
      <c r="P794" s="39"/>
      <c r="Q794" s="34"/>
      <c r="R794" s="35"/>
      <c r="S794" s="36"/>
      <c r="T794" s="35"/>
      <c r="U794" s="36"/>
      <c r="V794" s="37"/>
    </row>
    <row r="795" spans="1:22" x14ac:dyDescent="0.25">
      <c r="A795" s="27"/>
      <c r="B795" s="27"/>
      <c r="C795" s="27"/>
      <c r="D795" s="27"/>
      <c r="E795" s="27"/>
      <c r="F795" s="27"/>
      <c r="G795" s="27"/>
      <c r="H795" s="28"/>
      <c r="I795" s="27"/>
      <c r="J795" s="29"/>
      <c r="K795" s="30"/>
      <c r="L795" s="31"/>
      <c r="M795" s="32"/>
      <c r="N795" s="30"/>
      <c r="O795" s="30"/>
      <c r="P795" s="39"/>
      <c r="Q795" s="34"/>
      <c r="R795" s="35"/>
      <c r="S795" s="36"/>
      <c r="T795" s="35"/>
      <c r="U795" s="36"/>
      <c r="V795" s="37"/>
    </row>
    <row r="796" spans="1:22" x14ac:dyDescent="0.25">
      <c r="A796" s="27"/>
      <c r="B796" s="27"/>
      <c r="C796" s="27"/>
      <c r="D796" s="27"/>
      <c r="E796" s="27"/>
      <c r="F796" s="27"/>
      <c r="G796" s="27"/>
      <c r="H796" s="28"/>
      <c r="I796" s="27"/>
      <c r="J796" s="29"/>
      <c r="K796" s="30"/>
      <c r="L796" s="31"/>
      <c r="M796" s="32"/>
      <c r="N796" s="30"/>
      <c r="O796" s="30"/>
      <c r="P796" s="39"/>
      <c r="Q796" s="34"/>
      <c r="R796" s="35"/>
      <c r="S796" s="36"/>
      <c r="T796" s="35"/>
      <c r="U796" s="36"/>
      <c r="V796" s="37"/>
    </row>
    <row r="797" spans="1:22" x14ac:dyDescent="0.25">
      <c r="A797" s="27"/>
      <c r="B797" s="27"/>
      <c r="C797" s="27"/>
      <c r="D797" s="27"/>
      <c r="E797" s="27"/>
      <c r="F797" s="27"/>
      <c r="G797" s="27"/>
      <c r="H797" s="28"/>
      <c r="I797" s="27"/>
      <c r="J797" s="29"/>
      <c r="K797" s="30"/>
      <c r="L797" s="31"/>
      <c r="M797" s="32"/>
      <c r="N797" s="30"/>
      <c r="O797" s="30"/>
      <c r="P797" s="39"/>
      <c r="Q797" s="34"/>
      <c r="R797" s="35"/>
      <c r="S797" s="36"/>
      <c r="T797" s="35"/>
      <c r="U797" s="36"/>
      <c r="V797" s="37"/>
    </row>
    <row r="798" spans="1:22" x14ac:dyDescent="0.25">
      <c r="A798" s="27"/>
      <c r="B798" s="27"/>
      <c r="C798" s="27"/>
      <c r="D798" s="27"/>
      <c r="E798" s="27"/>
      <c r="F798" s="27"/>
      <c r="G798" s="27"/>
      <c r="H798" s="28"/>
      <c r="I798" s="27"/>
      <c r="J798" s="29"/>
      <c r="K798" s="30"/>
      <c r="L798" s="31"/>
      <c r="M798" s="32"/>
      <c r="N798" s="30"/>
      <c r="O798" s="30"/>
      <c r="P798" s="39"/>
      <c r="Q798" s="34"/>
      <c r="R798" s="35"/>
      <c r="S798" s="36"/>
      <c r="T798" s="35"/>
      <c r="U798" s="36"/>
      <c r="V798" s="37"/>
    </row>
    <row r="799" spans="1:22" x14ac:dyDescent="0.25">
      <c r="A799" s="27"/>
      <c r="B799" s="27"/>
      <c r="C799" s="27"/>
      <c r="D799" s="27"/>
      <c r="E799" s="27"/>
      <c r="F799" s="27"/>
      <c r="G799" s="27"/>
      <c r="H799" s="28"/>
      <c r="I799" s="27"/>
      <c r="J799" s="29"/>
      <c r="K799" s="30"/>
      <c r="L799" s="31"/>
      <c r="M799" s="32"/>
      <c r="N799" s="30"/>
      <c r="O799" s="30"/>
      <c r="P799" s="39"/>
      <c r="Q799" s="34"/>
      <c r="R799" s="35"/>
      <c r="S799" s="36"/>
      <c r="T799" s="35"/>
      <c r="U799" s="36"/>
      <c r="V799" s="37"/>
    </row>
    <row r="800" spans="1:22" x14ac:dyDescent="0.25">
      <c r="A800" s="27"/>
      <c r="B800" s="27"/>
      <c r="C800" s="27"/>
      <c r="D800" s="27"/>
      <c r="E800" s="27"/>
      <c r="F800" s="27"/>
      <c r="G800" s="27"/>
      <c r="H800" s="28"/>
      <c r="I800" s="27"/>
      <c r="J800" s="29"/>
      <c r="K800" s="30"/>
      <c r="L800" s="31"/>
      <c r="M800" s="32"/>
      <c r="N800" s="30"/>
      <c r="O800" s="30"/>
      <c r="P800" s="39"/>
      <c r="Q800" s="34"/>
      <c r="R800" s="35"/>
      <c r="S800" s="36"/>
      <c r="T800" s="35"/>
      <c r="U800" s="36"/>
      <c r="V800" s="37"/>
    </row>
    <row r="801" spans="1:22" x14ac:dyDescent="0.25">
      <c r="A801" s="27"/>
      <c r="B801" s="27"/>
      <c r="C801" s="27"/>
      <c r="D801" s="27"/>
      <c r="E801" s="27"/>
      <c r="F801" s="27"/>
      <c r="G801" s="27"/>
      <c r="H801" s="28"/>
      <c r="I801" s="27"/>
      <c r="J801" s="29"/>
      <c r="K801" s="30"/>
      <c r="L801" s="31"/>
      <c r="M801" s="32"/>
      <c r="N801" s="30"/>
      <c r="O801" s="30"/>
      <c r="P801" s="39"/>
      <c r="Q801" s="34"/>
      <c r="R801" s="35"/>
      <c r="S801" s="36"/>
      <c r="T801" s="35"/>
      <c r="U801" s="36"/>
      <c r="V801" s="37"/>
    </row>
    <row r="802" spans="1:22" x14ac:dyDescent="0.25">
      <c r="A802" s="27"/>
      <c r="B802" s="27"/>
      <c r="C802" s="27"/>
      <c r="D802" s="27"/>
      <c r="E802" s="27"/>
      <c r="F802" s="27"/>
      <c r="G802" s="27"/>
      <c r="H802" s="28"/>
      <c r="I802" s="27"/>
      <c r="J802" s="29"/>
      <c r="K802" s="30"/>
      <c r="L802" s="31"/>
      <c r="M802" s="32"/>
      <c r="N802" s="30"/>
      <c r="O802" s="30"/>
      <c r="P802" s="39"/>
      <c r="Q802" s="34"/>
      <c r="R802" s="35"/>
      <c r="S802" s="36"/>
      <c r="T802" s="35"/>
      <c r="U802" s="36"/>
      <c r="V802" s="37"/>
    </row>
    <row r="803" spans="1:22" x14ac:dyDescent="0.25">
      <c r="A803" s="27"/>
      <c r="B803" s="27"/>
      <c r="C803" s="27"/>
      <c r="D803" s="27"/>
      <c r="E803" s="27"/>
      <c r="F803" s="27"/>
      <c r="G803" s="27"/>
      <c r="H803" s="28"/>
      <c r="I803" s="27"/>
      <c r="J803" s="29"/>
      <c r="K803" s="30"/>
      <c r="L803" s="31"/>
      <c r="M803" s="32"/>
      <c r="N803" s="30"/>
      <c r="O803" s="30"/>
      <c r="P803" s="39"/>
      <c r="Q803" s="34"/>
      <c r="R803" s="35"/>
      <c r="S803" s="36"/>
      <c r="T803" s="35"/>
      <c r="U803" s="36"/>
      <c r="V803" s="37"/>
    </row>
    <row r="804" spans="1:22" x14ac:dyDescent="0.25">
      <c r="A804" s="27"/>
      <c r="B804" s="27"/>
      <c r="C804" s="27"/>
      <c r="D804" s="27"/>
      <c r="E804" s="27"/>
      <c r="F804" s="27"/>
      <c r="G804" s="27"/>
      <c r="H804" s="28"/>
      <c r="I804" s="27"/>
      <c r="J804" s="29"/>
      <c r="K804" s="30"/>
      <c r="L804" s="31"/>
      <c r="M804" s="32"/>
      <c r="N804" s="30"/>
      <c r="O804" s="30"/>
      <c r="P804" s="39"/>
      <c r="Q804" s="34"/>
      <c r="R804" s="35"/>
      <c r="S804" s="36"/>
      <c r="T804" s="35"/>
      <c r="U804" s="36"/>
      <c r="V804" s="37"/>
    </row>
    <row r="805" spans="1:22" x14ac:dyDescent="0.25">
      <c r="A805" s="27"/>
      <c r="B805" s="27"/>
      <c r="C805" s="27"/>
      <c r="D805" s="27"/>
      <c r="E805" s="27"/>
      <c r="F805" s="27"/>
      <c r="G805" s="27"/>
      <c r="H805" s="28"/>
      <c r="I805" s="27"/>
      <c r="J805" s="29"/>
      <c r="K805" s="30"/>
      <c r="L805" s="31"/>
      <c r="M805" s="32"/>
      <c r="N805" s="30"/>
      <c r="O805" s="30"/>
      <c r="P805" s="39"/>
      <c r="Q805" s="34"/>
      <c r="R805" s="35"/>
      <c r="S805" s="36"/>
      <c r="T805" s="35"/>
      <c r="U805" s="36"/>
      <c r="V805" s="37"/>
    </row>
    <row r="806" spans="1:22" x14ac:dyDescent="0.25">
      <c r="A806" s="27"/>
      <c r="B806" s="27"/>
      <c r="C806" s="27"/>
      <c r="D806" s="27"/>
      <c r="E806" s="27"/>
      <c r="F806" s="27"/>
      <c r="G806" s="27"/>
      <c r="H806" s="28"/>
      <c r="I806" s="27"/>
      <c r="J806" s="29"/>
      <c r="K806" s="30"/>
      <c r="L806" s="31"/>
      <c r="M806" s="32"/>
      <c r="N806" s="30"/>
      <c r="O806" s="30"/>
      <c r="P806" s="39"/>
      <c r="Q806" s="34"/>
      <c r="R806" s="35"/>
      <c r="S806" s="36"/>
      <c r="T806" s="35"/>
      <c r="U806" s="36"/>
      <c r="V806" s="37"/>
    </row>
    <row r="807" spans="1:22" x14ac:dyDescent="0.25">
      <c r="A807" s="27"/>
      <c r="B807" s="27"/>
      <c r="C807" s="27"/>
      <c r="D807" s="27"/>
      <c r="E807" s="27"/>
      <c r="F807" s="27"/>
      <c r="G807" s="27"/>
      <c r="H807" s="28"/>
      <c r="I807" s="27"/>
      <c r="J807" s="29"/>
      <c r="K807" s="30"/>
      <c r="L807" s="31"/>
      <c r="M807" s="32"/>
      <c r="N807" s="30"/>
      <c r="O807" s="30"/>
      <c r="P807" s="39"/>
      <c r="Q807" s="34"/>
      <c r="R807" s="35"/>
      <c r="S807" s="36"/>
      <c r="T807" s="35"/>
      <c r="U807" s="36"/>
      <c r="V807" s="37"/>
    </row>
    <row r="808" spans="1:22" x14ac:dyDescent="0.25">
      <c r="A808" s="27"/>
      <c r="B808" s="27"/>
      <c r="C808" s="27"/>
      <c r="D808" s="27"/>
      <c r="E808" s="27"/>
      <c r="F808" s="27"/>
      <c r="G808" s="27"/>
      <c r="H808" s="28"/>
      <c r="I808" s="27"/>
      <c r="J808" s="29"/>
      <c r="K808" s="30"/>
      <c r="L808" s="31"/>
      <c r="M808" s="32"/>
      <c r="N808" s="30"/>
      <c r="O808" s="30"/>
      <c r="P808" s="39"/>
      <c r="Q808" s="34"/>
      <c r="R808" s="35"/>
      <c r="S808" s="36"/>
      <c r="T808" s="35"/>
      <c r="U808" s="36"/>
      <c r="V808" s="37"/>
    </row>
    <row r="809" spans="1:22" x14ac:dyDescent="0.25">
      <c r="A809" s="27"/>
      <c r="B809" s="27"/>
      <c r="C809" s="27"/>
      <c r="D809" s="27"/>
      <c r="E809" s="27"/>
      <c r="F809" s="27"/>
      <c r="G809" s="27"/>
      <c r="H809" s="28"/>
      <c r="I809" s="27"/>
      <c r="J809" s="29"/>
      <c r="K809" s="30"/>
      <c r="L809" s="31"/>
      <c r="M809" s="32"/>
      <c r="N809" s="30"/>
      <c r="O809" s="30"/>
      <c r="P809" s="39"/>
      <c r="Q809" s="34"/>
      <c r="R809" s="35"/>
      <c r="S809" s="36"/>
      <c r="T809" s="35"/>
      <c r="U809" s="36"/>
      <c r="V809" s="37"/>
    </row>
    <row r="810" spans="1:22" x14ac:dyDescent="0.25">
      <c r="A810" s="27"/>
      <c r="B810" s="27"/>
      <c r="C810" s="27"/>
      <c r="D810" s="27"/>
      <c r="E810" s="27"/>
      <c r="F810" s="27"/>
      <c r="G810" s="27"/>
      <c r="H810" s="28"/>
      <c r="I810" s="27"/>
      <c r="J810" s="29"/>
      <c r="K810" s="30"/>
      <c r="L810" s="31"/>
      <c r="M810" s="32"/>
      <c r="N810" s="30"/>
      <c r="O810" s="30"/>
      <c r="P810" s="39"/>
      <c r="Q810" s="34"/>
      <c r="R810" s="35"/>
      <c r="S810" s="36"/>
      <c r="T810" s="35"/>
      <c r="U810" s="36"/>
      <c r="V810" s="37"/>
    </row>
    <row r="811" spans="1:22" x14ac:dyDescent="0.25">
      <c r="A811" s="27"/>
      <c r="B811" s="27"/>
      <c r="C811" s="27"/>
      <c r="D811" s="27"/>
      <c r="E811" s="27"/>
      <c r="F811" s="27"/>
      <c r="G811" s="27"/>
      <c r="H811" s="28"/>
      <c r="I811" s="27"/>
      <c r="J811" s="29"/>
      <c r="K811" s="30"/>
      <c r="L811" s="31"/>
      <c r="M811" s="32"/>
      <c r="N811" s="30"/>
      <c r="O811" s="30"/>
      <c r="P811" s="39"/>
      <c r="Q811" s="34"/>
      <c r="R811" s="35"/>
      <c r="S811" s="36"/>
      <c r="T811" s="35"/>
      <c r="U811" s="36"/>
      <c r="V811" s="37"/>
    </row>
    <row r="812" spans="1:22" x14ac:dyDescent="0.25">
      <c r="A812" s="27"/>
      <c r="B812" s="27"/>
      <c r="C812" s="27"/>
      <c r="D812" s="27"/>
      <c r="E812" s="27"/>
      <c r="F812" s="27"/>
      <c r="G812" s="27"/>
      <c r="H812" s="28"/>
      <c r="I812" s="27"/>
      <c r="J812" s="29"/>
      <c r="K812" s="30"/>
      <c r="L812" s="31"/>
      <c r="M812" s="32"/>
      <c r="N812" s="30"/>
      <c r="O812" s="30"/>
      <c r="P812" s="39"/>
      <c r="Q812" s="34"/>
      <c r="R812" s="35"/>
      <c r="S812" s="36"/>
      <c r="T812" s="35"/>
      <c r="U812" s="36"/>
      <c r="V812" s="37"/>
    </row>
    <row r="813" spans="1:22" x14ac:dyDescent="0.25">
      <c r="A813" s="27"/>
      <c r="B813" s="27"/>
      <c r="C813" s="27"/>
      <c r="D813" s="27"/>
      <c r="E813" s="27"/>
      <c r="F813" s="27"/>
      <c r="G813" s="27"/>
      <c r="H813" s="28"/>
      <c r="I813" s="27"/>
      <c r="J813" s="29"/>
      <c r="K813" s="30"/>
      <c r="L813" s="31"/>
      <c r="M813" s="32"/>
      <c r="N813" s="30"/>
      <c r="O813" s="30"/>
      <c r="P813" s="39"/>
      <c r="Q813" s="34"/>
      <c r="R813" s="35"/>
      <c r="S813" s="36"/>
      <c r="T813" s="35"/>
      <c r="U813" s="36"/>
      <c r="V813" s="37"/>
    </row>
    <row r="814" spans="1:22" x14ac:dyDescent="0.25">
      <c r="A814" s="27"/>
      <c r="B814" s="27"/>
      <c r="C814" s="27"/>
      <c r="D814" s="27"/>
      <c r="E814" s="27"/>
      <c r="F814" s="27"/>
      <c r="G814" s="27"/>
      <c r="H814" s="28"/>
      <c r="I814" s="27"/>
      <c r="J814" s="29"/>
      <c r="K814" s="30"/>
      <c r="L814" s="31"/>
      <c r="M814" s="32"/>
      <c r="N814" s="30"/>
      <c r="O814" s="30"/>
      <c r="P814" s="39"/>
      <c r="Q814" s="34"/>
      <c r="R814" s="35"/>
      <c r="S814" s="36"/>
      <c r="T814" s="35"/>
      <c r="U814" s="36"/>
      <c r="V814" s="37"/>
    </row>
    <row r="815" spans="1:22" x14ac:dyDescent="0.25">
      <c r="A815" s="27"/>
      <c r="B815" s="27"/>
      <c r="C815" s="27"/>
      <c r="D815" s="27"/>
      <c r="E815" s="27"/>
      <c r="F815" s="27"/>
      <c r="G815" s="27"/>
      <c r="H815" s="28"/>
      <c r="I815" s="27"/>
      <c r="J815" s="29"/>
      <c r="K815" s="30"/>
      <c r="L815" s="31"/>
      <c r="M815" s="32"/>
      <c r="N815" s="30"/>
      <c r="O815" s="30"/>
      <c r="P815" s="39"/>
      <c r="Q815" s="34"/>
      <c r="R815" s="35"/>
      <c r="S815" s="36"/>
      <c r="T815" s="35"/>
      <c r="U815" s="36"/>
      <c r="V815" s="37"/>
    </row>
    <row r="816" spans="1:22" x14ac:dyDescent="0.25">
      <c r="A816" s="27"/>
      <c r="B816" s="27"/>
      <c r="C816" s="27"/>
      <c r="D816" s="27"/>
      <c r="E816" s="27"/>
      <c r="F816" s="27"/>
      <c r="G816" s="27"/>
      <c r="H816" s="28"/>
      <c r="I816" s="27"/>
      <c r="J816" s="29"/>
      <c r="K816" s="30"/>
      <c r="L816" s="31"/>
      <c r="M816" s="32"/>
      <c r="N816" s="30"/>
      <c r="O816" s="30"/>
      <c r="P816" s="39"/>
      <c r="Q816" s="34"/>
      <c r="R816" s="35"/>
      <c r="S816" s="36"/>
      <c r="T816" s="35"/>
      <c r="U816" s="36"/>
      <c r="V816" s="37"/>
    </row>
    <row r="817" spans="1:22" x14ac:dyDescent="0.25">
      <c r="A817" s="27"/>
      <c r="B817" s="27"/>
      <c r="C817" s="27"/>
      <c r="D817" s="27"/>
      <c r="E817" s="27"/>
      <c r="F817" s="27"/>
      <c r="G817" s="27"/>
      <c r="H817" s="28"/>
      <c r="I817" s="27"/>
      <c r="J817" s="29"/>
      <c r="K817" s="30"/>
      <c r="L817" s="31"/>
      <c r="M817" s="32"/>
      <c r="N817" s="30"/>
      <c r="O817" s="30"/>
      <c r="P817" s="39"/>
      <c r="Q817" s="34"/>
      <c r="R817" s="35"/>
      <c r="S817" s="36"/>
      <c r="T817" s="35"/>
      <c r="U817" s="36"/>
      <c r="V817" s="37"/>
    </row>
    <row r="818" spans="1:22" x14ac:dyDescent="0.25">
      <c r="A818" s="27"/>
      <c r="B818" s="27"/>
      <c r="C818" s="27"/>
      <c r="D818" s="27"/>
      <c r="E818" s="27"/>
      <c r="F818" s="27"/>
      <c r="G818" s="27"/>
      <c r="H818" s="28"/>
      <c r="I818" s="27"/>
      <c r="J818" s="29"/>
      <c r="K818" s="30"/>
      <c r="L818" s="31"/>
      <c r="M818" s="32"/>
      <c r="N818" s="30"/>
      <c r="O818" s="30"/>
      <c r="P818" s="39"/>
      <c r="Q818" s="34"/>
      <c r="R818" s="35"/>
      <c r="S818" s="36"/>
      <c r="T818" s="35"/>
      <c r="U818" s="36"/>
      <c r="V818" s="37"/>
    </row>
    <row r="819" spans="1:22" x14ac:dyDescent="0.25">
      <c r="A819" s="27"/>
      <c r="B819" s="27"/>
      <c r="C819" s="27"/>
      <c r="D819" s="27"/>
      <c r="E819" s="27"/>
      <c r="F819" s="27"/>
      <c r="G819" s="27"/>
      <c r="H819" s="28"/>
      <c r="I819" s="27"/>
      <c r="J819" s="29"/>
      <c r="K819" s="30"/>
      <c r="L819" s="31"/>
      <c r="M819" s="32"/>
      <c r="N819" s="30"/>
      <c r="O819" s="30"/>
      <c r="P819" s="39"/>
      <c r="Q819" s="34"/>
      <c r="R819" s="35"/>
      <c r="S819" s="36"/>
      <c r="T819" s="35"/>
      <c r="U819" s="36"/>
      <c r="V819" s="37"/>
    </row>
    <row r="820" spans="1:22" x14ac:dyDescent="0.25">
      <c r="A820" s="27"/>
      <c r="B820" s="27"/>
      <c r="C820" s="27"/>
      <c r="D820" s="27"/>
      <c r="E820" s="27"/>
      <c r="F820" s="27"/>
      <c r="G820" s="27"/>
      <c r="H820" s="28"/>
      <c r="I820" s="27"/>
      <c r="J820" s="29"/>
      <c r="K820" s="30"/>
      <c r="L820" s="31"/>
      <c r="M820" s="32"/>
      <c r="N820" s="30"/>
      <c r="O820" s="30"/>
      <c r="P820" s="39"/>
      <c r="Q820" s="34"/>
      <c r="R820" s="35"/>
      <c r="S820" s="36"/>
      <c r="T820" s="35"/>
      <c r="U820" s="36"/>
      <c r="V820" s="37"/>
    </row>
    <row r="821" spans="1:22" x14ac:dyDescent="0.25">
      <c r="A821" s="27"/>
      <c r="B821" s="27"/>
      <c r="C821" s="27"/>
      <c r="D821" s="27"/>
      <c r="E821" s="27"/>
      <c r="F821" s="27"/>
      <c r="G821" s="27"/>
      <c r="H821" s="28"/>
      <c r="I821" s="27"/>
      <c r="J821" s="29"/>
      <c r="K821" s="30"/>
      <c r="L821" s="31"/>
      <c r="M821" s="32"/>
      <c r="N821" s="30"/>
      <c r="O821" s="30"/>
      <c r="P821" s="39"/>
      <c r="Q821" s="34"/>
      <c r="R821" s="35"/>
      <c r="S821" s="36"/>
      <c r="T821" s="35"/>
      <c r="U821" s="36"/>
      <c r="V821" s="37"/>
    </row>
    <row r="822" spans="1:22" x14ac:dyDescent="0.25">
      <c r="A822" s="27"/>
      <c r="B822" s="27"/>
      <c r="C822" s="27"/>
      <c r="D822" s="27"/>
      <c r="E822" s="27"/>
      <c r="F822" s="27"/>
      <c r="G822" s="27"/>
      <c r="H822" s="28"/>
      <c r="I822" s="27"/>
      <c r="J822" s="29"/>
      <c r="K822" s="30"/>
      <c r="L822" s="31"/>
      <c r="M822" s="32"/>
      <c r="N822" s="30"/>
      <c r="O822" s="30"/>
      <c r="P822" s="39"/>
      <c r="Q822" s="34"/>
      <c r="R822" s="35"/>
      <c r="S822" s="36"/>
      <c r="T822" s="35"/>
      <c r="U822" s="36"/>
      <c r="V822" s="37"/>
    </row>
    <row r="823" spans="1:22" x14ac:dyDescent="0.25">
      <c r="A823" s="27"/>
      <c r="B823" s="27"/>
      <c r="C823" s="27"/>
      <c r="D823" s="27"/>
      <c r="E823" s="27"/>
      <c r="F823" s="27"/>
      <c r="G823" s="27"/>
      <c r="H823" s="28"/>
      <c r="I823" s="27"/>
      <c r="J823" s="29"/>
      <c r="K823" s="30"/>
      <c r="L823" s="31"/>
      <c r="M823" s="32"/>
      <c r="N823" s="30"/>
      <c r="O823" s="30"/>
      <c r="P823" s="39"/>
      <c r="Q823" s="34"/>
      <c r="R823" s="35"/>
      <c r="S823" s="36"/>
      <c r="T823" s="35"/>
      <c r="U823" s="36"/>
      <c r="V823" s="37"/>
    </row>
    <row r="824" spans="1:22" x14ac:dyDescent="0.25">
      <c r="A824" s="27"/>
      <c r="B824" s="27"/>
      <c r="C824" s="27"/>
      <c r="D824" s="27"/>
      <c r="E824" s="27"/>
      <c r="F824" s="27"/>
      <c r="G824" s="27"/>
      <c r="H824" s="28"/>
      <c r="I824" s="27"/>
      <c r="J824" s="29"/>
      <c r="K824" s="30"/>
      <c r="L824" s="31"/>
      <c r="M824" s="32"/>
      <c r="N824" s="30"/>
      <c r="O824" s="30"/>
      <c r="P824" s="39"/>
      <c r="Q824" s="34"/>
      <c r="R824" s="35"/>
      <c r="S824" s="36"/>
      <c r="T824" s="35"/>
      <c r="U824" s="36"/>
      <c r="V824" s="37"/>
    </row>
    <row r="825" spans="1:22" x14ac:dyDescent="0.25">
      <c r="A825" s="27"/>
      <c r="B825" s="27"/>
      <c r="C825" s="27"/>
      <c r="D825" s="27"/>
      <c r="E825" s="27"/>
      <c r="F825" s="27"/>
      <c r="G825" s="27"/>
      <c r="H825" s="28"/>
      <c r="I825" s="27"/>
      <c r="J825" s="29"/>
      <c r="K825" s="30"/>
      <c r="L825" s="31"/>
      <c r="M825" s="32"/>
      <c r="N825" s="30"/>
      <c r="O825" s="30"/>
      <c r="P825" s="39"/>
      <c r="Q825" s="34"/>
      <c r="R825" s="35"/>
      <c r="S825" s="36"/>
      <c r="T825" s="35"/>
      <c r="U825" s="36"/>
      <c r="V825" s="37"/>
    </row>
    <row r="826" spans="1:22" x14ac:dyDescent="0.25">
      <c r="A826" s="27"/>
      <c r="B826" s="27"/>
      <c r="C826" s="27"/>
      <c r="D826" s="27"/>
      <c r="E826" s="27"/>
      <c r="F826" s="27"/>
      <c r="G826" s="27"/>
      <c r="H826" s="28"/>
      <c r="I826" s="27"/>
      <c r="J826" s="29"/>
      <c r="K826" s="30"/>
      <c r="L826" s="31"/>
      <c r="M826" s="32"/>
      <c r="N826" s="30"/>
      <c r="O826" s="30"/>
      <c r="P826" s="39"/>
      <c r="Q826" s="34"/>
      <c r="R826" s="35"/>
      <c r="S826" s="36"/>
      <c r="T826" s="35"/>
      <c r="U826" s="36"/>
      <c r="V826" s="37"/>
    </row>
    <row r="827" spans="1:22" x14ac:dyDescent="0.25">
      <c r="A827" s="27"/>
      <c r="B827" s="27"/>
      <c r="C827" s="27"/>
      <c r="D827" s="27"/>
      <c r="E827" s="27"/>
      <c r="F827" s="27"/>
      <c r="G827" s="27"/>
      <c r="H827" s="28"/>
      <c r="I827" s="27"/>
      <c r="J827" s="29"/>
      <c r="K827" s="30"/>
      <c r="L827" s="31"/>
      <c r="M827" s="32"/>
      <c r="N827" s="30"/>
      <c r="O827" s="30"/>
      <c r="P827" s="39"/>
      <c r="Q827" s="34"/>
      <c r="R827" s="35"/>
      <c r="S827" s="36"/>
      <c r="T827" s="35"/>
      <c r="U827" s="36"/>
      <c r="V827" s="37"/>
    </row>
    <row r="828" spans="1:22" x14ac:dyDescent="0.25">
      <c r="A828" s="27"/>
      <c r="B828" s="27"/>
      <c r="C828" s="27"/>
      <c r="D828" s="27"/>
      <c r="E828" s="27"/>
      <c r="F828" s="27"/>
      <c r="G828" s="27"/>
      <c r="H828" s="28"/>
      <c r="I828" s="27"/>
      <c r="J828" s="29"/>
      <c r="K828" s="30"/>
      <c r="L828" s="31"/>
      <c r="M828" s="32"/>
      <c r="N828" s="30"/>
      <c r="O828" s="30"/>
      <c r="P828" s="39"/>
      <c r="Q828" s="34"/>
      <c r="R828" s="35"/>
      <c r="S828" s="36"/>
      <c r="T828" s="35"/>
      <c r="U828" s="36"/>
      <c r="V828" s="37"/>
    </row>
    <row r="829" spans="1:22" x14ac:dyDescent="0.25">
      <c r="A829" s="27"/>
      <c r="B829" s="27"/>
      <c r="C829" s="27"/>
      <c r="D829" s="27"/>
      <c r="E829" s="27"/>
      <c r="F829" s="27"/>
      <c r="G829" s="27"/>
      <c r="H829" s="28"/>
      <c r="I829" s="27"/>
      <c r="J829" s="29"/>
      <c r="K829" s="30"/>
      <c r="L829" s="31"/>
      <c r="M829" s="32"/>
      <c r="N829" s="30"/>
      <c r="O829" s="30"/>
      <c r="P829" s="39"/>
      <c r="Q829" s="34"/>
      <c r="R829" s="35"/>
      <c r="S829" s="36"/>
      <c r="T829" s="35"/>
      <c r="U829" s="36"/>
      <c r="V829" s="37"/>
    </row>
    <row r="830" spans="1:22" x14ac:dyDescent="0.25">
      <c r="A830" s="27"/>
      <c r="B830" s="27"/>
      <c r="C830" s="27"/>
      <c r="D830" s="27"/>
      <c r="E830" s="27"/>
      <c r="F830" s="27"/>
      <c r="G830" s="27"/>
      <c r="H830" s="28"/>
      <c r="I830" s="27"/>
      <c r="J830" s="29"/>
      <c r="K830" s="30"/>
      <c r="L830" s="31"/>
      <c r="M830" s="32"/>
      <c r="N830" s="30"/>
      <c r="O830" s="30"/>
      <c r="P830" s="39"/>
      <c r="Q830" s="34"/>
      <c r="R830" s="35"/>
      <c r="S830" s="36"/>
      <c r="T830" s="35"/>
      <c r="U830" s="36"/>
      <c r="V830" s="37"/>
    </row>
    <row r="831" spans="1:22" x14ac:dyDescent="0.25">
      <c r="A831" s="27"/>
      <c r="B831" s="27"/>
      <c r="C831" s="27"/>
      <c r="D831" s="27"/>
      <c r="E831" s="27"/>
      <c r="F831" s="27"/>
      <c r="G831" s="27"/>
      <c r="H831" s="28"/>
      <c r="I831" s="27"/>
      <c r="J831" s="29"/>
      <c r="K831" s="30"/>
      <c r="L831" s="31"/>
      <c r="M831" s="32"/>
      <c r="N831" s="30"/>
      <c r="O831" s="30"/>
      <c r="P831" s="39"/>
      <c r="Q831" s="34"/>
      <c r="R831" s="35"/>
      <c r="S831" s="36"/>
      <c r="T831" s="35"/>
      <c r="U831" s="36"/>
      <c r="V831" s="37"/>
    </row>
    <row r="832" spans="1:22" x14ac:dyDescent="0.25">
      <c r="A832" s="27"/>
      <c r="B832" s="27"/>
      <c r="C832" s="27"/>
      <c r="D832" s="27"/>
      <c r="E832" s="27"/>
      <c r="F832" s="27"/>
      <c r="G832" s="27"/>
      <c r="H832" s="28"/>
      <c r="I832" s="27"/>
      <c r="J832" s="29"/>
      <c r="K832" s="30"/>
      <c r="L832" s="31"/>
      <c r="M832" s="32"/>
      <c r="N832" s="30"/>
      <c r="O832" s="30"/>
      <c r="P832" s="39"/>
      <c r="Q832" s="34"/>
      <c r="R832" s="35"/>
      <c r="S832" s="36"/>
      <c r="T832" s="35"/>
      <c r="U832" s="36"/>
      <c r="V832" s="37"/>
    </row>
    <row r="833" spans="1:22" x14ac:dyDescent="0.25">
      <c r="A833" s="27"/>
      <c r="B833" s="27"/>
      <c r="C833" s="27"/>
      <c r="D833" s="27"/>
      <c r="E833" s="27"/>
      <c r="F833" s="27"/>
      <c r="G833" s="27"/>
      <c r="H833" s="28"/>
      <c r="I833" s="27"/>
      <c r="J833" s="29"/>
      <c r="K833" s="30"/>
      <c r="L833" s="31"/>
      <c r="M833" s="32"/>
      <c r="N833" s="30"/>
      <c r="O833" s="30"/>
      <c r="P833" s="39"/>
      <c r="Q833" s="34"/>
      <c r="R833" s="35"/>
      <c r="S833" s="36"/>
      <c r="T833" s="35"/>
      <c r="U833" s="36"/>
      <c r="V833" s="37"/>
    </row>
    <row r="834" spans="1:22" x14ac:dyDescent="0.25">
      <c r="A834" s="27"/>
      <c r="B834" s="27"/>
      <c r="C834" s="27"/>
      <c r="D834" s="27"/>
      <c r="E834" s="27"/>
      <c r="F834" s="27"/>
      <c r="G834" s="27"/>
      <c r="H834" s="28"/>
      <c r="I834" s="27"/>
      <c r="J834" s="29"/>
      <c r="K834" s="30"/>
      <c r="L834" s="31"/>
      <c r="M834" s="32"/>
      <c r="N834" s="30"/>
      <c r="O834" s="30"/>
      <c r="P834" s="39"/>
      <c r="Q834" s="34"/>
      <c r="R834" s="35"/>
      <c r="S834" s="36"/>
      <c r="T834" s="35"/>
      <c r="U834" s="36"/>
      <c r="V834" s="37"/>
    </row>
    <row r="835" spans="1:22" x14ac:dyDescent="0.25">
      <c r="A835" s="27"/>
      <c r="B835" s="27"/>
      <c r="C835" s="27"/>
      <c r="D835" s="27"/>
      <c r="E835" s="27"/>
      <c r="F835" s="27"/>
      <c r="G835" s="27"/>
      <c r="H835" s="28"/>
      <c r="I835" s="27"/>
      <c r="J835" s="29"/>
      <c r="K835" s="30"/>
      <c r="L835" s="31"/>
      <c r="M835" s="32"/>
      <c r="N835" s="30"/>
      <c r="O835" s="30"/>
      <c r="P835" s="39"/>
      <c r="Q835" s="34"/>
      <c r="R835" s="35"/>
      <c r="S835" s="36"/>
      <c r="T835" s="35"/>
      <c r="U835" s="36"/>
      <c r="V835" s="37"/>
    </row>
    <row r="836" spans="1:22" x14ac:dyDescent="0.25">
      <c r="A836" s="27"/>
      <c r="B836" s="27"/>
      <c r="C836" s="27"/>
      <c r="D836" s="27"/>
      <c r="E836" s="27"/>
      <c r="F836" s="27"/>
      <c r="G836" s="27"/>
      <c r="H836" s="28"/>
      <c r="I836" s="27"/>
      <c r="J836" s="29"/>
      <c r="K836" s="30"/>
      <c r="L836" s="31"/>
      <c r="M836" s="32"/>
      <c r="N836" s="30"/>
      <c r="O836" s="30"/>
      <c r="P836" s="39"/>
      <c r="Q836" s="34"/>
      <c r="R836" s="35"/>
      <c r="S836" s="36"/>
      <c r="T836" s="35"/>
      <c r="U836" s="36"/>
      <c r="V836" s="37"/>
    </row>
    <row r="837" spans="1:22" x14ac:dyDescent="0.25">
      <c r="A837" s="27"/>
      <c r="B837" s="27"/>
      <c r="C837" s="27"/>
      <c r="D837" s="27"/>
      <c r="E837" s="27"/>
      <c r="F837" s="27"/>
      <c r="G837" s="27"/>
      <c r="H837" s="28"/>
      <c r="I837" s="27"/>
      <c r="J837" s="29"/>
      <c r="K837" s="30"/>
      <c r="L837" s="31"/>
      <c r="M837" s="32"/>
      <c r="N837" s="30"/>
      <c r="O837" s="30"/>
      <c r="P837" s="39"/>
      <c r="Q837" s="34"/>
      <c r="R837" s="35"/>
      <c r="S837" s="36"/>
      <c r="T837" s="35"/>
      <c r="U837" s="36"/>
      <c r="V837" s="37"/>
    </row>
    <row r="838" spans="1:22" x14ac:dyDescent="0.25">
      <c r="A838" s="27"/>
      <c r="B838" s="27"/>
      <c r="C838" s="27"/>
      <c r="D838" s="27"/>
      <c r="E838" s="27"/>
      <c r="F838" s="27"/>
      <c r="G838" s="27"/>
      <c r="H838" s="28"/>
      <c r="I838" s="27"/>
      <c r="J838" s="29"/>
      <c r="K838" s="30"/>
      <c r="L838" s="31"/>
      <c r="M838" s="32"/>
      <c r="N838" s="30"/>
      <c r="O838" s="30"/>
      <c r="P838" s="39"/>
      <c r="Q838" s="34"/>
      <c r="R838" s="35"/>
      <c r="S838" s="36"/>
      <c r="T838" s="35"/>
      <c r="U838" s="36"/>
      <c r="V838" s="37"/>
    </row>
    <row r="839" spans="1:22" x14ac:dyDescent="0.25">
      <c r="A839" s="27"/>
      <c r="B839" s="27"/>
      <c r="C839" s="27"/>
      <c r="D839" s="27"/>
      <c r="E839" s="27"/>
      <c r="F839" s="27"/>
      <c r="G839" s="27"/>
      <c r="H839" s="28"/>
      <c r="I839" s="27"/>
      <c r="J839" s="29"/>
      <c r="K839" s="30"/>
      <c r="L839" s="31"/>
      <c r="M839" s="32"/>
      <c r="N839" s="30"/>
      <c r="O839" s="30"/>
      <c r="P839" s="39"/>
      <c r="Q839" s="34"/>
      <c r="R839" s="35"/>
      <c r="S839" s="36"/>
      <c r="T839" s="35"/>
      <c r="U839" s="36"/>
      <c r="V839" s="37"/>
    </row>
    <row r="840" spans="1:22" x14ac:dyDescent="0.25">
      <c r="A840" s="27"/>
      <c r="B840" s="27"/>
      <c r="C840" s="27"/>
      <c r="D840" s="27"/>
      <c r="E840" s="27"/>
      <c r="F840" s="27"/>
      <c r="G840" s="27"/>
      <c r="H840" s="28"/>
      <c r="I840" s="27"/>
      <c r="J840" s="29"/>
      <c r="K840" s="30"/>
      <c r="L840" s="31"/>
      <c r="M840" s="32"/>
      <c r="N840" s="30"/>
      <c r="O840" s="30"/>
      <c r="P840" s="39"/>
      <c r="Q840" s="34"/>
      <c r="R840" s="35"/>
      <c r="S840" s="36"/>
      <c r="T840" s="35"/>
      <c r="U840" s="36"/>
      <c r="V840" s="37"/>
    </row>
    <row r="841" spans="1:22" x14ac:dyDescent="0.25">
      <c r="A841" s="27"/>
      <c r="B841" s="27"/>
      <c r="C841" s="27"/>
      <c r="D841" s="27"/>
      <c r="E841" s="27"/>
      <c r="F841" s="27"/>
      <c r="G841" s="27"/>
      <c r="H841" s="28"/>
      <c r="I841" s="27"/>
      <c r="J841" s="29"/>
      <c r="K841" s="30"/>
      <c r="L841" s="31"/>
      <c r="M841" s="32"/>
      <c r="N841" s="30"/>
      <c r="O841" s="30"/>
      <c r="P841" s="39"/>
      <c r="Q841" s="34"/>
      <c r="R841" s="35"/>
      <c r="S841" s="36"/>
      <c r="T841" s="35"/>
      <c r="U841" s="36"/>
      <c r="V841" s="37"/>
    </row>
    <row r="842" spans="1:22" x14ac:dyDescent="0.25">
      <c r="A842" s="27"/>
      <c r="B842" s="27"/>
      <c r="C842" s="27"/>
      <c r="D842" s="27"/>
      <c r="E842" s="27"/>
      <c r="F842" s="27"/>
      <c r="G842" s="27"/>
      <c r="H842" s="28"/>
      <c r="I842" s="27"/>
      <c r="J842" s="29"/>
      <c r="K842" s="30"/>
      <c r="L842" s="31"/>
      <c r="M842" s="32"/>
      <c r="N842" s="30"/>
      <c r="O842" s="30"/>
      <c r="P842" s="39"/>
      <c r="Q842" s="34"/>
      <c r="R842" s="35"/>
      <c r="S842" s="36"/>
      <c r="T842" s="35"/>
      <c r="U842" s="36"/>
      <c r="V842" s="37"/>
    </row>
    <row r="843" spans="1:22" x14ac:dyDescent="0.25">
      <c r="A843" s="27"/>
      <c r="B843" s="27"/>
      <c r="C843" s="27"/>
      <c r="D843" s="27"/>
      <c r="E843" s="27"/>
      <c r="F843" s="27"/>
      <c r="G843" s="27"/>
      <c r="H843" s="28"/>
      <c r="I843" s="27"/>
      <c r="J843" s="29"/>
      <c r="K843" s="30"/>
      <c r="L843" s="31"/>
      <c r="M843" s="32"/>
      <c r="N843" s="30"/>
      <c r="O843" s="30"/>
      <c r="P843" s="39"/>
      <c r="Q843" s="34"/>
      <c r="R843" s="35"/>
      <c r="S843" s="36"/>
      <c r="T843" s="35"/>
      <c r="U843" s="36"/>
      <c r="V843" s="37"/>
    </row>
    <row r="844" spans="1:22" x14ac:dyDescent="0.25">
      <c r="A844" s="27"/>
      <c r="B844" s="27"/>
      <c r="C844" s="27"/>
      <c r="D844" s="27"/>
      <c r="E844" s="27"/>
      <c r="F844" s="27"/>
      <c r="G844" s="27"/>
      <c r="H844" s="28"/>
      <c r="I844" s="27"/>
      <c r="J844" s="29"/>
      <c r="K844" s="30"/>
      <c r="L844" s="31"/>
      <c r="M844" s="32"/>
      <c r="N844" s="30"/>
      <c r="O844" s="30"/>
      <c r="P844" s="39"/>
      <c r="Q844" s="34"/>
      <c r="R844" s="35"/>
      <c r="S844" s="36"/>
      <c r="T844" s="35"/>
      <c r="U844" s="36"/>
      <c r="V844" s="37"/>
    </row>
    <row r="845" spans="1:22" x14ac:dyDescent="0.25">
      <c r="A845" s="27"/>
      <c r="B845" s="27"/>
      <c r="C845" s="27"/>
      <c r="D845" s="27"/>
      <c r="E845" s="27"/>
      <c r="F845" s="27"/>
      <c r="G845" s="27"/>
      <c r="H845" s="28"/>
      <c r="I845" s="27"/>
      <c r="J845" s="29"/>
      <c r="K845" s="30"/>
      <c r="L845" s="31"/>
      <c r="M845" s="32"/>
      <c r="N845" s="30"/>
      <c r="O845" s="30"/>
      <c r="P845" s="39"/>
      <c r="Q845" s="34"/>
      <c r="R845" s="35"/>
      <c r="S845" s="36"/>
      <c r="T845" s="35"/>
      <c r="U845" s="36"/>
      <c r="V845" s="37"/>
    </row>
    <row r="846" spans="1:22" x14ac:dyDescent="0.25">
      <c r="A846" s="27"/>
      <c r="B846" s="27"/>
      <c r="C846" s="27"/>
      <c r="D846" s="27"/>
      <c r="E846" s="27"/>
      <c r="F846" s="27"/>
      <c r="G846" s="27"/>
      <c r="H846" s="28"/>
      <c r="I846" s="27"/>
      <c r="J846" s="29"/>
      <c r="K846" s="30"/>
      <c r="L846" s="31"/>
      <c r="M846" s="32"/>
      <c r="N846" s="30"/>
      <c r="O846" s="30"/>
      <c r="P846" s="39"/>
      <c r="Q846" s="34"/>
      <c r="R846" s="35"/>
      <c r="S846" s="36"/>
      <c r="T846" s="35"/>
      <c r="U846" s="36"/>
      <c r="V846" s="37"/>
    </row>
    <row r="847" spans="1:22" x14ac:dyDescent="0.25">
      <c r="A847" s="27"/>
      <c r="B847" s="27"/>
      <c r="C847" s="27"/>
      <c r="D847" s="27"/>
      <c r="E847" s="27"/>
      <c r="F847" s="27"/>
      <c r="G847" s="27"/>
      <c r="H847" s="28"/>
      <c r="I847" s="27"/>
      <c r="J847" s="29"/>
      <c r="K847" s="30"/>
      <c r="L847" s="31"/>
      <c r="M847" s="32"/>
      <c r="N847" s="30"/>
      <c r="O847" s="30"/>
      <c r="P847" s="39"/>
      <c r="Q847" s="34"/>
      <c r="R847" s="35"/>
      <c r="S847" s="36"/>
      <c r="T847" s="35"/>
      <c r="U847" s="36"/>
      <c r="V847" s="37"/>
    </row>
    <row r="848" spans="1:22" x14ac:dyDescent="0.25">
      <c r="A848" s="27"/>
      <c r="B848" s="27"/>
      <c r="C848" s="27"/>
      <c r="D848" s="27"/>
      <c r="E848" s="27"/>
      <c r="F848" s="27"/>
      <c r="G848" s="27"/>
      <c r="H848" s="28"/>
      <c r="I848" s="27"/>
      <c r="J848" s="29"/>
      <c r="K848" s="30"/>
      <c r="L848" s="31"/>
      <c r="M848" s="32"/>
      <c r="N848" s="30"/>
      <c r="O848" s="30"/>
      <c r="P848" s="39"/>
      <c r="Q848" s="34"/>
      <c r="R848" s="35"/>
      <c r="S848" s="36"/>
      <c r="T848" s="35"/>
      <c r="U848" s="36"/>
      <c r="V848" s="37"/>
    </row>
    <row r="849" spans="1:22" x14ac:dyDescent="0.25">
      <c r="A849" s="27"/>
      <c r="B849" s="27"/>
      <c r="C849" s="27"/>
      <c r="D849" s="27"/>
      <c r="E849" s="27"/>
      <c r="F849" s="27"/>
      <c r="G849" s="27"/>
      <c r="H849" s="28"/>
      <c r="I849" s="27"/>
      <c r="J849" s="29"/>
      <c r="K849" s="30"/>
      <c r="L849" s="31"/>
      <c r="M849" s="32"/>
      <c r="N849" s="30"/>
      <c r="O849" s="30"/>
      <c r="P849" s="39"/>
      <c r="Q849" s="34"/>
      <c r="R849" s="35"/>
      <c r="S849" s="36"/>
      <c r="T849" s="35"/>
      <c r="U849" s="36"/>
      <c r="V849" s="37"/>
    </row>
    <row r="850" spans="1:22" x14ac:dyDescent="0.25">
      <c r="A850" s="27"/>
      <c r="B850" s="27"/>
      <c r="C850" s="27"/>
      <c r="D850" s="27"/>
      <c r="E850" s="27"/>
      <c r="F850" s="27"/>
      <c r="G850" s="27"/>
      <c r="H850" s="28"/>
      <c r="I850" s="27"/>
      <c r="J850" s="29"/>
      <c r="K850" s="30"/>
      <c r="L850" s="31"/>
      <c r="M850" s="32"/>
      <c r="N850" s="30"/>
      <c r="O850" s="30"/>
      <c r="P850" s="39"/>
      <c r="Q850" s="34"/>
      <c r="R850" s="35"/>
      <c r="S850" s="36"/>
      <c r="T850" s="35"/>
      <c r="U850" s="36"/>
      <c r="V850" s="37"/>
    </row>
    <row r="851" spans="1:22" x14ac:dyDescent="0.25">
      <c r="A851" s="27"/>
      <c r="B851" s="27"/>
      <c r="C851" s="27"/>
      <c r="D851" s="27"/>
      <c r="E851" s="27"/>
      <c r="F851" s="27"/>
      <c r="G851" s="27"/>
      <c r="H851" s="28"/>
      <c r="I851" s="27"/>
      <c r="J851" s="29"/>
      <c r="K851" s="30"/>
      <c r="L851" s="31"/>
      <c r="M851" s="32"/>
      <c r="N851" s="30"/>
      <c r="O851" s="30"/>
      <c r="P851" s="39"/>
      <c r="Q851" s="34"/>
      <c r="R851" s="35"/>
      <c r="S851" s="36"/>
      <c r="T851" s="35"/>
      <c r="U851" s="36"/>
      <c r="V851" s="37"/>
    </row>
    <row r="852" spans="1:22" x14ac:dyDescent="0.25">
      <c r="A852" s="27"/>
      <c r="B852" s="27"/>
      <c r="C852" s="27"/>
      <c r="D852" s="27"/>
      <c r="E852" s="27"/>
      <c r="F852" s="27"/>
      <c r="G852" s="27"/>
      <c r="H852" s="28"/>
      <c r="I852" s="27"/>
      <c r="J852" s="29"/>
      <c r="K852" s="30"/>
      <c r="L852" s="31"/>
      <c r="M852" s="32"/>
      <c r="N852" s="30"/>
      <c r="O852" s="30"/>
      <c r="P852" s="39"/>
      <c r="Q852" s="34"/>
      <c r="R852" s="35"/>
      <c r="S852" s="36"/>
      <c r="T852" s="35"/>
      <c r="U852" s="36"/>
      <c r="V852" s="37"/>
    </row>
    <row r="853" spans="1:22" x14ac:dyDescent="0.25">
      <c r="A853" s="27"/>
      <c r="B853" s="27"/>
      <c r="C853" s="27"/>
      <c r="D853" s="27"/>
      <c r="E853" s="27"/>
      <c r="F853" s="27"/>
      <c r="G853" s="27"/>
      <c r="H853" s="28"/>
      <c r="I853" s="27"/>
      <c r="J853" s="29"/>
      <c r="K853" s="30"/>
      <c r="L853" s="31"/>
      <c r="M853" s="32"/>
      <c r="N853" s="30"/>
      <c r="O853" s="30"/>
      <c r="P853" s="39"/>
      <c r="Q853" s="34"/>
      <c r="R853" s="35"/>
      <c r="S853" s="36"/>
      <c r="T853" s="35"/>
      <c r="U853" s="36"/>
      <c r="V853" s="37"/>
    </row>
    <row r="854" spans="1:22" x14ac:dyDescent="0.25">
      <c r="A854" s="27"/>
      <c r="B854" s="27"/>
      <c r="C854" s="27"/>
      <c r="D854" s="27"/>
      <c r="E854" s="27"/>
      <c r="F854" s="27"/>
      <c r="G854" s="27"/>
      <c r="H854" s="28"/>
      <c r="I854" s="27"/>
      <c r="J854" s="29"/>
      <c r="K854" s="30"/>
      <c r="L854" s="31"/>
      <c r="M854" s="32"/>
      <c r="N854" s="30"/>
      <c r="O854" s="30"/>
      <c r="P854" s="39"/>
      <c r="Q854" s="34"/>
      <c r="R854" s="35"/>
      <c r="S854" s="36"/>
      <c r="T854" s="35"/>
      <c r="U854" s="36"/>
      <c r="V854" s="37"/>
    </row>
    <row r="855" spans="1:22" x14ac:dyDescent="0.25">
      <c r="A855" s="27"/>
      <c r="B855" s="27"/>
      <c r="C855" s="27"/>
      <c r="D855" s="27"/>
      <c r="E855" s="27"/>
      <c r="F855" s="27"/>
      <c r="G855" s="27"/>
      <c r="H855" s="28"/>
      <c r="I855" s="27"/>
      <c r="J855" s="29"/>
      <c r="K855" s="30"/>
      <c r="L855" s="31"/>
      <c r="M855" s="32"/>
      <c r="N855" s="30"/>
      <c r="O855" s="30"/>
      <c r="P855" s="39"/>
      <c r="Q855" s="34"/>
      <c r="R855" s="35"/>
      <c r="S855" s="36"/>
      <c r="T855" s="35"/>
      <c r="U855" s="36"/>
      <c r="V855" s="37"/>
    </row>
    <row r="856" spans="1:22" x14ac:dyDescent="0.25">
      <c r="A856" s="27"/>
      <c r="B856" s="27"/>
      <c r="C856" s="27"/>
      <c r="D856" s="27"/>
      <c r="E856" s="27"/>
      <c r="F856" s="27"/>
      <c r="G856" s="27"/>
      <c r="H856" s="28"/>
      <c r="I856" s="27"/>
      <c r="J856" s="29"/>
      <c r="K856" s="30"/>
      <c r="L856" s="31"/>
      <c r="M856" s="32"/>
      <c r="N856" s="30"/>
      <c r="O856" s="30"/>
      <c r="P856" s="39"/>
      <c r="Q856" s="34"/>
      <c r="R856" s="35"/>
      <c r="S856" s="36"/>
      <c r="T856" s="35"/>
      <c r="U856" s="36"/>
      <c r="V856" s="37"/>
    </row>
    <row r="857" spans="1:22" x14ac:dyDescent="0.25">
      <c r="A857" s="27"/>
      <c r="B857" s="27"/>
      <c r="C857" s="27"/>
      <c r="D857" s="27"/>
      <c r="E857" s="27"/>
      <c r="F857" s="27"/>
      <c r="G857" s="27"/>
      <c r="H857" s="28"/>
      <c r="I857" s="27"/>
      <c r="J857" s="29"/>
      <c r="K857" s="30"/>
      <c r="L857" s="31"/>
      <c r="M857" s="32"/>
      <c r="N857" s="30"/>
      <c r="O857" s="30"/>
      <c r="P857" s="39"/>
      <c r="Q857" s="34"/>
      <c r="R857" s="35"/>
      <c r="S857" s="36"/>
      <c r="T857" s="35"/>
      <c r="U857" s="36"/>
      <c r="V857" s="37"/>
    </row>
    <row r="858" spans="1:22" x14ac:dyDescent="0.25">
      <c r="A858" s="27"/>
      <c r="B858" s="27"/>
      <c r="C858" s="27"/>
      <c r="D858" s="27"/>
      <c r="E858" s="27"/>
      <c r="F858" s="27"/>
      <c r="G858" s="27"/>
      <c r="H858" s="28"/>
      <c r="I858" s="27"/>
      <c r="J858" s="29"/>
      <c r="K858" s="30"/>
      <c r="L858" s="31"/>
      <c r="M858" s="32"/>
      <c r="N858" s="30"/>
      <c r="O858" s="30"/>
      <c r="P858" s="39"/>
      <c r="Q858" s="34"/>
      <c r="R858" s="35"/>
      <c r="S858" s="36"/>
      <c r="T858" s="35"/>
      <c r="U858" s="36"/>
      <c r="V858" s="37"/>
    </row>
    <row r="859" spans="1:22" x14ac:dyDescent="0.25">
      <c r="A859" s="27"/>
      <c r="B859" s="27"/>
      <c r="C859" s="27"/>
      <c r="D859" s="27"/>
      <c r="E859" s="27"/>
      <c r="F859" s="27"/>
      <c r="G859" s="27"/>
      <c r="H859" s="28"/>
      <c r="I859" s="27"/>
      <c r="J859" s="29"/>
      <c r="K859" s="30"/>
      <c r="L859" s="31"/>
      <c r="M859" s="32"/>
      <c r="N859" s="30"/>
      <c r="O859" s="30"/>
      <c r="P859" s="39"/>
      <c r="Q859" s="34"/>
      <c r="R859" s="35"/>
      <c r="S859" s="36"/>
      <c r="T859" s="35"/>
      <c r="U859" s="36"/>
      <c r="V859" s="37"/>
    </row>
    <row r="860" spans="1:22" x14ac:dyDescent="0.25">
      <c r="A860" s="27"/>
      <c r="B860" s="27"/>
      <c r="C860" s="27"/>
      <c r="D860" s="27"/>
      <c r="E860" s="27"/>
      <c r="F860" s="27"/>
      <c r="G860" s="27"/>
      <c r="H860" s="28"/>
      <c r="I860" s="27"/>
      <c r="J860" s="29"/>
      <c r="K860" s="30"/>
      <c r="L860" s="31"/>
      <c r="M860" s="32"/>
      <c r="N860" s="30"/>
      <c r="O860" s="30"/>
      <c r="P860" s="39"/>
      <c r="Q860" s="34"/>
      <c r="R860" s="35"/>
      <c r="S860" s="36"/>
      <c r="T860" s="35"/>
      <c r="U860" s="36"/>
      <c r="V860" s="37"/>
    </row>
    <row r="861" spans="1:22" x14ac:dyDescent="0.25">
      <c r="A861" s="27"/>
      <c r="B861" s="27"/>
      <c r="C861" s="27"/>
      <c r="D861" s="27"/>
      <c r="E861" s="27"/>
      <c r="F861" s="27"/>
      <c r="G861" s="27"/>
      <c r="H861" s="28"/>
      <c r="I861" s="27"/>
      <c r="J861" s="29"/>
      <c r="K861" s="30"/>
      <c r="L861" s="31"/>
      <c r="M861" s="32"/>
      <c r="N861" s="30"/>
      <c r="O861" s="30"/>
      <c r="P861" s="39"/>
      <c r="Q861" s="34"/>
      <c r="R861" s="35"/>
      <c r="S861" s="36"/>
      <c r="T861" s="35"/>
      <c r="U861" s="36"/>
      <c r="V861" s="37"/>
    </row>
    <row r="862" spans="1:22" x14ac:dyDescent="0.25">
      <c r="A862" s="27"/>
      <c r="B862" s="27"/>
      <c r="C862" s="27"/>
      <c r="D862" s="27"/>
      <c r="E862" s="27"/>
      <c r="F862" s="27"/>
      <c r="G862" s="27"/>
      <c r="H862" s="28"/>
      <c r="I862" s="27"/>
      <c r="J862" s="29"/>
      <c r="K862" s="30"/>
      <c r="L862" s="31"/>
      <c r="M862" s="32"/>
      <c r="N862" s="30"/>
      <c r="O862" s="30"/>
      <c r="P862" s="39"/>
      <c r="Q862" s="34"/>
      <c r="R862" s="35"/>
      <c r="S862" s="36"/>
      <c r="T862" s="35"/>
      <c r="U862" s="36"/>
      <c r="V862" s="37"/>
    </row>
    <row r="863" spans="1:22" x14ac:dyDescent="0.25">
      <c r="A863" s="27"/>
      <c r="B863" s="27"/>
      <c r="C863" s="27"/>
      <c r="D863" s="27"/>
      <c r="E863" s="27"/>
      <c r="F863" s="27"/>
      <c r="G863" s="27"/>
      <c r="H863" s="28"/>
      <c r="I863" s="27"/>
      <c r="J863" s="29"/>
      <c r="K863" s="30"/>
      <c r="L863" s="31"/>
      <c r="M863" s="32"/>
      <c r="N863" s="30"/>
      <c r="O863" s="30"/>
      <c r="P863" s="39"/>
      <c r="Q863" s="34"/>
      <c r="R863" s="35"/>
      <c r="S863" s="36"/>
      <c r="T863" s="35"/>
      <c r="U863" s="36"/>
      <c r="V863" s="37"/>
    </row>
    <row r="864" spans="1:22" x14ac:dyDescent="0.25">
      <c r="A864" s="27"/>
      <c r="B864" s="27"/>
      <c r="C864" s="27"/>
      <c r="D864" s="27"/>
      <c r="E864" s="27"/>
      <c r="F864" s="27"/>
      <c r="G864" s="27"/>
      <c r="H864" s="28"/>
      <c r="I864" s="27"/>
      <c r="J864" s="29"/>
      <c r="K864" s="30"/>
      <c r="L864" s="31"/>
      <c r="M864" s="32"/>
      <c r="N864" s="30"/>
      <c r="O864" s="30"/>
      <c r="P864" s="39"/>
      <c r="Q864" s="34"/>
      <c r="R864" s="35"/>
      <c r="S864" s="36"/>
      <c r="T864" s="35"/>
      <c r="U864" s="36"/>
      <c r="V864" s="37"/>
    </row>
    <row r="865" spans="1:22" x14ac:dyDescent="0.25">
      <c r="A865" s="27"/>
      <c r="B865" s="27"/>
      <c r="C865" s="27"/>
      <c r="D865" s="27"/>
      <c r="E865" s="27"/>
      <c r="F865" s="27"/>
      <c r="G865" s="27"/>
      <c r="H865" s="28"/>
      <c r="I865" s="27"/>
      <c r="J865" s="29"/>
      <c r="K865" s="30"/>
      <c r="L865" s="31"/>
      <c r="M865" s="32"/>
      <c r="N865" s="30"/>
      <c r="O865" s="30"/>
      <c r="P865" s="39"/>
      <c r="Q865" s="34"/>
      <c r="R865" s="35"/>
      <c r="S865" s="36"/>
      <c r="T865" s="35"/>
      <c r="U865" s="36"/>
      <c r="V865" s="37"/>
    </row>
    <row r="866" spans="1:22" x14ac:dyDescent="0.25">
      <c r="A866" s="27"/>
      <c r="B866" s="27"/>
      <c r="C866" s="27"/>
      <c r="D866" s="27"/>
      <c r="E866" s="27"/>
      <c r="F866" s="27"/>
      <c r="G866" s="27"/>
      <c r="H866" s="28"/>
      <c r="I866" s="27"/>
      <c r="J866" s="29"/>
      <c r="K866" s="30"/>
      <c r="L866" s="31"/>
      <c r="M866" s="32"/>
      <c r="N866" s="30"/>
      <c r="O866" s="30"/>
      <c r="P866" s="39"/>
      <c r="Q866" s="34"/>
      <c r="R866" s="35"/>
      <c r="S866" s="36"/>
      <c r="T866" s="35"/>
      <c r="U866" s="36"/>
      <c r="V866" s="37"/>
    </row>
    <row r="867" spans="1:22" x14ac:dyDescent="0.25">
      <c r="A867" s="27"/>
      <c r="B867" s="27"/>
      <c r="C867" s="27"/>
      <c r="D867" s="27"/>
      <c r="E867" s="27"/>
      <c r="F867" s="27"/>
      <c r="G867" s="27"/>
      <c r="H867" s="28"/>
      <c r="I867" s="27"/>
      <c r="J867" s="29"/>
      <c r="K867" s="30"/>
      <c r="L867" s="31"/>
      <c r="M867" s="32"/>
      <c r="N867" s="30"/>
      <c r="O867" s="30"/>
      <c r="P867" s="39"/>
      <c r="Q867" s="34"/>
      <c r="R867" s="35"/>
      <c r="S867" s="36"/>
      <c r="T867" s="35"/>
      <c r="U867" s="36"/>
      <c r="V867" s="37"/>
    </row>
    <row r="868" spans="1:22" x14ac:dyDescent="0.25">
      <c r="A868" s="27"/>
      <c r="B868" s="27"/>
      <c r="C868" s="27"/>
      <c r="D868" s="27"/>
      <c r="E868" s="27"/>
      <c r="F868" s="27"/>
      <c r="G868" s="27"/>
      <c r="H868" s="28"/>
      <c r="I868" s="27"/>
      <c r="J868" s="29"/>
      <c r="K868" s="30"/>
      <c r="L868" s="31"/>
      <c r="M868" s="32"/>
      <c r="N868" s="30"/>
      <c r="O868" s="30"/>
      <c r="P868" s="39"/>
      <c r="Q868" s="34"/>
      <c r="R868" s="35"/>
      <c r="S868" s="36"/>
      <c r="T868" s="35"/>
      <c r="U868" s="36"/>
      <c r="V868" s="37"/>
    </row>
    <row r="869" spans="1:22" x14ac:dyDescent="0.25">
      <c r="A869" s="27"/>
      <c r="B869" s="27"/>
      <c r="C869" s="27"/>
      <c r="D869" s="27"/>
      <c r="E869" s="27"/>
      <c r="F869" s="27"/>
      <c r="G869" s="27"/>
      <c r="H869" s="28"/>
      <c r="I869" s="27"/>
      <c r="J869" s="29"/>
      <c r="K869" s="30"/>
      <c r="L869" s="31"/>
      <c r="M869" s="32"/>
      <c r="N869" s="30"/>
      <c r="O869" s="30"/>
      <c r="P869" s="39"/>
      <c r="Q869" s="34"/>
      <c r="R869" s="35"/>
      <c r="S869" s="36"/>
      <c r="T869" s="35"/>
      <c r="U869" s="36"/>
      <c r="V869" s="37"/>
    </row>
    <row r="870" spans="1:22" x14ac:dyDescent="0.25">
      <c r="A870" s="27"/>
      <c r="B870" s="27"/>
      <c r="C870" s="27"/>
      <c r="D870" s="27"/>
      <c r="E870" s="27"/>
      <c r="F870" s="27"/>
      <c r="G870" s="27"/>
      <c r="H870" s="28"/>
      <c r="I870" s="27"/>
      <c r="J870" s="29"/>
      <c r="K870" s="30"/>
      <c r="L870" s="31"/>
      <c r="M870" s="32"/>
      <c r="N870" s="30"/>
      <c r="O870" s="30"/>
      <c r="P870" s="39"/>
      <c r="Q870" s="34"/>
      <c r="R870" s="35"/>
      <c r="S870" s="36"/>
      <c r="T870" s="35"/>
      <c r="U870" s="36"/>
      <c r="V870" s="37"/>
    </row>
    <row r="871" spans="1:22" x14ac:dyDescent="0.25">
      <c r="A871" s="27"/>
      <c r="B871" s="27"/>
      <c r="C871" s="27"/>
      <c r="D871" s="27"/>
      <c r="E871" s="27"/>
      <c r="F871" s="27"/>
      <c r="G871" s="27"/>
      <c r="H871" s="28"/>
      <c r="I871" s="27"/>
      <c r="J871" s="29"/>
      <c r="K871" s="30"/>
      <c r="L871" s="31"/>
      <c r="M871" s="32"/>
      <c r="N871" s="30"/>
      <c r="O871" s="30"/>
      <c r="P871" s="39"/>
      <c r="Q871" s="34"/>
      <c r="R871" s="35"/>
      <c r="S871" s="36"/>
      <c r="T871" s="35"/>
      <c r="U871" s="36"/>
      <c r="V871" s="37"/>
    </row>
    <row r="872" spans="1:22" x14ac:dyDescent="0.25">
      <c r="A872" s="27"/>
      <c r="B872" s="27"/>
      <c r="C872" s="27"/>
      <c r="D872" s="27"/>
      <c r="E872" s="27"/>
      <c r="F872" s="27"/>
      <c r="G872" s="27"/>
      <c r="H872" s="28"/>
      <c r="I872" s="27"/>
      <c r="J872" s="29"/>
      <c r="K872" s="30"/>
      <c r="L872" s="31"/>
      <c r="M872" s="32"/>
      <c r="N872" s="30"/>
      <c r="O872" s="30"/>
      <c r="P872" s="39"/>
      <c r="Q872" s="34"/>
      <c r="R872" s="35"/>
      <c r="S872" s="36"/>
      <c r="T872" s="35"/>
      <c r="U872" s="36"/>
      <c r="V872" s="37"/>
    </row>
    <row r="873" spans="1:22" x14ac:dyDescent="0.25">
      <c r="A873" s="27"/>
      <c r="B873" s="27"/>
      <c r="C873" s="27"/>
      <c r="D873" s="27"/>
      <c r="E873" s="27"/>
      <c r="F873" s="27"/>
      <c r="G873" s="27"/>
      <c r="H873" s="28"/>
      <c r="I873" s="27"/>
      <c r="J873" s="29"/>
      <c r="K873" s="30"/>
      <c r="L873" s="31"/>
      <c r="M873" s="32"/>
      <c r="N873" s="30"/>
      <c r="O873" s="30"/>
      <c r="P873" s="39"/>
      <c r="Q873" s="34"/>
      <c r="R873" s="35"/>
      <c r="S873" s="36"/>
      <c r="T873" s="35"/>
      <c r="U873" s="36"/>
      <c r="V873" s="37"/>
    </row>
    <row r="874" spans="1:22" x14ac:dyDescent="0.25">
      <c r="A874" s="27"/>
      <c r="B874" s="27"/>
      <c r="C874" s="27"/>
      <c r="D874" s="27"/>
      <c r="E874" s="27"/>
      <c r="F874" s="27"/>
      <c r="G874" s="27"/>
      <c r="H874" s="28"/>
      <c r="I874" s="27"/>
      <c r="J874" s="29"/>
      <c r="K874" s="30"/>
      <c r="L874" s="31"/>
      <c r="M874" s="32"/>
      <c r="N874" s="30"/>
      <c r="O874" s="30"/>
      <c r="P874" s="39"/>
      <c r="Q874" s="34"/>
      <c r="R874" s="35"/>
      <c r="S874" s="36"/>
      <c r="T874" s="35"/>
      <c r="U874" s="36"/>
      <c r="V874" s="37"/>
    </row>
    <row r="875" spans="1:22" x14ac:dyDescent="0.25">
      <c r="A875" s="27"/>
      <c r="B875" s="27"/>
      <c r="C875" s="27"/>
      <c r="D875" s="27"/>
      <c r="E875" s="27"/>
      <c r="F875" s="27"/>
      <c r="G875" s="27"/>
      <c r="H875" s="28"/>
      <c r="I875" s="27"/>
      <c r="J875" s="29"/>
      <c r="K875" s="30"/>
      <c r="L875" s="31"/>
      <c r="M875" s="32"/>
      <c r="N875" s="30"/>
      <c r="O875" s="30"/>
      <c r="P875" s="39"/>
      <c r="Q875" s="34"/>
      <c r="R875" s="35"/>
      <c r="S875" s="36"/>
      <c r="T875" s="35"/>
      <c r="U875" s="36"/>
      <c r="V875" s="37"/>
    </row>
    <row r="876" spans="1:22" x14ac:dyDescent="0.25">
      <c r="A876" s="27"/>
      <c r="B876" s="27"/>
      <c r="C876" s="27"/>
      <c r="D876" s="27"/>
      <c r="E876" s="27"/>
      <c r="F876" s="27"/>
      <c r="G876" s="27"/>
      <c r="H876" s="28"/>
      <c r="I876" s="27"/>
      <c r="J876" s="29"/>
      <c r="K876" s="30"/>
      <c r="L876" s="31"/>
      <c r="M876" s="32"/>
      <c r="N876" s="30"/>
      <c r="O876" s="30"/>
      <c r="P876" s="39"/>
      <c r="Q876" s="34"/>
      <c r="R876" s="35"/>
      <c r="S876" s="36"/>
      <c r="T876" s="35"/>
      <c r="U876" s="36"/>
      <c r="V876" s="37"/>
    </row>
    <row r="877" spans="1:22" x14ac:dyDescent="0.25">
      <c r="A877" s="27"/>
      <c r="B877" s="27"/>
      <c r="C877" s="27"/>
      <c r="D877" s="27"/>
      <c r="E877" s="27"/>
      <c r="F877" s="27"/>
      <c r="G877" s="27"/>
      <c r="H877" s="28"/>
      <c r="I877" s="27"/>
      <c r="J877" s="29"/>
      <c r="K877" s="30"/>
      <c r="L877" s="31"/>
      <c r="M877" s="32"/>
      <c r="N877" s="30"/>
      <c r="O877" s="30"/>
      <c r="P877" s="39"/>
      <c r="Q877" s="34"/>
      <c r="R877" s="35"/>
      <c r="S877" s="36"/>
      <c r="T877" s="35"/>
      <c r="U877" s="36"/>
      <c r="V877" s="37"/>
    </row>
    <row r="878" spans="1:22" x14ac:dyDescent="0.25">
      <c r="A878" s="27"/>
      <c r="B878" s="27"/>
      <c r="C878" s="27"/>
      <c r="D878" s="27"/>
      <c r="E878" s="27"/>
      <c r="F878" s="27"/>
      <c r="G878" s="27"/>
      <c r="H878" s="28"/>
      <c r="I878" s="27"/>
      <c r="J878" s="29"/>
      <c r="K878" s="30"/>
      <c r="L878" s="31"/>
      <c r="M878" s="32"/>
      <c r="N878" s="30"/>
      <c r="O878" s="30"/>
      <c r="P878" s="39"/>
      <c r="Q878" s="34"/>
      <c r="R878" s="35"/>
      <c r="S878" s="36"/>
      <c r="T878" s="35"/>
      <c r="U878" s="36"/>
      <c r="V878" s="37"/>
    </row>
    <row r="879" spans="1:22" x14ac:dyDescent="0.25">
      <c r="A879" s="27"/>
      <c r="B879" s="27"/>
      <c r="C879" s="27"/>
      <c r="D879" s="27"/>
      <c r="E879" s="27"/>
      <c r="F879" s="27"/>
      <c r="G879" s="27"/>
      <c r="H879" s="28"/>
      <c r="I879" s="27"/>
      <c r="J879" s="29"/>
      <c r="K879" s="30"/>
      <c r="L879" s="31"/>
      <c r="M879" s="32"/>
      <c r="N879" s="30"/>
      <c r="O879" s="30"/>
      <c r="P879" s="39"/>
      <c r="Q879" s="34"/>
      <c r="R879" s="35"/>
      <c r="S879" s="36"/>
      <c r="T879" s="35"/>
      <c r="U879" s="36"/>
      <c r="V879" s="37"/>
    </row>
    <row r="880" spans="1:22" x14ac:dyDescent="0.25">
      <c r="A880" s="27"/>
      <c r="B880" s="27"/>
      <c r="C880" s="27"/>
      <c r="D880" s="27"/>
      <c r="E880" s="27"/>
      <c r="F880" s="27"/>
      <c r="G880" s="27"/>
      <c r="H880" s="28"/>
      <c r="I880" s="27"/>
      <c r="J880" s="29"/>
      <c r="K880" s="30"/>
      <c r="L880" s="31"/>
      <c r="M880" s="32"/>
      <c r="N880" s="30"/>
      <c r="O880" s="30"/>
      <c r="P880" s="39"/>
      <c r="Q880" s="34"/>
      <c r="R880" s="35"/>
      <c r="S880" s="36"/>
      <c r="T880" s="35"/>
      <c r="U880" s="36"/>
      <c r="V880" s="37"/>
    </row>
    <row r="881" spans="1:22" x14ac:dyDescent="0.25">
      <c r="A881" s="27"/>
      <c r="B881" s="27"/>
      <c r="C881" s="27"/>
      <c r="D881" s="27"/>
      <c r="E881" s="27"/>
      <c r="F881" s="27"/>
      <c r="G881" s="27"/>
      <c r="H881" s="28"/>
      <c r="I881" s="27"/>
      <c r="J881" s="29"/>
      <c r="K881" s="30"/>
      <c r="L881" s="31"/>
      <c r="M881" s="32"/>
      <c r="N881" s="30"/>
      <c r="O881" s="30"/>
      <c r="P881" s="39"/>
      <c r="Q881" s="34"/>
      <c r="R881" s="35"/>
      <c r="S881" s="36"/>
      <c r="T881" s="35"/>
      <c r="U881" s="36"/>
      <c r="V881" s="37"/>
    </row>
    <row r="882" spans="1:22" x14ac:dyDescent="0.25">
      <c r="A882" s="27"/>
      <c r="B882" s="27"/>
      <c r="C882" s="27"/>
      <c r="D882" s="27"/>
      <c r="E882" s="27"/>
      <c r="F882" s="27"/>
      <c r="G882" s="27"/>
      <c r="H882" s="28"/>
      <c r="I882" s="27"/>
      <c r="J882" s="29"/>
      <c r="K882" s="30"/>
      <c r="L882" s="31"/>
      <c r="M882" s="32"/>
      <c r="N882" s="30"/>
      <c r="O882" s="30"/>
      <c r="P882" s="39"/>
      <c r="Q882" s="34"/>
      <c r="R882" s="35"/>
      <c r="S882" s="36"/>
      <c r="T882" s="35"/>
      <c r="U882" s="36"/>
      <c r="V882" s="37"/>
    </row>
    <row r="883" spans="1:22" x14ac:dyDescent="0.25">
      <c r="A883" s="27"/>
      <c r="B883" s="27"/>
      <c r="C883" s="27"/>
      <c r="D883" s="27"/>
      <c r="E883" s="27"/>
      <c r="F883" s="27"/>
      <c r="G883" s="27"/>
      <c r="H883" s="28"/>
      <c r="I883" s="27"/>
      <c r="J883" s="29"/>
      <c r="K883" s="30"/>
      <c r="L883" s="31"/>
      <c r="M883" s="32"/>
      <c r="N883" s="30"/>
      <c r="O883" s="30"/>
      <c r="P883" s="39"/>
      <c r="Q883" s="34"/>
      <c r="R883" s="35"/>
      <c r="S883" s="36"/>
      <c r="T883" s="35"/>
      <c r="U883" s="36"/>
      <c r="V883" s="37"/>
    </row>
    <row r="884" spans="1:22" x14ac:dyDescent="0.25">
      <c r="A884" s="27"/>
      <c r="B884" s="27"/>
      <c r="C884" s="27"/>
      <c r="D884" s="27"/>
      <c r="E884" s="27"/>
      <c r="F884" s="27"/>
      <c r="G884" s="27"/>
      <c r="H884" s="28"/>
      <c r="I884" s="27"/>
      <c r="J884" s="29"/>
      <c r="K884" s="30"/>
      <c r="L884" s="31"/>
      <c r="M884" s="32"/>
      <c r="N884" s="30"/>
      <c r="O884" s="30"/>
      <c r="P884" s="39"/>
      <c r="Q884" s="34"/>
      <c r="R884" s="35"/>
      <c r="S884" s="36"/>
      <c r="T884" s="35"/>
      <c r="U884" s="36"/>
      <c r="V884" s="37"/>
    </row>
    <row r="885" spans="1:22" x14ac:dyDescent="0.25">
      <c r="A885" s="27"/>
      <c r="B885" s="27"/>
      <c r="C885" s="27"/>
      <c r="D885" s="27"/>
      <c r="E885" s="27"/>
      <c r="F885" s="27"/>
      <c r="G885" s="27"/>
      <c r="H885" s="28"/>
      <c r="I885" s="27"/>
      <c r="J885" s="29"/>
      <c r="K885" s="30"/>
      <c r="L885" s="31"/>
      <c r="M885" s="32"/>
      <c r="N885" s="30"/>
      <c r="O885" s="30"/>
      <c r="P885" s="39"/>
      <c r="Q885" s="34"/>
      <c r="R885" s="35"/>
      <c r="S885" s="36"/>
      <c r="T885" s="35"/>
      <c r="U885" s="36"/>
      <c r="V885" s="37"/>
    </row>
    <row r="886" spans="1:22" x14ac:dyDescent="0.25">
      <c r="A886" s="27"/>
      <c r="B886" s="27"/>
      <c r="C886" s="27"/>
      <c r="D886" s="27"/>
      <c r="E886" s="27"/>
      <c r="F886" s="27"/>
      <c r="G886" s="27"/>
      <c r="H886" s="28"/>
      <c r="I886" s="27"/>
      <c r="J886" s="29"/>
      <c r="K886" s="30"/>
      <c r="L886" s="31"/>
      <c r="M886" s="32"/>
      <c r="N886" s="30"/>
      <c r="O886" s="30"/>
      <c r="P886" s="39"/>
      <c r="Q886" s="34"/>
      <c r="R886" s="35"/>
      <c r="S886" s="36"/>
      <c r="T886" s="35"/>
      <c r="U886" s="36"/>
      <c r="V886" s="37"/>
    </row>
    <row r="887" spans="1:22" x14ac:dyDescent="0.25">
      <c r="A887" s="27"/>
      <c r="B887" s="27"/>
      <c r="C887" s="27"/>
      <c r="D887" s="27"/>
      <c r="E887" s="27"/>
      <c r="F887" s="27"/>
      <c r="G887" s="27"/>
      <c r="H887" s="28"/>
      <c r="I887" s="27"/>
      <c r="J887" s="29"/>
      <c r="K887" s="30"/>
      <c r="L887" s="31"/>
      <c r="M887" s="32"/>
      <c r="N887" s="30"/>
      <c r="O887" s="30"/>
      <c r="P887" s="39"/>
      <c r="Q887" s="34"/>
      <c r="R887" s="35"/>
      <c r="S887" s="36"/>
      <c r="T887" s="35"/>
      <c r="U887" s="36"/>
      <c r="V887" s="37"/>
    </row>
    <row r="888" spans="1:22" x14ac:dyDescent="0.25">
      <c r="A888" s="27"/>
      <c r="B888" s="27"/>
      <c r="C888" s="27"/>
      <c r="D888" s="27"/>
      <c r="E888" s="27"/>
      <c r="F888" s="27"/>
      <c r="G888" s="27"/>
      <c r="H888" s="28"/>
      <c r="I888" s="27"/>
      <c r="J888" s="29"/>
      <c r="K888" s="30"/>
      <c r="L888" s="31"/>
      <c r="M888" s="32"/>
      <c r="N888" s="30"/>
      <c r="O888" s="30"/>
      <c r="P888" s="39"/>
      <c r="Q888" s="34"/>
      <c r="R888" s="35"/>
      <c r="S888" s="36"/>
      <c r="T888" s="35"/>
      <c r="U888" s="36"/>
      <c r="V888" s="37"/>
    </row>
    <row r="889" spans="1:22" x14ac:dyDescent="0.25">
      <c r="A889" s="27"/>
      <c r="B889" s="27"/>
      <c r="C889" s="27"/>
      <c r="D889" s="27"/>
      <c r="E889" s="27"/>
      <c r="F889" s="27"/>
      <c r="G889" s="27"/>
      <c r="H889" s="28"/>
      <c r="I889" s="27"/>
      <c r="J889" s="29"/>
      <c r="K889" s="30"/>
      <c r="L889" s="31"/>
      <c r="M889" s="32"/>
      <c r="N889" s="30"/>
      <c r="O889" s="30"/>
      <c r="P889" s="39"/>
      <c r="Q889" s="34"/>
      <c r="R889" s="35"/>
      <c r="S889" s="36"/>
      <c r="T889" s="35"/>
      <c r="U889" s="36"/>
      <c r="V889" s="37"/>
    </row>
    <row r="890" spans="1:22" x14ac:dyDescent="0.25">
      <c r="A890" s="27"/>
      <c r="B890" s="27"/>
      <c r="C890" s="27"/>
      <c r="D890" s="27"/>
      <c r="E890" s="27"/>
      <c r="F890" s="27"/>
      <c r="G890" s="27"/>
      <c r="H890" s="28"/>
      <c r="I890" s="27"/>
      <c r="J890" s="29"/>
      <c r="K890" s="30"/>
      <c r="L890" s="31"/>
      <c r="M890" s="32"/>
      <c r="N890" s="30"/>
      <c r="O890" s="30"/>
      <c r="P890" s="39"/>
      <c r="Q890" s="34"/>
      <c r="R890" s="35"/>
      <c r="S890" s="36"/>
      <c r="T890" s="35"/>
      <c r="U890" s="36"/>
      <c r="V890" s="37"/>
    </row>
    <row r="891" spans="1:22" x14ac:dyDescent="0.25">
      <c r="A891" s="27"/>
      <c r="B891" s="27"/>
      <c r="C891" s="27"/>
      <c r="D891" s="27"/>
      <c r="E891" s="27"/>
      <c r="F891" s="27"/>
      <c r="G891" s="27"/>
      <c r="H891" s="28"/>
      <c r="I891" s="27"/>
      <c r="J891" s="29"/>
      <c r="K891" s="30"/>
      <c r="L891" s="31"/>
      <c r="M891" s="32"/>
      <c r="N891" s="30"/>
      <c r="O891" s="30"/>
      <c r="P891" s="39"/>
      <c r="Q891" s="34"/>
      <c r="R891" s="35"/>
      <c r="S891" s="36"/>
      <c r="T891" s="35"/>
      <c r="U891" s="36"/>
      <c r="V891" s="37"/>
    </row>
    <row r="892" spans="1:22" x14ac:dyDescent="0.25">
      <c r="A892" s="27"/>
      <c r="B892" s="27"/>
      <c r="C892" s="27"/>
      <c r="D892" s="27"/>
      <c r="E892" s="27"/>
      <c r="F892" s="27"/>
      <c r="G892" s="27"/>
      <c r="H892" s="28"/>
      <c r="I892" s="27"/>
      <c r="J892" s="29"/>
      <c r="K892" s="30"/>
      <c r="L892" s="31"/>
      <c r="M892" s="32"/>
      <c r="N892" s="30"/>
      <c r="O892" s="30"/>
      <c r="P892" s="39"/>
      <c r="Q892" s="34"/>
      <c r="R892" s="35"/>
      <c r="S892" s="36"/>
      <c r="T892" s="35"/>
      <c r="U892" s="36"/>
      <c r="V892" s="37"/>
    </row>
    <row r="893" spans="1:22" x14ac:dyDescent="0.25">
      <c r="A893" s="27"/>
      <c r="B893" s="27"/>
      <c r="C893" s="27"/>
      <c r="D893" s="27"/>
      <c r="E893" s="27"/>
      <c r="F893" s="27"/>
      <c r="G893" s="27"/>
      <c r="H893" s="28"/>
      <c r="I893" s="27"/>
      <c r="J893" s="29"/>
      <c r="K893" s="30"/>
      <c r="L893" s="31"/>
      <c r="M893" s="32"/>
      <c r="N893" s="30"/>
      <c r="O893" s="30"/>
      <c r="P893" s="39"/>
      <c r="Q893" s="34"/>
      <c r="R893" s="35"/>
      <c r="S893" s="36"/>
      <c r="T893" s="35"/>
      <c r="U893" s="36"/>
      <c r="V893" s="37"/>
    </row>
    <row r="894" spans="1:22" x14ac:dyDescent="0.25">
      <c r="A894" s="27"/>
      <c r="B894" s="27"/>
      <c r="C894" s="27"/>
      <c r="D894" s="27"/>
      <c r="E894" s="27"/>
      <c r="F894" s="27"/>
      <c r="G894" s="27"/>
      <c r="H894" s="28"/>
      <c r="I894" s="27"/>
      <c r="J894" s="29"/>
      <c r="K894" s="30"/>
      <c r="L894" s="31"/>
      <c r="M894" s="32"/>
      <c r="N894" s="30"/>
      <c r="O894" s="30"/>
      <c r="P894" s="39"/>
      <c r="Q894" s="34"/>
      <c r="R894" s="35"/>
      <c r="S894" s="36"/>
      <c r="T894" s="35"/>
      <c r="U894" s="36"/>
      <c r="V894" s="37"/>
    </row>
    <row r="895" spans="1:22" x14ac:dyDescent="0.25">
      <c r="A895" s="27"/>
      <c r="B895" s="27"/>
      <c r="C895" s="27"/>
      <c r="D895" s="27"/>
      <c r="E895" s="27"/>
      <c r="F895" s="27"/>
      <c r="G895" s="27"/>
      <c r="H895" s="28"/>
      <c r="I895" s="27"/>
      <c r="J895" s="29"/>
      <c r="K895" s="30"/>
      <c r="L895" s="31"/>
      <c r="M895" s="32"/>
      <c r="N895" s="30"/>
      <c r="O895" s="30"/>
      <c r="P895" s="39"/>
      <c r="Q895" s="34"/>
      <c r="R895" s="35"/>
      <c r="S895" s="36"/>
      <c r="T895" s="35"/>
      <c r="U895" s="36"/>
      <c r="V895" s="37"/>
    </row>
    <row r="896" spans="1:22" x14ac:dyDescent="0.25">
      <c r="A896" s="27"/>
      <c r="B896" s="27"/>
      <c r="C896" s="27"/>
      <c r="D896" s="27"/>
      <c r="E896" s="27"/>
      <c r="F896" s="27"/>
      <c r="G896" s="27"/>
      <c r="H896" s="28"/>
      <c r="I896" s="27"/>
      <c r="J896" s="29"/>
      <c r="K896" s="30"/>
      <c r="L896" s="31"/>
      <c r="M896" s="32"/>
      <c r="N896" s="30"/>
      <c r="O896" s="30"/>
      <c r="P896" s="39"/>
      <c r="Q896" s="34"/>
      <c r="R896" s="35"/>
      <c r="S896" s="36"/>
      <c r="T896" s="35"/>
      <c r="U896" s="36"/>
      <c r="V896" s="37"/>
    </row>
    <row r="897" spans="1:22" x14ac:dyDescent="0.25">
      <c r="A897" s="27"/>
      <c r="B897" s="27"/>
      <c r="C897" s="27"/>
      <c r="D897" s="27"/>
      <c r="E897" s="27"/>
      <c r="F897" s="27"/>
      <c r="G897" s="27"/>
      <c r="H897" s="28"/>
      <c r="I897" s="27"/>
      <c r="J897" s="29"/>
      <c r="K897" s="30"/>
      <c r="L897" s="31"/>
      <c r="M897" s="32"/>
      <c r="N897" s="30"/>
      <c r="O897" s="30"/>
      <c r="P897" s="39"/>
      <c r="Q897" s="34"/>
      <c r="R897" s="35"/>
      <c r="S897" s="36"/>
      <c r="T897" s="35"/>
      <c r="U897" s="36"/>
      <c r="V897" s="37"/>
    </row>
    <row r="898" spans="1:22" x14ac:dyDescent="0.25">
      <c r="A898" s="27"/>
      <c r="B898" s="27"/>
      <c r="C898" s="27"/>
      <c r="D898" s="27"/>
      <c r="E898" s="27"/>
      <c r="F898" s="27"/>
      <c r="G898" s="27"/>
      <c r="H898" s="28"/>
      <c r="I898" s="27"/>
      <c r="J898" s="29"/>
      <c r="K898" s="30"/>
      <c r="L898" s="31"/>
      <c r="M898" s="32"/>
      <c r="N898" s="30"/>
      <c r="O898" s="30"/>
      <c r="P898" s="39"/>
      <c r="Q898" s="34"/>
      <c r="R898" s="35"/>
      <c r="S898" s="36"/>
      <c r="T898" s="35"/>
      <c r="U898" s="36"/>
      <c r="V898" s="37"/>
    </row>
    <row r="899" spans="1:22" x14ac:dyDescent="0.25">
      <c r="A899" s="27"/>
      <c r="B899" s="27"/>
      <c r="C899" s="27"/>
      <c r="D899" s="27"/>
      <c r="E899" s="27"/>
      <c r="F899" s="27"/>
      <c r="G899" s="27"/>
      <c r="H899" s="28"/>
      <c r="I899" s="27"/>
      <c r="J899" s="29"/>
      <c r="K899" s="30"/>
      <c r="L899" s="31"/>
      <c r="M899" s="32"/>
      <c r="N899" s="30"/>
      <c r="O899" s="30"/>
      <c r="P899" s="39"/>
      <c r="Q899" s="34"/>
      <c r="R899" s="35"/>
      <c r="S899" s="36"/>
      <c r="T899" s="35"/>
      <c r="U899" s="36"/>
      <c r="V899" s="37"/>
    </row>
    <row r="900" spans="1:22" x14ac:dyDescent="0.25">
      <c r="A900" s="27"/>
      <c r="B900" s="27"/>
      <c r="C900" s="27"/>
      <c r="D900" s="27"/>
      <c r="E900" s="27"/>
      <c r="F900" s="27"/>
      <c r="G900" s="27"/>
      <c r="H900" s="28"/>
      <c r="I900" s="27"/>
      <c r="J900" s="29"/>
      <c r="K900" s="30"/>
      <c r="L900" s="31"/>
      <c r="M900" s="32"/>
      <c r="N900" s="30"/>
      <c r="O900" s="30"/>
      <c r="P900" s="39"/>
      <c r="Q900" s="34"/>
      <c r="R900" s="35"/>
      <c r="S900" s="36"/>
      <c r="T900" s="35"/>
      <c r="U900" s="36"/>
      <c r="V900" s="37"/>
    </row>
    <row r="901" spans="1:22" x14ac:dyDescent="0.25">
      <c r="A901" s="27"/>
      <c r="B901" s="27"/>
      <c r="C901" s="27"/>
      <c r="D901" s="27"/>
      <c r="E901" s="27"/>
      <c r="F901" s="27"/>
      <c r="G901" s="27"/>
      <c r="H901" s="28"/>
      <c r="I901" s="27"/>
      <c r="J901" s="29"/>
      <c r="K901" s="30"/>
      <c r="L901" s="31"/>
      <c r="M901" s="32"/>
      <c r="N901" s="30"/>
      <c r="O901" s="30"/>
      <c r="P901" s="39"/>
      <c r="Q901" s="34"/>
      <c r="R901" s="35"/>
      <c r="S901" s="36"/>
      <c r="T901" s="35"/>
      <c r="U901" s="36"/>
      <c r="V901" s="37"/>
    </row>
    <row r="902" spans="1:22" x14ac:dyDescent="0.25">
      <c r="A902" s="27"/>
      <c r="B902" s="27"/>
      <c r="C902" s="27"/>
      <c r="D902" s="27"/>
      <c r="E902" s="27"/>
      <c r="F902" s="27"/>
      <c r="G902" s="27"/>
      <c r="H902" s="28"/>
      <c r="I902" s="27"/>
      <c r="J902" s="29"/>
      <c r="K902" s="30"/>
      <c r="L902" s="31"/>
      <c r="M902" s="32"/>
      <c r="N902" s="30"/>
      <c r="O902" s="30"/>
      <c r="P902" s="39"/>
      <c r="Q902" s="34"/>
      <c r="R902" s="35"/>
      <c r="S902" s="36"/>
      <c r="T902" s="35"/>
      <c r="U902" s="36"/>
      <c r="V902" s="37"/>
    </row>
    <row r="903" spans="1:22" x14ac:dyDescent="0.25">
      <c r="A903" s="27"/>
      <c r="B903" s="27"/>
      <c r="C903" s="27"/>
      <c r="D903" s="27"/>
      <c r="E903" s="27"/>
      <c r="F903" s="27"/>
      <c r="G903" s="27"/>
      <c r="H903" s="28"/>
      <c r="I903" s="27"/>
      <c r="J903" s="29"/>
      <c r="K903" s="30"/>
      <c r="L903" s="31"/>
      <c r="M903" s="32"/>
      <c r="N903" s="30"/>
      <c r="O903" s="30"/>
      <c r="P903" s="39"/>
      <c r="Q903" s="34"/>
      <c r="R903" s="35"/>
      <c r="S903" s="36"/>
      <c r="T903" s="35"/>
      <c r="U903" s="36"/>
      <c r="V903" s="37"/>
    </row>
    <row r="904" spans="1:22" x14ac:dyDescent="0.25">
      <c r="A904" s="27"/>
      <c r="B904" s="27"/>
      <c r="C904" s="27"/>
      <c r="D904" s="27"/>
      <c r="E904" s="27"/>
      <c r="F904" s="27"/>
      <c r="G904" s="27"/>
      <c r="H904" s="28"/>
      <c r="I904" s="27"/>
      <c r="J904" s="29"/>
      <c r="K904" s="30"/>
      <c r="L904" s="31"/>
      <c r="M904" s="32"/>
      <c r="N904" s="30"/>
      <c r="O904" s="30"/>
      <c r="P904" s="39"/>
      <c r="Q904" s="34"/>
      <c r="R904" s="35"/>
      <c r="S904" s="36"/>
      <c r="T904" s="35"/>
      <c r="U904" s="36"/>
      <c r="V904" s="37"/>
    </row>
    <row r="905" spans="1:22" x14ac:dyDescent="0.25">
      <c r="A905" s="27"/>
      <c r="B905" s="27"/>
      <c r="C905" s="27"/>
      <c r="D905" s="27"/>
      <c r="E905" s="27"/>
      <c r="F905" s="27"/>
      <c r="G905" s="27"/>
      <c r="H905" s="28"/>
      <c r="I905" s="27"/>
      <c r="J905" s="29"/>
      <c r="K905" s="30"/>
      <c r="L905" s="31"/>
      <c r="M905" s="32"/>
      <c r="N905" s="30"/>
      <c r="O905" s="30"/>
      <c r="P905" s="39"/>
      <c r="Q905" s="34"/>
      <c r="R905" s="35"/>
      <c r="S905" s="36"/>
      <c r="T905" s="35"/>
      <c r="U905" s="36"/>
      <c r="V905" s="37"/>
    </row>
    <row r="906" spans="1:22" x14ac:dyDescent="0.25">
      <c r="A906" s="27"/>
      <c r="B906" s="27"/>
      <c r="C906" s="27"/>
      <c r="D906" s="27"/>
      <c r="E906" s="27"/>
      <c r="F906" s="27"/>
      <c r="G906" s="27"/>
      <c r="H906" s="28"/>
      <c r="I906" s="27"/>
      <c r="J906" s="29"/>
      <c r="K906" s="30"/>
      <c r="L906" s="31"/>
      <c r="M906" s="32"/>
      <c r="N906" s="30"/>
      <c r="O906" s="30"/>
      <c r="P906" s="39"/>
      <c r="Q906" s="34"/>
      <c r="R906" s="35"/>
      <c r="S906" s="36"/>
      <c r="T906" s="35"/>
      <c r="U906" s="36"/>
      <c r="V906" s="37"/>
    </row>
    <row r="907" spans="1:22" x14ac:dyDescent="0.25">
      <c r="A907" s="27"/>
      <c r="B907" s="27"/>
      <c r="C907" s="27"/>
      <c r="D907" s="27"/>
      <c r="E907" s="27"/>
      <c r="F907" s="27"/>
      <c r="G907" s="27"/>
      <c r="H907" s="28"/>
      <c r="I907" s="27"/>
      <c r="J907" s="29"/>
      <c r="K907" s="30"/>
      <c r="L907" s="31"/>
      <c r="M907" s="32"/>
      <c r="N907" s="30"/>
      <c r="O907" s="30"/>
      <c r="P907" s="39"/>
      <c r="Q907" s="34"/>
      <c r="R907" s="35"/>
      <c r="S907" s="36"/>
      <c r="T907" s="35"/>
      <c r="U907" s="36"/>
      <c r="V907" s="37"/>
    </row>
    <row r="908" spans="1:22" x14ac:dyDescent="0.25">
      <c r="A908" s="27"/>
      <c r="B908" s="27"/>
      <c r="C908" s="27"/>
      <c r="D908" s="27"/>
      <c r="E908" s="27"/>
      <c r="F908" s="27"/>
      <c r="G908" s="27"/>
      <c r="H908" s="28"/>
      <c r="I908" s="27"/>
      <c r="J908" s="29"/>
      <c r="K908" s="30"/>
      <c r="L908" s="31"/>
      <c r="M908" s="32"/>
      <c r="N908" s="30"/>
      <c r="O908" s="30"/>
      <c r="P908" s="39"/>
      <c r="Q908" s="34"/>
      <c r="R908" s="35"/>
      <c r="S908" s="36"/>
      <c r="T908" s="35"/>
      <c r="U908" s="36"/>
      <c r="V908" s="37"/>
    </row>
    <row r="909" spans="1:22" x14ac:dyDescent="0.25">
      <c r="A909" s="27"/>
      <c r="B909" s="27"/>
      <c r="C909" s="27"/>
      <c r="D909" s="27"/>
      <c r="E909" s="27"/>
      <c r="F909" s="27"/>
      <c r="G909" s="27"/>
      <c r="H909" s="28"/>
      <c r="I909" s="27"/>
      <c r="J909" s="29"/>
      <c r="K909" s="30"/>
      <c r="L909" s="31"/>
      <c r="M909" s="32"/>
      <c r="N909" s="30"/>
      <c r="O909" s="30"/>
      <c r="P909" s="39"/>
      <c r="Q909" s="34"/>
      <c r="R909" s="35"/>
      <c r="S909" s="36"/>
      <c r="T909" s="35"/>
      <c r="U909" s="36"/>
      <c r="V909" s="37"/>
    </row>
    <row r="910" spans="1:22" x14ac:dyDescent="0.25">
      <c r="A910" s="27"/>
      <c r="B910" s="27"/>
      <c r="C910" s="27"/>
      <c r="D910" s="27"/>
      <c r="E910" s="27"/>
      <c r="F910" s="27"/>
      <c r="G910" s="27"/>
      <c r="H910" s="28"/>
      <c r="I910" s="27"/>
      <c r="J910" s="29"/>
      <c r="K910" s="30"/>
      <c r="L910" s="31"/>
      <c r="M910" s="32"/>
      <c r="N910" s="30"/>
      <c r="O910" s="30"/>
      <c r="P910" s="39"/>
      <c r="Q910" s="34"/>
      <c r="R910" s="35"/>
      <c r="S910" s="36"/>
      <c r="T910" s="35"/>
      <c r="U910" s="36"/>
      <c r="V910" s="37"/>
    </row>
    <row r="911" spans="1:22" x14ac:dyDescent="0.25">
      <c r="A911" s="27"/>
      <c r="B911" s="27"/>
      <c r="C911" s="27"/>
      <c r="D911" s="27"/>
      <c r="E911" s="27"/>
      <c r="F911" s="27"/>
      <c r="G911" s="27"/>
      <c r="H911" s="28"/>
      <c r="I911" s="27"/>
      <c r="J911" s="29"/>
      <c r="K911" s="30"/>
      <c r="L911" s="31"/>
      <c r="M911" s="32"/>
      <c r="N911" s="30"/>
      <c r="O911" s="30"/>
      <c r="P911" s="39"/>
      <c r="Q911" s="34"/>
      <c r="R911" s="35"/>
      <c r="S911" s="36"/>
      <c r="T911" s="35"/>
      <c r="U911" s="36"/>
      <c r="V911" s="37"/>
    </row>
    <row r="912" spans="1:22" x14ac:dyDescent="0.25">
      <c r="A912" s="27"/>
      <c r="B912" s="27"/>
      <c r="C912" s="27"/>
      <c r="D912" s="27"/>
      <c r="E912" s="27"/>
      <c r="F912" s="27"/>
      <c r="G912" s="27"/>
      <c r="H912" s="28"/>
      <c r="I912" s="27"/>
      <c r="J912" s="29"/>
      <c r="K912" s="30"/>
      <c r="L912" s="31"/>
      <c r="M912" s="32"/>
      <c r="N912" s="30"/>
      <c r="O912" s="30"/>
      <c r="P912" s="39"/>
      <c r="Q912" s="34"/>
      <c r="R912" s="35"/>
      <c r="S912" s="36"/>
      <c r="T912" s="35"/>
      <c r="U912" s="36"/>
      <c r="V912" s="37"/>
    </row>
    <row r="913" spans="1:22" x14ac:dyDescent="0.25">
      <c r="A913" s="27"/>
      <c r="B913" s="27"/>
      <c r="C913" s="27"/>
      <c r="D913" s="27"/>
      <c r="E913" s="27"/>
      <c r="F913" s="27"/>
      <c r="G913" s="27"/>
      <c r="H913" s="28"/>
      <c r="I913" s="27"/>
      <c r="J913" s="29"/>
      <c r="K913" s="30"/>
      <c r="L913" s="31"/>
      <c r="M913" s="32"/>
      <c r="N913" s="30"/>
      <c r="O913" s="30"/>
      <c r="P913" s="39"/>
      <c r="Q913" s="34"/>
      <c r="R913" s="35"/>
      <c r="S913" s="36"/>
      <c r="T913" s="35"/>
      <c r="U913" s="36"/>
      <c r="V913" s="37"/>
    </row>
    <row r="914" spans="1:22" x14ac:dyDescent="0.25">
      <c r="A914" s="27"/>
      <c r="B914" s="27"/>
      <c r="C914" s="27"/>
      <c r="D914" s="27"/>
      <c r="E914" s="27"/>
      <c r="F914" s="27"/>
      <c r="G914" s="27"/>
      <c r="H914" s="28"/>
      <c r="I914" s="27"/>
      <c r="J914" s="29"/>
      <c r="K914" s="30"/>
      <c r="L914" s="31"/>
      <c r="M914" s="32"/>
      <c r="N914" s="30"/>
      <c r="O914" s="30"/>
      <c r="P914" s="39"/>
      <c r="Q914" s="34"/>
      <c r="R914" s="35"/>
      <c r="S914" s="36"/>
      <c r="T914" s="35"/>
      <c r="U914" s="36"/>
      <c r="V914" s="37"/>
    </row>
    <row r="915" spans="1:22" x14ac:dyDescent="0.25">
      <c r="A915" s="27"/>
      <c r="B915" s="27"/>
      <c r="C915" s="27"/>
      <c r="D915" s="27"/>
      <c r="E915" s="27"/>
      <c r="F915" s="27"/>
      <c r="G915" s="27"/>
      <c r="H915" s="28"/>
      <c r="I915" s="27"/>
      <c r="J915" s="29"/>
      <c r="K915" s="30"/>
      <c r="L915" s="31"/>
      <c r="M915" s="32"/>
      <c r="N915" s="30"/>
      <c r="O915" s="30"/>
      <c r="P915" s="39"/>
      <c r="Q915" s="34"/>
      <c r="R915" s="35"/>
      <c r="S915" s="36"/>
      <c r="T915" s="35"/>
      <c r="U915" s="36"/>
      <c r="V915" s="37"/>
    </row>
    <row r="916" spans="1:22" x14ac:dyDescent="0.25">
      <c r="A916" s="27"/>
      <c r="B916" s="27"/>
      <c r="C916" s="27"/>
      <c r="D916" s="27"/>
      <c r="E916" s="27"/>
      <c r="F916" s="27"/>
      <c r="G916" s="27"/>
      <c r="H916" s="28"/>
      <c r="I916" s="27"/>
      <c r="J916" s="29"/>
      <c r="K916" s="30"/>
      <c r="L916" s="31"/>
      <c r="M916" s="32"/>
      <c r="N916" s="30"/>
      <c r="O916" s="30"/>
      <c r="P916" s="39"/>
      <c r="Q916" s="34"/>
      <c r="R916" s="35"/>
      <c r="S916" s="36"/>
      <c r="T916" s="35"/>
      <c r="U916" s="36"/>
      <c r="V916" s="37"/>
    </row>
    <row r="917" spans="1:22" x14ac:dyDescent="0.25">
      <c r="A917" s="27"/>
      <c r="B917" s="27"/>
      <c r="C917" s="27"/>
      <c r="D917" s="27"/>
      <c r="E917" s="27"/>
      <c r="F917" s="27"/>
      <c r="G917" s="27"/>
      <c r="H917" s="28"/>
      <c r="I917" s="27"/>
      <c r="J917" s="29"/>
      <c r="K917" s="30"/>
      <c r="L917" s="31"/>
      <c r="M917" s="32"/>
      <c r="N917" s="30"/>
      <c r="O917" s="30"/>
      <c r="P917" s="39"/>
      <c r="Q917" s="34"/>
      <c r="R917" s="35"/>
      <c r="S917" s="36"/>
      <c r="T917" s="35"/>
      <c r="U917" s="36"/>
      <c r="V917" s="37"/>
    </row>
    <row r="918" spans="1:22" x14ac:dyDescent="0.25">
      <c r="A918" s="27"/>
      <c r="B918" s="27"/>
      <c r="C918" s="27"/>
      <c r="D918" s="27"/>
      <c r="E918" s="27"/>
      <c r="F918" s="27"/>
      <c r="G918" s="27"/>
      <c r="H918" s="28"/>
      <c r="I918" s="27"/>
      <c r="J918" s="29"/>
      <c r="K918" s="30"/>
      <c r="L918" s="31"/>
      <c r="M918" s="32"/>
      <c r="N918" s="30"/>
      <c r="O918" s="30"/>
      <c r="P918" s="39"/>
      <c r="Q918" s="34"/>
      <c r="R918" s="35"/>
      <c r="S918" s="36"/>
      <c r="T918" s="35"/>
      <c r="U918" s="36"/>
      <c r="V918" s="37"/>
    </row>
    <row r="919" spans="1:22" x14ac:dyDescent="0.25">
      <c r="A919" s="27"/>
      <c r="B919" s="27"/>
      <c r="C919" s="27"/>
      <c r="D919" s="27"/>
      <c r="E919" s="27"/>
      <c r="F919" s="27"/>
      <c r="G919" s="27"/>
      <c r="H919" s="28"/>
      <c r="I919" s="27"/>
      <c r="J919" s="29"/>
      <c r="K919" s="30"/>
      <c r="L919" s="31"/>
      <c r="M919" s="32"/>
      <c r="N919" s="30"/>
      <c r="O919" s="30"/>
      <c r="P919" s="39"/>
      <c r="Q919" s="34"/>
      <c r="R919" s="35"/>
      <c r="S919" s="36"/>
      <c r="T919" s="35"/>
      <c r="U919" s="36"/>
      <c r="V919" s="37"/>
    </row>
    <row r="920" spans="1:22" x14ac:dyDescent="0.25">
      <c r="A920" s="27"/>
      <c r="B920" s="27"/>
      <c r="C920" s="27"/>
      <c r="D920" s="27"/>
      <c r="E920" s="27"/>
      <c r="F920" s="27"/>
      <c r="G920" s="27"/>
      <c r="H920" s="28"/>
      <c r="I920" s="27"/>
      <c r="J920" s="29"/>
      <c r="K920" s="30"/>
      <c r="L920" s="31"/>
      <c r="M920" s="32"/>
      <c r="N920" s="30"/>
      <c r="O920" s="30"/>
      <c r="P920" s="39"/>
      <c r="Q920" s="34"/>
      <c r="R920" s="35"/>
      <c r="S920" s="36"/>
      <c r="T920" s="35"/>
      <c r="U920" s="36"/>
      <c r="V920" s="37"/>
    </row>
    <row r="921" spans="1:22" x14ac:dyDescent="0.25">
      <c r="A921" s="27"/>
      <c r="B921" s="27"/>
      <c r="C921" s="27"/>
      <c r="D921" s="27"/>
      <c r="E921" s="27"/>
      <c r="F921" s="27"/>
      <c r="G921" s="27"/>
      <c r="H921" s="28"/>
      <c r="I921" s="27"/>
      <c r="J921" s="29"/>
      <c r="K921" s="30"/>
      <c r="L921" s="31"/>
      <c r="M921" s="32"/>
      <c r="N921" s="30"/>
      <c r="O921" s="30"/>
      <c r="P921" s="39"/>
      <c r="Q921" s="34"/>
      <c r="R921" s="35"/>
      <c r="S921" s="36"/>
      <c r="T921" s="35"/>
      <c r="U921" s="36"/>
      <c r="V921" s="37"/>
    </row>
    <row r="922" spans="1:22" x14ac:dyDescent="0.25">
      <c r="A922" s="27"/>
      <c r="B922" s="27"/>
      <c r="C922" s="27"/>
      <c r="D922" s="27"/>
      <c r="E922" s="27"/>
      <c r="F922" s="27"/>
      <c r="G922" s="27"/>
      <c r="H922" s="28"/>
      <c r="I922" s="27"/>
      <c r="J922" s="29"/>
      <c r="K922" s="30"/>
      <c r="L922" s="31"/>
      <c r="M922" s="32"/>
      <c r="N922" s="30"/>
      <c r="O922" s="30"/>
      <c r="P922" s="39"/>
      <c r="Q922" s="34"/>
      <c r="R922" s="35"/>
      <c r="S922" s="36"/>
      <c r="T922" s="35"/>
      <c r="U922" s="36"/>
      <c r="V922" s="37"/>
    </row>
    <row r="923" spans="1:22" x14ac:dyDescent="0.25">
      <c r="A923" s="27"/>
      <c r="B923" s="27"/>
      <c r="C923" s="27"/>
      <c r="D923" s="27"/>
      <c r="E923" s="27"/>
      <c r="F923" s="27"/>
      <c r="G923" s="27"/>
      <c r="H923" s="28"/>
      <c r="I923" s="27"/>
      <c r="J923" s="29"/>
      <c r="K923" s="30"/>
      <c r="L923" s="31"/>
      <c r="M923" s="32"/>
      <c r="N923" s="30"/>
      <c r="O923" s="30"/>
      <c r="P923" s="39"/>
      <c r="Q923" s="34"/>
      <c r="R923" s="35"/>
      <c r="S923" s="36"/>
      <c r="T923" s="35"/>
      <c r="U923" s="36"/>
      <c r="V923" s="37"/>
    </row>
    <row r="924" spans="1:22" x14ac:dyDescent="0.25">
      <c r="A924" s="27"/>
      <c r="B924" s="27"/>
      <c r="C924" s="27"/>
      <c r="D924" s="27"/>
      <c r="E924" s="27"/>
      <c r="F924" s="27"/>
      <c r="G924" s="27"/>
      <c r="H924" s="28"/>
      <c r="I924" s="27"/>
      <c r="J924" s="29"/>
      <c r="K924" s="30"/>
      <c r="L924" s="31"/>
      <c r="M924" s="32"/>
      <c r="N924" s="30"/>
      <c r="O924" s="30"/>
      <c r="P924" s="39"/>
      <c r="Q924" s="34"/>
      <c r="R924" s="35"/>
      <c r="S924" s="36"/>
      <c r="T924" s="35"/>
      <c r="U924" s="36"/>
      <c r="V924" s="37"/>
    </row>
    <row r="925" spans="1:22" x14ac:dyDescent="0.25">
      <c r="A925" s="27"/>
      <c r="B925" s="27"/>
      <c r="C925" s="27"/>
      <c r="D925" s="27"/>
      <c r="E925" s="27"/>
      <c r="F925" s="27"/>
      <c r="G925" s="27"/>
      <c r="H925" s="28"/>
      <c r="I925" s="27"/>
      <c r="J925" s="29"/>
      <c r="K925" s="30"/>
      <c r="L925" s="31"/>
      <c r="M925" s="32"/>
      <c r="N925" s="30"/>
      <c r="O925" s="30"/>
      <c r="P925" s="39"/>
      <c r="Q925" s="34"/>
      <c r="R925" s="35"/>
      <c r="S925" s="36"/>
      <c r="T925" s="35"/>
      <c r="U925" s="36"/>
      <c r="V925" s="37"/>
    </row>
    <row r="926" spans="1:22" x14ac:dyDescent="0.25">
      <c r="A926" s="27"/>
      <c r="B926" s="27"/>
      <c r="C926" s="27"/>
      <c r="D926" s="27"/>
      <c r="E926" s="27"/>
      <c r="F926" s="27"/>
      <c r="G926" s="27"/>
      <c r="H926" s="28"/>
      <c r="I926" s="27"/>
      <c r="J926" s="29"/>
      <c r="K926" s="30"/>
      <c r="L926" s="31"/>
      <c r="M926" s="32"/>
      <c r="N926" s="30"/>
      <c r="O926" s="30"/>
      <c r="P926" s="39"/>
      <c r="Q926" s="34"/>
      <c r="R926" s="35"/>
      <c r="S926" s="36"/>
      <c r="T926" s="35"/>
      <c r="U926" s="36"/>
      <c r="V926" s="37"/>
    </row>
    <row r="927" spans="1:22" x14ac:dyDescent="0.25">
      <c r="A927" s="27"/>
      <c r="B927" s="27"/>
      <c r="C927" s="27"/>
      <c r="D927" s="27"/>
      <c r="E927" s="27"/>
      <c r="F927" s="27"/>
      <c r="G927" s="27"/>
      <c r="H927" s="28"/>
      <c r="I927" s="27"/>
      <c r="J927" s="29"/>
      <c r="K927" s="30"/>
      <c r="L927" s="31"/>
      <c r="M927" s="32"/>
      <c r="N927" s="30"/>
      <c r="O927" s="30"/>
      <c r="P927" s="39"/>
      <c r="Q927" s="34"/>
      <c r="R927" s="35"/>
      <c r="S927" s="36"/>
      <c r="T927" s="35"/>
      <c r="U927" s="36"/>
      <c r="V927" s="37"/>
    </row>
    <row r="928" spans="1:22" x14ac:dyDescent="0.25">
      <c r="A928" s="27"/>
      <c r="B928" s="27"/>
      <c r="C928" s="27"/>
      <c r="D928" s="27"/>
      <c r="E928" s="27"/>
      <c r="F928" s="27"/>
      <c r="G928" s="27"/>
      <c r="H928" s="28"/>
      <c r="I928" s="27"/>
      <c r="J928" s="29"/>
      <c r="K928" s="30"/>
      <c r="L928" s="31"/>
      <c r="M928" s="32"/>
      <c r="N928" s="30"/>
      <c r="O928" s="30"/>
      <c r="P928" s="39"/>
      <c r="Q928" s="34"/>
      <c r="R928" s="35"/>
      <c r="S928" s="36"/>
      <c r="T928" s="35"/>
      <c r="U928" s="36"/>
      <c r="V928" s="37"/>
    </row>
    <row r="929" spans="1:22" x14ac:dyDescent="0.25">
      <c r="A929" s="27"/>
      <c r="B929" s="27"/>
      <c r="C929" s="27"/>
      <c r="D929" s="27"/>
      <c r="E929" s="27"/>
      <c r="F929" s="27"/>
      <c r="G929" s="27"/>
      <c r="H929" s="28"/>
      <c r="I929" s="27"/>
      <c r="J929" s="29"/>
      <c r="K929" s="30"/>
      <c r="L929" s="31"/>
      <c r="M929" s="32"/>
      <c r="N929" s="30"/>
      <c r="O929" s="30"/>
      <c r="P929" s="39"/>
      <c r="Q929" s="34"/>
      <c r="R929" s="35"/>
      <c r="S929" s="36"/>
      <c r="T929" s="35"/>
      <c r="U929" s="36"/>
      <c r="V929" s="37"/>
    </row>
    <row r="930" spans="1:22" x14ac:dyDescent="0.25">
      <c r="A930" s="27"/>
      <c r="B930" s="27"/>
      <c r="C930" s="27"/>
      <c r="D930" s="27"/>
      <c r="E930" s="27"/>
      <c r="F930" s="27"/>
      <c r="G930" s="27"/>
      <c r="H930" s="28"/>
      <c r="I930" s="27"/>
      <c r="J930" s="29"/>
      <c r="K930" s="30"/>
      <c r="L930" s="31"/>
      <c r="M930" s="32"/>
      <c r="N930" s="30"/>
      <c r="O930" s="30"/>
      <c r="P930" s="39"/>
      <c r="Q930" s="34"/>
      <c r="R930" s="35"/>
      <c r="S930" s="36"/>
      <c r="T930" s="35"/>
      <c r="U930" s="36"/>
      <c r="V930" s="37"/>
    </row>
    <row r="931" spans="1:22" x14ac:dyDescent="0.25">
      <c r="A931" s="27"/>
      <c r="B931" s="27"/>
      <c r="C931" s="27"/>
      <c r="D931" s="27"/>
      <c r="E931" s="27"/>
      <c r="F931" s="27"/>
      <c r="G931" s="27"/>
      <c r="H931" s="28"/>
      <c r="I931" s="27"/>
      <c r="J931" s="29"/>
      <c r="K931" s="30"/>
      <c r="L931" s="31"/>
      <c r="M931" s="32"/>
      <c r="N931" s="30"/>
      <c r="O931" s="30"/>
      <c r="P931" s="39"/>
      <c r="Q931" s="34"/>
      <c r="R931" s="35"/>
      <c r="S931" s="36"/>
      <c r="T931" s="35"/>
      <c r="U931" s="36"/>
      <c r="V931" s="37"/>
    </row>
    <row r="932" spans="1:22" x14ac:dyDescent="0.25">
      <c r="A932" s="27"/>
      <c r="B932" s="27"/>
      <c r="C932" s="27"/>
      <c r="D932" s="27"/>
      <c r="E932" s="27"/>
      <c r="F932" s="27"/>
      <c r="G932" s="27"/>
      <c r="H932" s="28"/>
      <c r="I932" s="27"/>
      <c r="J932" s="29"/>
      <c r="K932" s="30"/>
      <c r="L932" s="31"/>
      <c r="M932" s="32"/>
      <c r="N932" s="30"/>
      <c r="O932" s="30"/>
      <c r="P932" s="39"/>
      <c r="Q932" s="34"/>
      <c r="R932" s="35"/>
      <c r="S932" s="36"/>
      <c r="T932" s="35"/>
      <c r="U932" s="36"/>
      <c r="V932" s="37"/>
    </row>
    <row r="933" spans="1:22" x14ac:dyDescent="0.25">
      <c r="A933" s="27"/>
      <c r="B933" s="27"/>
      <c r="C933" s="27"/>
      <c r="D933" s="27"/>
      <c r="E933" s="27"/>
      <c r="F933" s="27"/>
      <c r="G933" s="27"/>
      <c r="H933" s="28"/>
      <c r="I933" s="27"/>
      <c r="J933" s="29"/>
      <c r="K933" s="30"/>
      <c r="L933" s="31"/>
      <c r="M933" s="32"/>
      <c r="N933" s="30"/>
      <c r="O933" s="30"/>
      <c r="P933" s="39"/>
      <c r="Q933" s="34"/>
      <c r="R933" s="35"/>
      <c r="S933" s="36"/>
      <c r="T933" s="35"/>
      <c r="U933" s="36"/>
      <c r="V933" s="37"/>
    </row>
    <row r="934" spans="1:22" x14ac:dyDescent="0.25">
      <c r="A934" s="27"/>
      <c r="B934" s="27"/>
      <c r="C934" s="27"/>
      <c r="D934" s="27"/>
      <c r="E934" s="27"/>
      <c r="F934" s="27"/>
      <c r="G934" s="27"/>
      <c r="H934" s="28"/>
      <c r="I934" s="27"/>
      <c r="J934" s="29"/>
      <c r="K934" s="30"/>
      <c r="L934" s="31"/>
      <c r="M934" s="32"/>
      <c r="N934" s="30"/>
      <c r="O934" s="30"/>
      <c r="P934" s="39"/>
      <c r="Q934" s="34"/>
      <c r="R934" s="35"/>
      <c r="S934" s="36"/>
      <c r="T934" s="35"/>
      <c r="U934" s="36"/>
      <c r="V934" s="37"/>
    </row>
    <row r="935" spans="1:22" x14ac:dyDescent="0.25">
      <c r="A935" s="27"/>
      <c r="B935" s="27"/>
      <c r="C935" s="27"/>
      <c r="D935" s="27"/>
      <c r="E935" s="27"/>
      <c r="F935" s="27"/>
      <c r="G935" s="27"/>
      <c r="H935" s="28"/>
      <c r="I935" s="27"/>
      <c r="J935" s="29"/>
      <c r="K935" s="30"/>
      <c r="L935" s="31"/>
      <c r="M935" s="32"/>
      <c r="N935" s="30"/>
      <c r="O935" s="30"/>
      <c r="P935" s="39"/>
      <c r="Q935" s="34"/>
      <c r="R935" s="35"/>
      <c r="S935" s="36"/>
      <c r="T935" s="35"/>
      <c r="U935" s="36"/>
      <c r="V935" s="37"/>
    </row>
    <row r="936" spans="1:22" x14ac:dyDescent="0.25">
      <c r="A936" s="27"/>
      <c r="B936" s="27"/>
      <c r="C936" s="27"/>
      <c r="D936" s="27"/>
      <c r="E936" s="27"/>
      <c r="F936" s="27"/>
      <c r="G936" s="27"/>
      <c r="H936" s="28"/>
      <c r="I936" s="27"/>
      <c r="J936" s="29"/>
      <c r="K936" s="30"/>
      <c r="L936" s="31"/>
      <c r="M936" s="32"/>
      <c r="N936" s="30"/>
      <c r="O936" s="30"/>
      <c r="P936" s="39"/>
      <c r="Q936" s="34"/>
      <c r="R936" s="35"/>
      <c r="S936" s="36"/>
      <c r="T936" s="35"/>
      <c r="U936" s="36"/>
      <c r="V936" s="37"/>
    </row>
    <row r="937" spans="1:22" x14ac:dyDescent="0.25">
      <c r="A937" s="27"/>
      <c r="B937" s="27"/>
      <c r="C937" s="27"/>
      <c r="D937" s="27"/>
      <c r="E937" s="27"/>
      <c r="F937" s="27"/>
      <c r="G937" s="27"/>
      <c r="H937" s="28"/>
      <c r="I937" s="27"/>
      <c r="J937" s="29"/>
      <c r="K937" s="30"/>
      <c r="L937" s="31"/>
      <c r="M937" s="32"/>
      <c r="N937" s="30"/>
      <c r="O937" s="30"/>
      <c r="P937" s="39"/>
      <c r="Q937" s="34"/>
      <c r="R937" s="35"/>
      <c r="S937" s="36"/>
      <c r="T937" s="35"/>
      <c r="U937" s="36"/>
      <c r="V937" s="37"/>
    </row>
    <row r="938" spans="1:22" x14ac:dyDescent="0.25">
      <c r="A938" s="27"/>
      <c r="B938" s="27"/>
      <c r="C938" s="27"/>
      <c r="D938" s="27"/>
      <c r="E938" s="27"/>
      <c r="F938" s="27"/>
      <c r="G938" s="27"/>
      <c r="H938" s="28"/>
      <c r="I938" s="27"/>
      <c r="J938" s="29"/>
      <c r="K938" s="30"/>
      <c r="L938" s="31"/>
      <c r="M938" s="32"/>
      <c r="N938" s="30"/>
      <c r="O938" s="30"/>
      <c r="P938" s="39"/>
      <c r="Q938" s="34"/>
      <c r="R938" s="35"/>
      <c r="S938" s="36"/>
      <c r="T938" s="35"/>
      <c r="U938" s="36"/>
      <c r="V938" s="37"/>
    </row>
    <row r="939" spans="1:22" x14ac:dyDescent="0.25">
      <c r="A939" s="27"/>
      <c r="B939" s="27"/>
      <c r="C939" s="27"/>
      <c r="D939" s="27"/>
      <c r="E939" s="27"/>
      <c r="F939" s="27"/>
      <c r="G939" s="27"/>
      <c r="H939" s="28"/>
      <c r="I939" s="27"/>
      <c r="J939" s="29"/>
      <c r="K939" s="30"/>
      <c r="L939" s="31"/>
      <c r="M939" s="32"/>
      <c r="N939" s="30"/>
      <c r="O939" s="30"/>
      <c r="P939" s="39"/>
      <c r="Q939" s="34"/>
      <c r="R939" s="35"/>
      <c r="S939" s="36"/>
      <c r="T939" s="35"/>
      <c r="U939" s="36"/>
      <c r="V939" s="37"/>
    </row>
    <row r="940" spans="1:22" x14ac:dyDescent="0.25">
      <c r="A940" s="27"/>
      <c r="B940" s="27"/>
      <c r="C940" s="27"/>
      <c r="D940" s="27"/>
      <c r="E940" s="27"/>
      <c r="F940" s="27"/>
      <c r="G940" s="27"/>
      <c r="H940" s="28"/>
      <c r="I940" s="27"/>
      <c r="J940" s="29"/>
      <c r="K940" s="30"/>
      <c r="L940" s="31"/>
      <c r="M940" s="32"/>
      <c r="N940" s="30"/>
      <c r="O940" s="30"/>
      <c r="P940" s="39"/>
      <c r="Q940" s="34"/>
      <c r="R940" s="35"/>
      <c r="S940" s="36"/>
      <c r="T940" s="35"/>
      <c r="U940" s="36"/>
      <c r="V940" s="37"/>
    </row>
    <row r="941" spans="1:22" x14ac:dyDescent="0.25">
      <c r="A941" s="27"/>
      <c r="B941" s="27"/>
      <c r="C941" s="27"/>
      <c r="D941" s="27"/>
      <c r="E941" s="27"/>
      <c r="F941" s="27"/>
      <c r="G941" s="27"/>
      <c r="H941" s="28"/>
      <c r="I941" s="27"/>
      <c r="J941" s="29"/>
      <c r="K941" s="30"/>
      <c r="L941" s="31"/>
      <c r="M941" s="32"/>
      <c r="N941" s="30"/>
      <c r="O941" s="30"/>
      <c r="P941" s="39"/>
      <c r="Q941" s="34"/>
      <c r="R941" s="35"/>
      <c r="S941" s="36"/>
      <c r="T941" s="35"/>
      <c r="U941" s="36"/>
      <c r="V941" s="37"/>
    </row>
    <row r="942" spans="1:22" x14ac:dyDescent="0.25">
      <c r="A942" s="27"/>
      <c r="B942" s="27"/>
      <c r="C942" s="27"/>
      <c r="D942" s="27"/>
      <c r="E942" s="27"/>
      <c r="F942" s="27"/>
      <c r="G942" s="27"/>
      <c r="H942" s="28"/>
      <c r="I942" s="27"/>
      <c r="J942" s="29"/>
      <c r="K942" s="30"/>
      <c r="L942" s="31"/>
      <c r="M942" s="32"/>
      <c r="N942" s="30"/>
      <c r="O942" s="30"/>
      <c r="P942" s="39"/>
      <c r="Q942" s="34"/>
      <c r="R942" s="35"/>
      <c r="S942" s="36"/>
      <c r="T942" s="35"/>
      <c r="U942" s="36"/>
      <c r="V942" s="37"/>
    </row>
    <row r="943" spans="1:22" x14ac:dyDescent="0.25">
      <c r="A943" s="27"/>
      <c r="B943" s="27"/>
      <c r="C943" s="27"/>
      <c r="D943" s="27"/>
      <c r="E943" s="27"/>
      <c r="F943" s="27"/>
      <c r="G943" s="27"/>
      <c r="H943" s="28"/>
      <c r="I943" s="27"/>
      <c r="J943" s="29"/>
      <c r="K943" s="30"/>
      <c r="L943" s="31"/>
      <c r="M943" s="32"/>
      <c r="N943" s="30"/>
      <c r="O943" s="30"/>
      <c r="P943" s="39"/>
      <c r="Q943" s="34"/>
      <c r="R943" s="35"/>
      <c r="S943" s="36"/>
      <c r="T943" s="35"/>
      <c r="U943" s="36"/>
      <c r="V943" s="37"/>
    </row>
    <row r="944" spans="1:22" x14ac:dyDescent="0.25">
      <c r="A944" s="27"/>
      <c r="B944" s="27"/>
      <c r="C944" s="27"/>
      <c r="D944" s="27"/>
      <c r="E944" s="27"/>
      <c r="F944" s="27"/>
      <c r="G944" s="27"/>
      <c r="H944" s="28"/>
      <c r="I944" s="27"/>
      <c r="J944" s="29"/>
      <c r="K944" s="30"/>
      <c r="L944" s="31"/>
      <c r="M944" s="32"/>
      <c r="N944" s="30"/>
      <c r="O944" s="30"/>
      <c r="P944" s="39"/>
      <c r="Q944" s="34"/>
      <c r="R944" s="35"/>
      <c r="S944" s="36"/>
      <c r="T944" s="35"/>
      <c r="U944" s="36"/>
      <c r="V944" s="37"/>
    </row>
    <row r="945" spans="1:22" x14ac:dyDescent="0.25">
      <c r="A945" s="27"/>
      <c r="B945" s="27"/>
      <c r="C945" s="27"/>
      <c r="D945" s="27"/>
      <c r="E945" s="27"/>
      <c r="F945" s="27"/>
      <c r="G945" s="27"/>
      <c r="H945" s="28"/>
      <c r="I945" s="27"/>
      <c r="J945" s="29"/>
      <c r="K945" s="30"/>
      <c r="L945" s="31"/>
      <c r="M945" s="32"/>
      <c r="N945" s="30"/>
      <c r="O945" s="30"/>
      <c r="P945" s="39"/>
      <c r="Q945" s="34"/>
      <c r="R945" s="35"/>
      <c r="S945" s="36"/>
      <c r="T945" s="35"/>
      <c r="U945" s="36"/>
      <c r="V945" s="37"/>
    </row>
    <row r="946" spans="1:22" x14ac:dyDescent="0.25">
      <c r="A946" s="27"/>
      <c r="B946" s="27"/>
      <c r="C946" s="27"/>
      <c r="D946" s="27"/>
      <c r="E946" s="27"/>
      <c r="F946" s="27"/>
      <c r="G946" s="27"/>
      <c r="H946" s="28"/>
      <c r="I946" s="27"/>
      <c r="J946" s="29"/>
      <c r="K946" s="30"/>
      <c r="L946" s="31"/>
      <c r="M946" s="32"/>
      <c r="N946" s="30"/>
      <c r="O946" s="30"/>
      <c r="P946" s="39"/>
      <c r="Q946" s="34"/>
      <c r="R946" s="35"/>
      <c r="S946" s="36"/>
      <c r="T946" s="35"/>
      <c r="U946" s="36"/>
      <c r="V946" s="37"/>
    </row>
    <row r="947" spans="1:22" x14ac:dyDescent="0.25">
      <c r="A947" s="27"/>
      <c r="B947" s="27"/>
      <c r="C947" s="27"/>
      <c r="D947" s="27"/>
      <c r="E947" s="27"/>
      <c r="F947" s="27"/>
      <c r="G947" s="27"/>
      <c r="H947" s="28"/>
      <c r="I947" s="27"/>
      <c r="J947" s="29"/>
      <c r="K947" s="30"/>
      <c r="L947" s="31"/>
      <c r="M947" s="32"/>
      <c r="N947" s="30"/>
      <c r="O947" s="30"/>
      <c r="P947" s="39"/>
      <c r="Q947" s="34"/>
      <c r="R947" s="35"/>
      <c r="S947" s="36"/>
      <c r="T947" s="35"/>
      <c r="U947" s="36"/>
      <c r="V947" s="37"/>
    </row>
    <row r="948" spans="1:22" x14ac:dyDescent="0.25">
      <c r="A948" s="27"/>
      <c r="B948" s="27"/>
      <c r="C948" s="27"/>
      <c r="D948" s="27"/>
      <c r="E948" s="27"/>
      <c r="F948" s="27"/>
      <c r="G948" s="27"/>
      <c r="H948" s="28"/>
      <c r="I948" s="27"/>
      <c r="J948" s="29"/>
      <c r="K948" s="30"/>
      <c r="L948" s="31"/>
      <c r="M948" s="32"/>
      <c r="N948" s="30"/>
      <c r="O948" s="30"/>
      <c r="P948" s="39"/>
      <c r="Q948" s="34"/>
      <c r="R948" s="35"/>
      <c r="S948" s="36"/>
      <c r="T948" s="35"/>
      <c r="U948" s="36"/>
      <c r="V948" s="37"/>
    </row>
    <row r="949" spans="1:22" x14ac:dyDescent="0.25">
      <c r="A949" s="27"/>
      <c r="B949" s="27"/>
      <c r="C949" s="27"/>
      <c r="D949" s="27"/>
      <c r="E949" s="27"/>
      <c r="F949" s="27"/>
      <c r="G949" s="27"/>
      <c r="H949" s="28"/>
      <c r="I949" s="27"/>
      <c r="J949" s="29"/>
      <c r="K949" s="30"/>
      <c r="L949" s="31"/>
      <c r="M949" s="32"/>
      <c r="N949" s="30"/>
      <c r="O949" s="30"/>
      <c r="P949" s="39"/>
      <c r="Q949" s="34"/>
      <c r="R949" s="35"/>
      <c r="S949" s="36"/>
      <c r="T949" s="35"/>
      <c r="U949" s="36"/>
      <c r="V949" s="37"/>
    </row>
    <row r="950" spans="1:22" x14ac:dyDescent="0.25">
      <c r="A950" s="27"/>
      <c r="B950" s="27"/>
      <c r="C950" s="27"/>
      <c r="D950" s="27"/>
      <c r="E950" s="27"/>
      <c r="F950" s="27"/>
      <c r="G950" s="27"/>
      <c r="H950" s="28"/>
      <c r="I950" s="27"/>
      <c r="J950" s="29"/>
      <c r="K950" s="30"/>
      <c r="L950" s="31"/>
      <c r="M950" s="32"/>
      <c r="N950" s="30"/>
      <c r="O950" s="30"/>
      <c r="P950" s="39"/>
      <c r="Q950" s="34"/>
      <c r="R950" s="35"/>
      <c r="S950" s="36"/>
      <c r="T950" s="35"/>
      <c r="U950" s="36"/>
      <c r="V950" s="37"/>
    </row>
    <row r="951" spans="1:22" x14ac:dyDescent="0.25">
      <c r="A951" s="27"/>
      <c r="B951" s="27"/>
      <c r="C951" s="27"/>
      <c r="D951" s="27"/>
      <c r="E951" s="27"/>
      <c r="F951" s="27"/>
      <c r="G951" s="27"/>
      <c r="H951" s="28"/>
      <c r="I951" s="27"/>
      <c r="J951" s="29"/>
      <c r="K951" s="30"/>
      <c r="L951" s="31"/>
      <c r="M951" s="32"/>
      <c r="N951" s="30"/>
      <c r="O951" s="30"/>
      <c r="P951" s="39"/>
      <c r="Q951" s="34"/>
      <c r="R951" s="35"/>
      <c r="S951" s="36"/>
      <c r="T951" s="35"/>
      <c r="U951" s="36"/>
      <c r="V951" s="37"/>
    </row>
    <row r="952" spans="1:22" x14ac:dyDescent="0.25">
      <c r="A952" s="27"/>
      <c r="B952" s="27"/>
      <c r="C952" s="27"/>
      <c r="D952" s="27"/>
      <c r="E952" s="27"/>
      <c r="F952" s="27"/>
      <c r="G952" s="27"/>
      <c r="H952" s="28"/>
      <c r="I952" s="27"/>
      <c r="J952" s="29"/>
      <c r="K952" s="30"/>
      <c r="L952" s="31"/>
      <c r="M952" s="32"/>
      <c r="N952" s="30"/>
      <c r="O952" s="30"/>
      <c r="P952" s="39"/>
      <c r="Q952" s="34"/>
      <c r="R952" s="35"/>
      <c r="S952" s="36"/>
      <c r="T952" s="35"/>
      <c r="U952" s="36"/>
      <c r="V952" s="37"/>
    </row>
    <row r="953" spans="1:22" x14ac:dyDescent="0.25">
      <c r="A953" s="27"/>
      <c r="B953" s="27"/>
      <c r="C953" s="27"/>
      <c r="D953" s="27"/>
      <c r="E953" s="27"/>
      <c r="F953" s="27"/>
      <c r="G953" s="27"/>
      <c r="H953" s="28"/>
      <c r="I953" s="27"/>
      <c r="J953" s="29"/>
      <c r="K953" s="30"/>
      <c r="L953" s="31"/>
      <c r="M953" s="32"/>
      <c r="N953" s="30"/>
      <c r="O953" s="30"/>
      <c r="P953" s="39"/>
      <c r="Q953" s="34"/>
      <c r="R953" s="35"/>
      <c r="S953" s="36"/>
      <c r="T953" s="35"/>
      <c r="U953" s="36"/>
      <c r="V953" s="37"/>
    </row>
    <row r="954" spans="1:22" x14ac:dyDescent="0.25">
      <c r="A954" s="27"/>
      <c r="B954" s="27"/>
      <c r="C954" s="27"/>
      <c r="D954" s="27"/>
      <c r="E954" s="27"/>
      <c r="F954" s="27"/>
      <c r="G954" s="27"/>
      <c r="H954" s="28"/>
      <c r="I954" s="27"/>
      <c r="J954" s="29"/>
      <c r="K954" s="30"/>
      <c r="L954" s="31"/>
      <c r="M954" s="32"/>
      <c r="N954" s="30"/>
      <c r="O954" s="30"/>
      <c r="P954" s="39"/>
      <c r="Q954" s="34"/>
      <c r="R954" s="35"/>
      <c r="S954" s="36"/>
      <c r="T954" s="35"/>
      <c r="U954" s="36"/>
      <c r="V954" s="37"/>
    </row>
    <row r="955" spans="1:22" x14ac:dyDescent="0.25">
      <c r="A955" s="27"/>
      <c r="B955" s="27"/>
      <c r="C955" s="27"/>
      <c r="D955" s="27"/>
      <c r="E955" s="27"/>
      <c r="F955" s="27"/>
      <c r="G955" s="27"/>
      <c r="H955" s="28"/>
      <c r="I955" s="27"/>
      <c r="J955" s="29"/>
      <c r="K955" s="30"/>
      <c r="L955" s="31"/>
      <c r="M955" s="32"/>
      <c r="N955" s="30"/>
      <c r="O955" s="30"/>
      <c r="P955" s="39"/>
      <c r="Q955" s="34"/>
      <c r="R955" s="35"/>
      <c r="S955" s="36"/>
      <c r="T955" s="35"/>
      <c r="U955" s="36"/>
      <c r="V955" s="37"/>
    </row>
    <row r="956" spans="1:22" x14ac:dyDescent="0.25">
      <c r="A956" s="27"/>
      <c r="B956" s="27"/>
      <c r="C956" s="27"/>
      <c r="D956" s="27"/>
      <c r="E956" s="27"/>
      <c r="F956" s="27"/>
      <c r="G956" s="27"/>
      <c r="H956" s="28"/>
      <c r="I956" s="27"/>
      <c r="J956" s="29"/>
      <c r="K956" s="30"/>
      <c r="L956" s="31"/>
      <c r="M956" s="32"/>
      <c r="N956" s="30"/>
      <c r="O956" s="30"/>
      <c r="P956" s="39"/>
      <c r="Q956" s="34"/>
      <c r="R956" s="35"/>
      <c r="S956" s="36"/>
      <c r="T956" s="35"/>
      <c r="U956" s="36"/>
      <c r="V956" s="37"/>
    </row>
    <row r="957" spans="1:22" x14ac:dyDescent="0.25">
      <c r="A957" s="27"/>
      <c r="B957" s="27"/>
      <c r="C957" s="27"/>
      <c r="D957" s="27"/>
      <c r="E957" s="27"/>
      <c r="F957" s="27"/>
      <c r="G957" s="27"/>
      <c r="H957" s="28"/>
      <c r="I957" s="27"/>
      <c r="J957" s="29"/>
      <c r="K957" s="30"/>
      <c r="L957" s="31"/>
      <c r="M957" s="32"/>
      <c r="N957" s="30"/>
      <c r="O957" s="30"/>
      <c r="P957" s="39"/>
      <c r="Q957" s="34"/>
      <c r="R957" s="35"/>
      <c r="S957" s="36"/>
      <c r="T957" s="35"/>
      <c r="U957" s="36"/>
      <c r="V957" s="37"/>
    </row>
    <row r="958" spans="1:22" x14ac:dyDescent="0.25">
      <c r="A958" s="27"/>
      <c r="B958" s="27"/>
      <c r="C958" s="27"/>
      <c r="D958" s="27"/>
      <c r="E958" s="27"/>
      <c r="F958" s="27"/>
      <c r="G958" s="27"/>
      <c r="H958" s="28"/>
      <c r="I958" s="27"/>
      <c r="J958" s="29"/>
      <c r="K958" s="30"/>
      <c r="L958" s="31"/>
      <c r="M958" s="32"/>
      <c r="N958" s="30"/>
      <c r="O958" s="30"/>
      <c r="P958" s="39"/>
      <c r="Q958" s="34"/>
      <c r="R958" s="35"/>
      <c r="S958" s="36"/>
      <c r="T958" s="35"/>
      <c r="U958" s="36"/>
      <c r="V958" s="37"/>
    </row>
    <row r="959" spans="1:22" x14ac:dyDescent="0.25">
      <c r="A959" s="27"/>
      <c r="B959" s="27"/>
      <c r="C959" s="27"/>
      <c r="D959" s="27"/>
      <c r="E959" s="27"/>
      <c r="F959" s="27"/>
      <c r="G959" s="27"/>
      <c r="H959" s="28"/>
      <c r="I959" s="27"/>
      <c r="J959" s="29"/>
      <c r="K959" s="30"/>
      <c r="L959" s="31"/>
      <c r="M959" s="32"/>
      <c r="N959" s="30"/>
      <c r="O959" s="30"/>
      <c r="P959" s="39"/>
      <c r="Q959" s="34"/>
      <c r="R959" s="35"/>
      <c r="S959" s="36"/>
      <c r="T959" s="35"/>
      <c r="U959" s="36"/>
      <c r="V959" s="37"/>
    </row>
    <row r="960" spans="1:22" x14ac:dyDescent="0.25">
      <c r="A960" s="27"/>
      <c r="B960" s="27"/>
      <c r="C960" s="27"/>
      <c r="D960" s="27"/>
      <c r="E960" s="27"/>
      <c r="F960" s="27"/>
      <c r="G960" s="27"/>
      <c r="H960" s="28"/>
      <c r="I960" s="27"/>
      <c r="J960" s="29"/>
      <c r="K960" s="30"/>
      <c r="L960" s="31"/>
      <c r="M960" s="32"/>
      <c r="N960" s="30"/>
      <c r="O960" s="30"/>
      <c r="P960" s="39"/>
      <c r="Q960" s="34"/>
      <c r="R960" s="35"/>
      <c r="S960" s="36"/>
      <c r="T960" s="35"/>
      <c r="U960" s="36"/>
      <c r="V960" s="37"/>
    </row>
    <row r="961" spans="1:22" x14ac:dyDescent="0.25">
      <c r="A961" s="27"/>
      <c r="B961" s="27"/>
      <c r="C961" s="27"/>
      <c r="D961" s="27"/>
      <c r="E961" s="27"/>
      <c r="F961" s="27"/>
      <c r="G961" s="27"/>
      <c r="H961" s="28"/>
      <c r="I961" s="27"/>
      <c r="J961" s="29"/>
      <c r="K961" s="30"/>
      <c r="L961" s="31"/>
      <c r="M961" s="32"/>
      <c r="N961" s="30"/>
      <c r="O961" s="30"/>
      <c r="P961" s="39"/>
      <c r="Q961" s="34"/>
      <c r="R961" s="35"/>
      <c r="S961" s="36"/>
      <c r="T961" s="35"/>
      <c r="U961" s="36"/>
      <c r="V961" s="37"/>
    </row>
    <row r="962" spans="1:22" x14ac:dyDescent="0.25">
      <c r="A962" s="27"/>
      <c r="B962" s="27"/>
      <c r="C962" s="27"/>
      <c r="D962" s="27"/>
      <c r="E962" s="27"/>
      <c r="F962" s="27"/>
      <c r="G962" s="27"/>
      <c r="H962" s="28"/>
      <c r="I962" s="27"/>
      <c r="J962" s="29"/>
      <c r="K962" s="30"/>
      <c r="L962" s="31"/>
      <c r="M962" s="32"/>
      <c r="N962" s="30"/>
      <c r="O962" s="30"/>
      <c r="P962" s="39"/>
      <c r="Q962" s="34"/>
      <c r="R962" s="35"/>
      <c r="S962" s="36"/>
      <c r="T962" s="35"/>
      <c r="U962" s="36"/>
      <c r="V962" s="37"/>
    </row>
    <row r="963" spans="1:22" x14ac:dyDescent="0.25">
      <c r="A963" s="27"/>
      <c r="B963" s="27"/>
      <c r="C963" s="27"/>
      <c r="D963" s="27"/>
      <c r="E963" s="27"/>
      <c r="F963" s="27"/>
      <c r="G963" s="27"/>
      <c r="H963" s="28"/>
      <c r="I963" s="27"/>
      <c r="J963" s="29"/>
      <c r="K963" s="30"/>
      <c r="L963" s="31"/>
      <c r="M963" s="32"/>
      <c r="N963" s="30"/>
      <c r="O963" s="30"/>
      <c r="P963" s="39"/>
      <c r="Q963" s="34"/>
      <c r="R963" s="35"/>
      <c r="S963" s="36"/>
      <c r="T963" s="35"/>
      <c r="U963" s="36"/>
      <c r="V963" s="37"/>
    </row>
    <row r="964" spans="1:22" x14ac:dyDescent="0.25">
      <c r="A964" s="27"/>
      <c r="B964" s="27"/>
      <c r="C964" s="27"/>
      <c r="D964" s="27"/>
      <c r="E964" s="27"/>
      <c r="F964" s="27"/>
      <c r="G964" s="27"/>
      <c r="H964" s="28"/>
      <c r="I964" s="27"/>
      <c r="J964" s="29"/>
      <c r="K964" s="30"/>
      <c r="L964" s="31"/>
      <c r="M964" s="32"/>
      <c r="N964" s="30"/>
      <c r="O964" s="30"/>
      <c r="P964" s="39"/>
      <c r="Q964" s="34"/>
      <c r="R964" s="35"/>
      <c r="S964" s="36"/>
      <c r="T964" s="35"/>
      <c r="U964" s="36"/>
      <c r="V964" s="37"/>
    </row>
    <row r="965" spans="1:22" x14ac:dyDescent="0.25">
      <c r="A965" s="27"/>
      <c r="B965" s="27"/>
      <c r="C965" s="27"/>
      <c r="D965" s="27"/>
      <c r="E965" s="27"/>
      <c r="F965" s="27"/>
      <c r="G965" s="27"/>
      <c r="H965" s="28"/>
      <c r="I965" s="27"/>
      <c r="J965" s="29"/>
      <c r="K965" s="30"/>
      <c r="L965" s="31"/>
      <c r="M965" s="32"/>
      <c r="N965" s="30"/>
      <c r="O965" s="30"/>
      <c r="P965" s="39"/>
      <c r="Q965" s="34"/>
      <c r="R965" s="35"/>
      <c r="S965" s="36"/>
      <c r="T965" s="35"/>
      <c r="U965" s="36"/>
      <c r="V965" s="37"/>
    </row>
    <row r="966" spans="1:22" x14ac:dyDescent="0.25">
      <c r="A966" s="27"/>
      <c r="B966" s="27"/>
      <c r="C966" s="27"/>
      <c r="D966" s="27"/>
      <c r="E966" s="27"/>
      <c r="F966" s="27"/>
      <c r="G966" s="27"/>
      <c r="H966" s="28"/>
      <c r="I966" s="27"/>
      <c r="J966" s="29"/>
      <c r="K966" s="30"/>
      <c r="L966" s="31"/>
      <c r="M966" s="32"/>
      <c r="N966" s="30"/>
      <c r="O966" s="30"/>
      <c r="P966" s="39"/>
      <c r="Q966" s="34"/>
      <c r="R966" s="35"/>
      <c r="S966" s="36"/>
      <c r="T966" s="35"/>
      <c r="U966" s="36"/>
      <c r="V966" s="37"/>
    </row>
    <row r="967" spans="1:22" x14ac:dyDescent="0.25">
      <c r="A967" s="27"/>
      <c r="B967" s="27"/>
      <c r="C967" s="27"/>
      <c r="D967" s="27"/>
      <c r="E967" s="27"/>
      <c r="F967" s="27"/>
      <c r="G967" s="27"/>
      <c r="H967" s="28"/>
      <c r="I967" s="27"/>
      <c r="J967" s="29"/>
      <c r="K967" s="30"/>
      <c r="L967" s="31"/>
      <c r="M967" s="32"/>
      <c r="N967" s="30"/>
      <c r="O967" s="30"/>
      <c r="P967" s="39"/>
      <c r="Q967" s="34"/>
      <c r="R967" s="35"/>
      <c r="S967" s="36"/>
      <c r="T967" s="35"/>
      <c r="U967" s="36"/>
      <c r="V967" s="37"/>
    </row>
    <row r="968" spans="1:22" x14ac:dyDescent="0.25">
      <c r="A968" s="27"/>
      <c r="B968" s="27"/>
      <c r="C968" s="27"/>
      <c r="D968" s="27"/>
      <c r="E968" s="27"/>
      <c r="F968" s="27"/>
      <c r="G968" s="27"/>
      <c r="H968" s="28"/>
      <c r="I968" s="27"/>
      <c r="J968" s="29"/>
      <c r="K968" s="30"/>
      <c r="L968" s="31"/>
      <c r="M968" s="32"/>
      <c r="N968" s="30"/>
      <c r="O968" s="30"/>
      <c r="P968" s="39"/>
      <c r="Q968" s="34"/>
      <c r="R968" s="35"/>
      <c r="S968" s="36"/>
      <c r="T968" s="35"/>
      <c r="U968" s="36"/>
      <c r="V968" s="37"/>
    </row>
    <row r="969" spans="1:22" x14ac:dyDescent="0.25">
      <c r="A969" s="27"/>
      <c r="B969" s="27"/>
      <c r="C969" s="27"/>
      <c r="D969" s="27"/>
      <c r="E969" s="27"/>
      <c r="F969" s="27"/>
      <c r="G969" s="27"/>
      <c r="H969" s="28"/>
      <c r="I969" s="27"/>
      <c r="J969" s="29"/>
      <c r="K969" s="30"/>
      <c r="L969" s="31"/>
      <c r="M969" s="32"/>
      <c r="N969" s="30"/>
      <c r="O969" s="30"/>
      <c r="P969" s="39"/>
      <c r="Q969" s="34"/>
      <c r="R969" s="35"/>
      <c r="S969" s="36"/>
      <c r="T969" s="35"/>
      <c r="U969" s="36"/>
      <c r="V969" s="37"/>
    </row>
    <row r="970" spans="1:22" x14ac:dyDescent="0.25">
      <c r="A970" s="27"/>
      <c r="B970" s="27"/>
      <c r="C970" s="27"/>
      <c r="D970" s="27"/>
      <c r="E970" s="27"/>
      <c r="F970" s="27"/>
      <c r="G970" s="27"/>
      <c r="H970" s="28"/>
      <c r="I970" s="27"/>
      <c r="J970" s="29"/>
      <c r="K970" s="30"/>
      <c r="L970" s="31"/>
      <c r="M970" s="32"/>
      <c r="N970" s="30"/>
      <c r="O970" s="30"/>
      <c r="P970" s="39"/>
      <c r="Q970" s="34"/>
      <c r="R970" s="35"/>
      <c r="S970" s="36"/>
      <c r="T970" s="35"/>
      <c r="U970" s="36"/>
      <c r="V970" s="37"/>
    </row>
    <row r="971" spans="1:22" x14ac:dyDescent="0.25">
      <c r="A971" s="27"/>
      <c r="B971" s="27"/>
      <c r="C971" s="27"/>
      <c r="D971" s="27"/>
      <c r="E971" s="27"/>
      <c r="F971" s="27"/>
      <c r="G971" s="27"/>
      <c r="H971" s="28"/>
      <c r="I971" s="27"/>
      <c r="J971" s="29"/>
      <c r="K971" s="30"/>
      <c r="L971" s="31"/>
      <c r="M971" s="32"/>
      <c r="N971" s="30"/>
      <c r="O971" s="30"/>
      <c r="P971" s="39"/>
      <c r="Q971" s="34"/>
      <c r="R971" s="35"/>
      <c r="S971" s="36"/>
      <c r="T971" s="35"/>
      <c r="U971" s="36"/>
      <c r="V971" s="37"/>
    </row>
    <row r="972" spans="1:22" x14ac:dyDescent="0.25">
      <c r="A972" s="27"/>
      <c r="B972" s="27"/>
      <c r="C972" s="27"/>
      <c r="D972" s="27"/>
      <c r="E972" s="27"/>
      <c r="F972" s="27"/>
      <c r="G972" s="27"/>
      <c r="H972" s="28"/>
      <c r="I972" s="27"/>
      <c r="J972" s="29"/>
      <c r="K972" s="30"/>
      <c r="L972" s="31"/>
      <c r="M972" s="32"/>
      <c r="N972" s="30"/>
      <c r="O972" s="30"/>
      <c r="P972" s="39"/>
      <c r="Q972" s="34"/>
      <c r="R972" s="35"/>
      <c r="S972" s="36"/>
      <c r="T972" s="35"/>
      <c r="U972" s="36"/>
      <c r="V972" s="37"/>
    </row>
    <row r="973" spans="1:22" x14ac:dyDescent="0.25">
      <c r="A973" s="27"/>
      <c r="B973" s="27"/>
      <c r="C973" s="27"/>
      <c r="D973" s="27"/>
      <c r="E973" s="27"/>
      <c r="F973" s="27"/>
      <c r="G973" s="27"/>
      <c r="H973" s="28"/>
      <c r="I973" s="27"/>
      <c r="J973" s="29"/>
      <c r="K973" s="30"/>
      <c r="L973" s="31"/>
      <c r="M973" s="32"/>
      <c r="N973" s="30"/>
      <c r="O973" s="30"/>
      <c r="P973" s="39"/>
      <c r="Q973" s="34"/>
      <c r="R973" s="35"/>
      <c r="S973" s="36"/>
      <c r="T973" s="35"/>
      <c r="U973" s="36"/>
      <c r="V973" s="37"/>
    </row>
    <row r="974" spans="1:22" x14ac:dyDescent="0.25">
      <c r="A974" s="27"/>
      <c r="B974" s="27"/>
      <c r="C974" s="27"/>
      <c r="D974" s="27"/>
      <c r="E974" s="27"/>
      <c r="F974" s="27"/>
      <c r="G974" s="27"/>
      <c r="H974" s="28"/>
      <c r="I974" s="27"/>
      <c r="J974" s="29"/>
      <c r="K974" s="30"/>
      <c r="L974" s="31"/>
      <c r="M974" s="32"/>
      <c r="N974" s="30"/>
      <c r="O974" s="30"/>
      <c r="P974" s="39"/>
      <c r="Q974" s="34"/>
      <c r="R974" s="35"/>
      <c r="S974" s="36"/>
      <c r="T974" s="35"/>
      <c r="U974" s="36"/>
      <c r="V974" s="37"/>
    </row>
    <row r="975" spans="1:22" x14ac:dyDescent="0.25">
      <c r="A975" s="27"/>
      <c r="B975" s="27"/>
      <c r="C975" s="27"/>
      <c r="D975" s="27"/>
      <c r="E975" s="27"/>
      <c r="F975" s="27"/>
      <c r="G975" s="27"/>
      <c r="H975" s="28"/>
      <c r="I975" s="27"/>
      <c r="J975" s="29"/>
      <c r="K975" s="30"/>
      <c r="L975" s="31"/>
      <c r="M975" s="32"/>
      <c r="N975" s="30"/>
      <c r="O975" s="30"/>
      <c r="P975" s="39"/>
      <c r="Q975" s="34"/>
      <c r="R975" s="35"/>
      <c r="S975" s="36"/>
      <c r="T975" s="35"/>
      <c r="U975" s="36"/>
      <c r="V975" s="37"/>
    </row>
    <row r="976" spans="1:22" x14ac:dyDescent="0.25">
      <c r="A976" s="27"/>
      <c r="B976" s="27"/>
      <c r="C976" s="27"/>
      <c r="D976" s="27"/>
      <c r="E976" s="27"/>
      <c r="F976" s="27"/>
      <c r="G976" s="27"/>
      <c r="H976" s="28"/>
      <c r="I976" s="27"/>
      <c r="J976" s="29"/>
      <c r="K976" s="30"/>
      <c r="L976" s="31"/>
      <c r="M976" s="32"/>
      <c r="N976" s="30"/>
      <c r="O976" s="30"/>
      <c r="P976" s="39"/>
      <c r="Q976" s="34"/>
      <c r="R976" s="35"/>
      <c r="S976" s="36"/>
      <c r="T976" s="35"/>
      <c r="U976" s="36"/>
      <c r="V976" s="37"/>
    </row>
    <row r="977" spans="1:22" x14ac:dyDescent="0.25">
      <c r="A977" s="27"/>
      <c r="B977" s="27"/>
      <c r="C977" s="27"/>
      <c r="D977" s="27"/>
      <c r="E977" s="27"/>
      <c r="F977" s="27"/>
      <c r="G977" s="27"/>
      <c r="H977" s="28"/>
      <c r="I977" s="27"/>
      <c r="J977" s="29"/>
      <c r="K977" s="30"/>
      <c r="L977" s="31"/>
      <c r="M977" s="32"/>
      <c r="N977" s="30"/>
      <c r="O977" s="30"/>
      <c r="P977" s="39"/>
      <c r="Q977" s="34"/>
      <c r="R977" s="35"/>
      <c r="S977" s="36"/>
      <c r="T977" s="35"/>
      <c r="U977" s="36"/>
      <c r="V977" s="37"/>
    </row>
    <row r="978" spans="1:22" x14ac:dyDescent="0.25">
      <c r="A978" s="27"/>
      <c r="B978" s="27"/>
      <c r="C978" s="27"/>
      <c r="D978" s="27"/>
      <c r="E978" s="27"/>
      <c r="F978" s="27"/>
      <c r="G978" s="27"/>
      <c r="H978" s="28"/>
      <c r="I978" s="27"/>
      <c r="J978" s="29"/>
      <c r="K978" s="30"/>
      <c r="L978" s="31"/>
      <c r="M978" s="32"/>
      <c r="N978" s="30"/>
      <c r="O978" s="30"/>
      <c r="P978" s="39"/>
      <c r="Q978" s="34"/>
      <c r="R978" s="35"/>
      <c r="S978" s="36"/>
      <c r="T978" s="35"/>
      <c r="U978" s="36"/>
      <c r="V978" s="37"/>
    </row>
    <row r="979" spans="1:22" x14ac:dyDescent="0.25">
      <c r="A979" s="27"/>
      <c r="B979" s="27"/>
      <c r="C979" s="27"/>
      <c r="D979" s="27"/>
      <c r="E979" s="27"/>
      <c r="F979" s="27"/>
      <c r="G979" s="27"/>
      <c r="H979" s="28"/>
      <c r="I979" s="27"/>
      <c r="J979" s="29"/>
      <c r="K979" s="30"/>
      <c r="L979" s="31"/>
      <c r="M979" s="32"/>
      <c r="N979" s="30"/>
      <c r="O979" s="30"/>
      <c r="P979" s="39"/>
      <c r="Q979" s="34"/>
      <c r="R979" s="35"/>
      <c r="S979" s="36"/>
      <c r="T979" s="35"/>
      <c r="U979" s="36"/>
      <c r="V979" s="37"/>
    </row>
    <row r="980" spans="1:22" x14ac:dyDescent="0.25">
      <c r="A980" s="27"/>
      <c r="B980" s="27"/>
      <c r="C980" s="27"/>
      <c r="D980" s="27"/>
      <c r="E980" s="27"/>
      <c r="F980" s="27"/>
      <c r="G980" s="27"/>
      <c r="H980" s="28"/>
      <c r="I980" s="27"/>
      <c r="J980" s="29"/>
      <c r="K980" s="30"/>
      <c r="L980" s="31"/>
      <c r="M980" s="32"/>
      <c r="N980" s="30"/>
      <c r="O980" s="30"/>
      <c r="P980" s="39"/>
      <c r="Q980" s="34"/>
      <c r="R980" s="35"/>
      <c r="S980" s="36"/>
      <c r="T980" s="35"/>
      <c r="U980" s="36"/>
      <c r="V980" s="37"/>
    </row>
    <row r="981" spans="1:22" x14ac:dyDescent="0.25">
      <c r="A981" s="27"/>
      <c r="B981" s="27"/>
      <c r="C981" s="27"/>
      <c r="D981" s="27"/>
      <c r="E981" s="27"/>
      <c r="F981" s="27"/>
      <c r="G981" s="27"/>
      <c r="H981" s="28"/>
      <c r="I981" s="27"/>
      <c r="J981" s="29"/>
      <c r="K981" s="30"/>
      <c r="L981" s="31"/>
      <c r="M981" s="32"/>
      <c r="N981" s="30"/>
      <c r="O981" s="30"/>
      <c r="P981" s="39"/>
      <c r="Q981" s="34"/>
      <c r="R981" s="35"/>
      <c r="S981" s="36"/>
      <c r="T981" s="35"/>
      <c r="U981" s="36"/>
      <c r="V981" s="37"/>
    </row>
    <row r="982" spans="1:22" x14ac:dyDescent="0.25">
      <c r="A982" s="27"/>
      <c r="B982" s="27"/>
      <c r="C982" s="27"/>
      <c r="D982" s="27"/>
      <c r="E982" s="27"/>
      <c r="F982" s="27"/>
      <c r="G982" s="27"/>
      <c r="H982" s="28"/>
      <c r="I982" s="27"/>
      <c r="J982" s="29"/>
      <c r="K982" s="30"/>
      <c r="L982" s="31"/>
      <c r="M982" s="32"/>
      <c r="N982" s="30"/>
      <c r="O982" s="30"/>
      <c r="P982" s="39"/>
      <c r="Q982" s="34"/>
      <c r="R982" s="35"/>
      <c r="S982" s="36"/>
      <c r="T982" s="35"/>
      <c r="U982" s="36"/>
      <c r="V982" s="37"/>
    </row>
    <row r="983" spans="1:22" x14ac:dyDescent="0.25">
      <c r="A983" s="27"/>
      <c r="B983" s="27"/>
      <c r="C983" s="27"/>
      <c r="D983" s="27"/>
      <c r="E983" s="27"/>
      <c r="F983" s="27"/>
      <c r="G983" s="27"/>
      <c r="H983" s="28"/>
      <c r="I983" s="27"/>
      <c r="J983" s="29"/>
      <c r="K983" s="30"/>
      <c r="L983" s="31"/>
      <c r="M983" s="32"/>
      <c r="N983" s="30"/>
      <c r="O983" s="30"/>
      <c r="P983" s="39"/>
      <c r="Q983" s="34"/>
      <c r="R983" s="35"/>
      <c r="S983" s="36"/>
      <c r="T983" s="35"/>
      <c r="U983" s="36"/>
      <c r="V983" s="37"/>
    </row>
    <row r="984" spans="1:22" x14ac:dyDescent="0.25">
      <c r="A984" s="27"/>
      <c r="B984" s="27"/>
      <c r="C984" s="27"/>
      <c r="D984" s="27"/>
      <c r="E984" s="27"/>
      <c r="F984" s="27"/>
      <c r="G984" s="27"/>
      <c r="H984" s="28"/>
      <c r="I984" s="27"/>
      <c r="J984" s="29"/>
      <c r="K984" s="30"/>
      <c r="L984" s="31"/>
      <c r="M984" s="32"/>
      <c r="N984" s="30"/>
      <c r="O984" s="30"/>
      <c r="P984" s="39"/>
      <c r="Q984" s="34"/>
      <c r="R984" s="35"/>
      <c r="S984" s="36"/>
      <c r="T984" s="35"/>
      <c r="U984" s="36"/>
      <c r="V984" s="37"/>
    </row>
    <row r="985" spans="1:22" x14ac:dyDescent="0.25">
      <c r="A985" s="27"/>
      <c r="B985" s="27"/>
      <c r="C985" s="27"/>
      <c r="D985" s="27"/>
      <c r="E985" s="27"/>
      <c r="F985" s="27"/>
      <c r="G985" s="27"/>
      <c r="H985" s="28"/>
      <c r="I985" s="27"/>
      <c r="J985" s="29"/>
      <c r="K985" s="30"/>
      <c r="L985" s="31"/>
      <c r="M985" s="32"/>
      <c r="N985" s="30"/>
      <c r="O985" s="30"/>
      <c r="P985" s="39"/>
      <c r="Q985" s="34"/>
      <c r="R985" s="35"/>
      <c r="S985" s="36"/>
      <c r="T985" s="35"/>
      <c r="U985" s="36"/>
      <c r="V985" s="37"/>
    </row>
    <row r="986" spans="1:22" x14ac:dyDescent="0.25">
      <c r="A986" s="27"/>
      <c r="B986" s="27"/>
      <c r="C986" s="27"/>
      <c r="D986" s="27"/>
      <c r="E986" s="27"/>
      <c r="F986" s="27"/>
      <c r="G986" s="27"/>
      <c r="H986" s="28"/>
      <c r="I986" s="27"/>
      <c r="J986" s="29"/>
      <c r="K986" s="30"/>
      <c r="L986" s="31"/>
      <c r="M986" s="32"/>
      <c r="N986" s="30"/>
      <c r="O986" s="30"/>
      <c r="P986" s="39"/>
      <c r="Q986" s="34"/>
      <c r="R986" s="35"/>
      <c r="S986" s="36"/>
      <c r="T986" s="35"/>
      <c r="U986" s="36"/>
      <c r="V986" s="37"/>
    </row>
    <row r="987" spans="1:22" x14ac:dyDescent="0.25">
      <c r="A987" s="27"/>
      <c r="B987" s="27"/>
      <c r="C987" s="27"/>
      <c r="D987" s="27"/>
      <c r="E987" s="27"/>
      <c r="F987" s="27"/>
      <c r="G987" s="27"/>
      <c r="H987" s="28"/>
      <c r="I987" s="27"/>
      <c r="J987" s="29"/>
      <c r="K987" s="30"/>
      <c r="L987" s="31"/>
      <c r="M987" s="32"/>
      <c r="N987" s="30"/>
      <c r="O987" s="30"/>
      <c r="P987" s="39"/>
      <c r="Q987" s="34"/>
      <c r="R987" s="35"/>
      <c r="S987" s="36"/>
      <c r="T987" s="35"/>
      <c r="U987" s="36"/>
      <c r="V987" s="37"/>
    </row>
    <row r="988" spans="1:22" x14ac:dyDescent="0.25">
      <c r="A988" s="27"/>
      <c r="B988" s="27"/>
      <c r="C988" s="27"/>
      <c r="D988" s="27"/>
      <c r="E988" s="27"/>
      <c r="F988" s="27"/>
      <c r="G988" s="27"/>
      <c r="H988" s="28"/>
      <c r="I988" s="27"/>
      <c r="J988" s="29"/>
      <c r="K988" s="30"/>
      <c r="L988" s="31"/>
      <c r="M988" s="32"/>
      <c r="N988" s="30"/>
      <c r="O988" s="30"/>
      <c r="P988" s="39"/>
      <c r="Q988" s="34"/>
      <c r="R988" s="35"/>
      <c r="S988" s="36"/>
      <c r="T988" s="35"/>
      <c r="U988" s="36"/>
      <c r="V988" s="37"/>
    </row>
    <row r="989" spans="1:22" x14ac:dyDescent="0.25">
      <c r="A989" s="27"/>
      <c r="B989" s="27"/>
      <c r="C989" s="27"/>
      <c r="D989" s="27"/>
      <c r="E989" s="27"/>
      <c r="F989" s="27"/>
      <c r="G989" s="27"/>
      <c r="H989" s="28"/>
      <c r="I989" s="27"/>
      <c r="J989" s="29"/>
      <c r="K989" s="30"/>
      <c r="L989" s="31"/>
      <c r="M989" s="32"/>
      <c r="N989" s="30"/>
      <c r="O989" s="30"/>
      <c r="P989" s="39"/>
      <c r="Q989" s="34"/>
      <c r="R989" s="35"/>
      <c r="S989" s="36"/>
      <c r="T989" s="35"/>
      <c r="U989" s="36"/>
      <c r="V989" s="37"/>
    </row>
    <row r="990" spans="1:22" x14ac:dyDescent="0.25">
      <c r="A990" s="27"/>
      <c r="B990" s="27"/>
      <c r="C990" s="27"/>
      <c r="D990" s="27"/>
      <c r="E990" s="27"/>
      <c r="F990" s="27"/>
      <c r="G990" s="27"/>
      <c r="H990" s="28"/>
      <c r="I990" s="27"/>
      <c r="J990" s="29"/>
      <c r="K990" s="30"/>
      <c r="L990" s="31"/>
      <c r="M990" s="32"/>
      <c r="N990" s="30"/>
      <c r="O990" s="30"/>
      <c r="P990" s="39"/>
      <c r="Q990" s="34"/>
      <c r="R990" s="35"/>
      <c r="S990" s="36"/>
      <c r="T990" s="35"/>
      <c r="U990" s="36"/>
      <c r="V990" s="37"/>
    </row>
    <row r="991" spans="1:22" x14ac:dyDescent="0.25">
      <c r="A991" s="27"/>
      <c r="B991" s="27"/>
      <c r="C991" s="27"/>
      <c r="D991" s="27"/>
      <c r="E991" s="27"/>
      <c r="F991" s="27"/>
      <c r="G991" s="27"/>
      <c r="H991" s="28"/>
      <c r="I991" s="27"/>
      <c r="J991" s="29"/>
      <c r="K991" s="30"/>
      <c r="L991" s="31"/>
      <c r="M991" s="32"/>
      <c r="N991" s="30"/>
      <c r="O991" s="30"/>
      <c r="P991" s="39"/>
      <c r="Q991" s="34"/>
      <c r="R991" s="35"/>
      <c r="S991" s="36"/>
      <c r="T991" s="35"/>
      <c r="U991" s="36"/>
      <c r="V991" s="37"/>
    </row>
    <row r="992" spans="1:22" x14ac:dyDescent="0.25">
      <c r="A992" s="27"/>
      <c r="B992" s="27"/>
      <c r="C992" s="27"/>
      <c r="D992" s="27"/>
      <c r="E992" s="27"/>
      <c r="F992" s="27"/>
      <c r="G992" s="27"/>
      <c r="H992" s="28"/>
      <c r="I992" s="27"/>
      <c r="J992" s="29"/>
      <c r="K992" s="30"/>
      <c r="L992" s="31"/>
      <c r="M992" s="32"/>
      <c r="N992" s="30"/>
      <c r="O992" s="30"/>
      <c r="P992" s="39"/>
      <c r="Q992" s="34"/>
      <c r="R992" s="35"/>
      <c r="S992" s="36"/>
      <c r="T992" s="35"/>
      <c r="U992" s="36"/>
      <c r="V992" s="37"/>
    </row>
    <row r="993" spans="1:22" x14ac:dyDescent="0.25">
      <c r="A993" s="27"/>
      <c r="B993" s="27"/>
      <c r="C993" s="27"/>
      <c r="D993" s="27"/>
      <c r="E993" s="27"/>
      <c r="F993" s="27"/>
      <c r="G993" s="27"/>
      <c r="H993" s="28"/>
      <c r="I993" s="27"/>
      <c r="J993" s="29"/>
      <c r="K993" s="30"/>
      <c r="L993" s="31"/>
      <c r="M993" s="32"/>
      <c r="N993" s="30"/>
      <c r="O993" s="30"/>
      <c r="P993" s="39"/>
      <c r="Q993" s="34"/>
      <c r="R993" s="35"/>
      <c r="S993" s="36"/>
      <c r="T993" s="35"/>
      <c r="U993" s="36"/>
      <c r="V993" s="37"/>
    </row>
    <row r="994" spans="1:22" x14ac:dyDescent="0.25">
      <c r="A994" s="27"/>
      <c r="B994" s="27"/>
      <c r="C994" s="27"/>
      <c r="D994" s="27"/>
      <c r="E994" s="27"/>
      <c r="F994" s="27"/>
      <c r="G994" s="27"/>
      <c r="H994" s="28"/>
      <c r="I994" s="27"/>
      <c r="J994" s="29"/>
      <c r="K994" s="30"/>
      <c r="L994" s="31"/>
      <c r="M994" s="32"/>
      <c r="N994" s="30"/>
      <c r="O994" s="30"/>
      <c r="P994" s="39"/>
      <c r="Q994" s="34"/>
      <c r="R994" s="35"/>
      <c r="S994" s="36"/>
      <c r="T994" s="35"/>
      <c r="U994" s="36"/>
      <c r="V994" s="37"/>
    </row>
    <row r="995" spans="1:22" x14ac:dyDescent="0.25">
      <c r="A995" s="27"/>
      <c r="B995" s="27"/>
      <c r="C995" s="27"/>
      <c r="D995" s="27"/>
      <c r="E995" s="27"/>
      <c r="F995" s="27"/>
      <c r="G995" s="27"/>
      <c r="H995" s="28"/>
      <c r="I995" s="27"/>
      <c r="J995" s="29"/>
      <c r="K995" s="30"/>
      <c r="L995" s="31"/>
      <c r="M995" s="32"/>
      <c r="N995" s="30"/>
      <c r="O995" s="30"/>
      <c r="P995" s="39"/>
      <c r="Q995" s="34"/>
      <c r="R995" s="35"/>
      <c r="S995" s="36"/>
      <c r="T995" s="35"/>
      <c r="U995" s="36"/>
      <c r="V995" s="37"/>
    </row>
    <row r="996" spans="1:22" x14ac:dyDescent="0.25">
      <c r="A996" s="27"/>
      <c r="B996" s="27"/>
      <c r="C996" s="27"/>
      <c r="D996" s="27"/>
      <c r="E996" s="27"/>
      <c r="F996" s="27"/>
      <c r="G996" s="27"/>
      <c r="H996" s="28"/>
      <c r="I996" s="27"/>
      <c r="J996" s="29"/>
      <c r="K996" s="30"/>
      <c r="L996" s="31"/>
      <c r="M996" s="32"/>
      <c r="N996" s="30"/>
      <c r="O996" s="30"/>
      <c r="P996" s="39"/>
      <c r="Q996" s="34"/>
      <c r="R996" s="35"/>
      <c r="S996" s="36"/>
      <c r="T996" s="35"/>
      <c r="U996" s="36"/>
      <c r="V996" s="37"/>
    </row>
    <row r="997" spans="1:22" x14ac:dyDescent="0.25">
      <c r="A997" s="27"/>
      <c r="B997" s="27"/>
      <c r="C997" s="27"/>
      <c r="D997" s="27"/>
      <c r="E997" s="27"/>
      <c r="F997" s="27"/>
      <c r="G997" s="27"/>
      <c r="H997" s="28"/>
      <c r="I997" s="27"/>
      <c r="J997" s="29"/>
      <c r="K997" s="30"/>
      <c r="L997" s="31"/>
      <c r="M997" s="32"/>
      <c r="N997" s="30"/>
      <c r="O997" s="30"/>
      <c r="P997" s="39"/>
      <c r="Q997" s="34"/>
      <c r="R997" s="35"/>
      <c r="S997" s="36"/>
      <c r="T997" s="35"/>
      <c r="U997" s="36"/>
      <c r="V997" s="37"/>
    </row>
    <row r="998" spans="1:22" x14ac:dyDescent="0.25">
      <c r="A998" s="27"/>
      <c r="B998" s="27"/>
      <c r="C998" s="27"/>
      <c r="D998" s="27"/>
      <c r="E998" s="27"/>
      <c r="F998" s="27"/>
      <c r="G998" s="27"/>
      <c r="H998" s="28"/>
      <c r="I998" s="27"/>
      <c r="J998" s="29"/>
      <c r="K998" s="30"/>
      <c r="L998" s="31"/>
      <c r="M998" s="32"/>
      <c r="N998" s="30"/>
      <c r="O998" s="30"/>
      <c r="P998" s="39"/>
      <c r="Q998" s="34"/>
      <c r="R998" s="35"/>
      <c r="S998" s="36"/>
      <c r="T998" s="35"/>
      <c r="U998" s="36"/>
      <c r="V998" s="37"/>
    </row>
    <row r="999" spans="1:22" x14ac:dyDescent="0.25">
      <c r="A999" s="27"/>
      <c r="B999" s="27"/>
      <c r="C999" s="27"/>
      <c r="D999" s="27"/>
      <c r="E999" s="27"/>
      <c r="F999" s="27"/>
      <c r="G999" s="27"/>
      <c r="H999" s="28"/>
      <c r="I999" s="27"/>
      <c r="J999" s="29"/>
      <c r="K999" s="30"/>
      <c r="L999" s="31"/>
      <c r="M999" s="32"/>
      <c r="N999" s="30"/>
      <c r="O999" s="30"/>
      <c r="P999" s="39"/>
      <c r="Q999" s="34"/>
      <c r="R999" s="35"/>
      <c r="S999" s="36"/>
      <c r="T999" s="35"/>
      <c r="U999" s="36"/>
      <c r="V999" s="37"/>
    </row>
    <row r="1000" spans="1:22" x14ac:dyDescent="0.25">
      <c r="A1000" s="27"/>
      <c r="B1000" s="27"/>
      <c r="C1000" s="27"/>
      <c r="D1000" s="27"/>
      <c r="E1000" s="27"/>
      <c r="F1000" s="27"/>
      <c r="G1000" s="27"/>
      <c r="H1000" s="28"/>
      <c r="I1000" s="27"/>
      <c r="J1000" s="29"/>
      <c r="K1000" s="30"/>
      <c r="L1000" s="31"/>
      <c r="M1000" s="32"/>
      <c r="N1000" s="30"/>
      <c r="O1000" s="30"/>
      <c r="P1000" s="39"/>
      <c r="Q1000" s="34"/>
      <c r="R1000" s="35"/>
      <c r="S1000" s="36"/>
      <c r="T1000" s="35"/>
      <c r="U1000" s="36"/>
      <c r="V1000" s="37"/>
    </row>
    <row r="1001" spans="1:22" x14ac:dyDescent="0.25">
      <c r="A1001" s="27"/>
      <c r="B1001" s="27"/>
      <c r="C1001" s="27"/>
      <c r="D1001" s="27"/>
      <c r="E1001" s="27"/>
      <c r="F1001" s="27"/>
      <c r="G1001" s="27"/>
      <c r="H1001" s="28"/>
      <c r="I1001" s="27"/>
      <c r="J1001" s="29"/>
      <c r="K1001" s="30"/>
      <c r="L1001" s="31"/>
      <c r="M1001" s="32"/>
      <c r="N1001" s="30"/>
      <c r="O1001" s="30"/>
      <c r="P1001" s="39"/>
      <c r="Q1001" s="34"/>
      <c r="R1001" s="35"/>
      <c r="S1001" s="36"/>
      <c r="T1001" s="35"/>
      <c r="U1001" s="36"/>
      <c r="V1001" s="37"/>
    </row>
    <row r="1002" spans="1:22" x14ac:dyDescent="0.25">
      <c r="A1002" s="27"/>
      <c r="B1002" s="27"/>
      <c r="C1002" s="27"/>
      <c r="D1002" s="27"/>
      <c r="E1002" s="27"/>
      <c r="F1002" s="27"/>
      <c r="G1002" s="27"/>
      <c r="H1002" s="28"/>
      <c r="I1002" s="27"/>
      <c r="J1002" s="29"/>
      <c r="K1002" s="30"/>
      <c r="L1002" s="31"/>
      <c r="M1002" s="32"/>
      <c r="N1002" s="30"/>
      <c r="O1002" s="30"/>
      <c r="P1002" s="39"/>
      <c r="Q1002" s="34"/>
      <c r="R1002" s="35"/>
      <c r="S1002" s="36"/>
      <c r="T1002" s="35"/>
      <c r="U1002" s="36"/>
      <c r="V1002" s="37"/>
    </row>
    <row r="1003" spans="1:22" x14ac:dyDescent="0.25">
      <c r="A1003" s="27"/>
      <c r="B1003" s="27"/>
      <c r="C1003" s="27"/>
      <c r="D1003" s="27"/>
      <c r="E1003" s="27"/>
      <c r="F1003" s="27"/>
      <c r="G1003" s="27"/>
      <c r="H1003" s="28"/>
      <c r="I1003" s="27"/>
      <c r="J1003" s="29"/>
      <c r="K1003" s="30"/>
      <c r="L1003" s="31"/>
      <c r="M1003" s="32"/>
      <c r="N1003" s="30"/>
      <c r="O1003" s="30"/>
      <c r="P1003" s="39"/>
      <c r="Q1003" s="34"/>
      <c r="R1003" s="35"/>
      <c r="S1003" s="36"/>
      <c r="T1003" s="35"/>
      <c r="U1003" s="36"/>
      <c r="V1003" s="37"/>
    </row>
    <row r="1004" spans="1:22" x14ac:dyDescent="0.25">
      <c r="A1004" s="27"/>
      <c r="B1004" s="27"/>
      <c r="C1004" s="27"/>
      <c r="D1004" s="27"/>
      <c r="E1004" s="27"/>
      <c r="F1004" s="27"/>
      <c r="G1004" s="27"/>
      <c r="H1004" s="28"/>
      <c r="I1004" s="27"/>
      <c r="J1004" s="29"/>
      <c r="K1004" s="30"/>
      <c r="L1004" s="31"/>
      <c r="M1004" s="32"/>
      <c r="N1004" s="30"/>
      <c r="O1004" s="30"/>
      <c r="P1004" s="39"/>
      <c r="Q1004" s="34"/>
      <c r="R1004" s="35"/>
      <c r="S1004" s="36"/>
      <c r="T1004" s="35"/>
      <c r="U1004" s="36"/>
      <c r="V1004" s="37"/>
    </row>
    <row r="1005" spans="1:22" x14ac:dyDescent="0.25">
      <c r="A1005" s="27"/>
      <c r="B1005" s="27"/>
      <c r="C1005" s="27"/>
      <c r="D1005" s="27"/>
      <c r="E1005" s="27"/>
      <c r="F1005" s="27"/>
      <c r="G1005" s="27"/>
      <c r="H1005" s="28"/>
      <c r="I1005" s="27"/>
      <c r="J1005" s="29"/>
      <c r="K1005" s="30"/>
      <c r="L1005" s="31"/>
      <c r="M1005" s="32"/>
      <c r="N1005" s="30"/>
      <c r="O1005" s="30"/>
      <c r="P1005" s="39"/>
      <c r="Q1005" s="34"/>
      <c r="R1005" s="35"/>
      <c r="S1005" s="36"/>
      <c r="T1005" s="35"/>
      <c r="U1005" s="36"/>
      <c r="V1005" s="37"/>
    </row>
    <row r="1006" spans="1:22" x14ac:dyDescent="0.25">
      <c r="A1006" s="27"/>
      <c r="B1006" s="27"/>
      <c r="C1006" s="27"/>
      <c r="D1006" s="27"/>
      <c r="E1006" s="27"/>
      <c r="F1006" s="27"/>
      <c r="G1006" s="27"/>
      <c r="H1006" s="28"/>
      <c r="I1006" s="27"/>
      <c r="J1006" s="29"/>
      <c r="K1006" s="30"/>
      <c r="L1006" s="31"/>
      <c r="M1006" s="32"/>
      <c r="N1006" s="30"/>
      <c r="O1006" s="30"/>
      <c r="P1006" s="39"/>
      <c r="Q1006" s="34"/>
      <c r="R1006" s="35"/>
      <c r="S1006" s="36"/>
      <c r="T1006" s="35"/>
      <c r="U1006" s="36"/>
      <c r="V1006" s="37"/>
    </row>
    <row r="1007" spans="1:22" x14ac:dyDescent="0.25">
      <c r="A1007" s="27"/>
      <c r="B1007" s="27"/>
      <c r="C1007" s="27"/>
      <c r="D1007" s="27"/>
      <c r="E1007" s="27"/>
      <c r="F1007" s="27"/>
      <c r="G1007" s="27"/>
      <c r="H1007" s="28"/>
      <c r="I1007" s="27"/>
      <c r="J1007" s="29"/>
      <c r="K1007" s="30"/>
      <c r="L1007" s="31"/>
      <c r="M1007" s="32"/>
      <c r="N1007" s="30"/>
      <c r="O1007" s="30"/>
      <c r="P1007" s="39"/>
      <c r="Q1007" s="34"/>
      <c r="R1007" s="35"/>
      <c r="S1007" s="36"/>
      <c r="T1007" s="35"/>
      <c r="U1007" s="36"/>
      <c r="V1007" s="37"/>
    </row>
    <row r="1008" spans="1:22" x14ac:dyDescent="0.25">
      <c r="A1008" s="27"/>
      <c r="B1008" s="27"/>
      <c r="C1008" s="27"/>
      <c r="D1008" s="27"/>
      <c r="E1008" s="27"/>
      <c r="F1008" s="27"/>
      <c r="G1008" s="27"/>
      <c r="H1008" s="28"/>
      <c r="I1008" s="27"/>
      <c r="J1008" s="29"/>
      <c r="K1008" s="30"/>
      <c r="L1008" s="31"/>
      <c r="M1008" s="32"/>
      <c r="N1008" s="30"/>
      <c r="O1008" s="30"/>
      <c r="P1008" s="39"/>
      <c r="Q1008" s="34"/>
      <c r="R1008" s="35"/>
      <c r="S1008" s="36"/>
      <c r="T1008" s="35"/>
      <c r="U1008" s="36"/>
      <c r="V1008" s="37"/>
    </row>
    <row r="1009" spans="1:22" x14ac:dyDescent="0.25">
      <c r="A1009" s="27"/>
      <c r="B1009" s="27"/>
      <c r="C1009" s="27"/>
      <c r="D1009" s="27"/>
      <c r="E1009" s="27"/>
      <c r="F1009" s="27"/>
      <c r="G1009" s="27"/>
      <c r="H1009" s="28"/>
      <c r="I1009" s="27"/>
      <c r="J1009" s="29"/>
      <c r="K1009" s="30"/>
      <c r="L1009" s="31"/>
      <c r="M1009" s="32"/>
      <c r="N1009" s="30"/>
      <c r="O1009" s="30"/>
      <c r="P1009" s="39"/>
      <c r="Q1009" s="34"/>
      <c r="R1009" s="35"/>
      <c r="S1009" s="36"/>
      <c r="T1009" s="35"/>
      <c r="U1009" s="36"/>
      <c r="V1009" s="37"/>
    </row>
    <row r="1010" spans="1:22" x14ac:dyDescent="0.25">
      <c r="A1010" s="27"/>
      <c r="B1010" s="27"/>
      <c r="C1010" s="27"/>
      <c r="D1010" s="27"/>
      <c r="E1010" s="27"/>
      <c r="F1010" s="27"/>
      <c r="G1010" s="27"/>
      <c r="H1010" s="28"/>
      <c r="I1010" s="27"/>
      <c r="J1010" s="29"/>
      <c r="K1010" s="30"/>
      <c r="L1010" s="31"/>
      <c r="M1010" s="32"/>
      <c r="N1010" s="30"/>
      <c r="O1010" s="30"/>
      <c r="P1010" s="39"/>
      <c r="Q1010" s="34"/>
      <c r="R1010" s="35"/>
      <c r="S1010" s="36"/>
      <c r="T1010" s="35"/>
      <c r="U1010" s="36"/>
      <c r="V1010" s="37"/>
    </row>
    <row r="1011" spans="1:22" x14ac:dyDescent="0.25">
      <c r="A1011" s="27"/>
      <c r="B1011" s="27"/>
      <c r="C1011" s="27"/>
      <c r="D1011" s="27"/>
      <c r="E1011" s="27"/>
      <c r="F1011" s="27"/>
      <c r="G1011" s="27"/>
      <c r="H1011" s="28"/>
      <c r="I1011" s="27"/>
      <c r="J1011" s="29"/>
      <c r="K1011" s="30"/>
      <c r="L1011" s="31"/>
      <c r="M1011" s="32"/>
      <c r="N1011" s="30"/>
      <c r="O1011" s="30"/>
      <c r="P1011" s="39"/>
      <c r="Q1011" s="34"/>
      <c r="R1011" s="35"/>
      <c r="S1011" s="36"/>
      <c r="T1011" s="35"/>
      <c r="U1011" s="36"/>
      <c r="V1011" s="37"/>
    </row>
    <row r="1012" spans="1:22" x14ac:dyDescent="0.25">
      <c r="A1012" s="27"/>
      <c r="B1012" s="27"/>
      <c r="C1012" s="27"/>
      <c r="D1012" s="27"/>
      <c r="E1012" s="27"/>
      <c r="F1012" s="27"/>
      <c r="G1012" s="27"/>
      <c r="H1012" s="28"/>
      <c r="I1012" s="27"/>
      <c r="J1012" s="29"/>
      <c r="K1012" s="30"/>
      <c r="L1012" s="31"/>
      <c r="M1012" s="32"/>
      <c r="N1012" s="30"/>
      <c r="O1012" s="30"/>
      <c r="P1012" s="39"/>
      <c r="Q1012" s="34"/>
      <c r="R1012" s="35"/>
      <c r="S1012" s="36"/>
      <c r="T1012" s="35"/>
      <c r="U1012" s="36"/>
      <c r="V1012" s="37"/>
    </row>
    <row r="1013" spans="1:22" x14ac:dyDescent="0.25">
      <c r="A1013" s="27"/>
      <c r="B1013" s="27"/>
      <c r="C1013" s="27"/>
      <c r="D1013" s="27"/>
      <c r="E1013" s="27"/>
      <c r="F1013" s="27"/>
      <c r="G1013" s="27"/>
      <c r="H1013" s="28"/>
      <c r="I1013" s="27"/>
      <c r="J1013" s="29"/>
      <c r="K1013" s="30"/>
      <c r="L1013" s="31"/>
      <c r="M1013" s="32"/>
      <c r="N1013" s="30"/>
      <c r="O1013" s="30"/>
      <c r="P1013" s="39"/>
      <c r="Q1013" s="34"/>
      <c r="R1013" s="35"/>
      <c r="S1013" s="36"/>
      <c r="T1013" s="35"/>
      <c r="U1013" s="36"/>
      <c r="V1013" s="37"/>
    </row>
    <row r="1014" spans="1:22" x14ac:dyDescent="0.25">
      <c r="A1014" s="27"/>
      <c r="B1014" s="27"/>
      <c r="C1014" s="27"/>
      <c r="D1014" s="27"/>
      <c r="E1014" s="27"/>
      <c r="F1014" s="27"/>
      <c r="G1014" s="27"/>
      <c r="H1014" s="28"/>
      <c r="I1014" s="27"/>
      <c r="J1014" s="29"/>
      <c r="K1014" s="30"/>
      <c r="L1014" s="31"/>
      <c r="M1014" s="32"/>
      <c r="N1014" s="30"/>
      <c r="O1014" s="30"/>
      <c r="P1014" s="39"/>
      <c r="Q1014" s="34"/>
      <c r="R1014" s="35"/>
      <c r="S1014" s="36"/>
      <c r="T1014" s="35"/>
      <c r="U1014" s="36"/>
      <c r="V1014" s="37"/>
    </row>
    <row r="1015" spans="1:22" x14ac:dyDescent="0.25">
      <c r="A1015" s="27"/>
      <c r="B1015" s="27"/>
      <c r="C1015" s="27"/>
      <c r="D1015" s="27"/>
      <c r="E1015" s="27"/>
      <c r="F1015" s="27"/>
      <c r="G1015" s="27"/>
      <c r="H1015" s="28"/>
      <c r="I1015" s="27"/>
      <c r="J1015" s="29"/>
      <c r="K1015" s="30"/>
      <c r="L1015" s="31"/>
      <c r="M1015" s="32"/>
      <c r="N1015" s="30"/>
      <c r="O1015" s="30"/>
      <c r="P1015" s="39"/>
      <c r="Q1015" s="34"/>
      <c r="R1015" s="35"/>
      <c r="S1015" s="36"/>
      <c r="T1015" s="35"/>
      <c r="U1015" s="36"/>
      <c r="V1015" s="37"/>
    </row>
    <row r="1016" spans="1:22" x14ac:dyDescent="0.25">
      <c r="A1016" s="27"/>
      <c r="B1016" s="27"/>
      <c r="C1016" s="27"/>
      <c r="D1016" s="27"/>
      <c r="E1016" s="27"/>
      <c r="F1016" s="27"/>
      <c r="G1016" s="27"/>
      <c r="H1016" s="28"/>
      <c r="I1016" s="27"/>
      <c r="J1016" s="29"/>
      <c r="K1016" s="30"/>
      <c r="L1016" s="31"/>
      <c r="M1016" s="32"/>
      <c r="N1016" s="30"/>
      <c r="O1016" s="30"/>
      <c r="P1016" s="39"/>
      <c r="Q1016" s="34"/>
      <c r="R1016" s="35"/>
      <c r="S1016" s="36"/>
      <c r="T1016" s="35"/>
      <c r="U1016" s="36"/>
      <c r="V1016" s="37"/>
    </row>
    <row r="1017" spans="1:22" x14ac:dyDescent="0.25">
      <c r="A1017" s="27"/>
      <c r="B1017" s="27"/>
      <c r="C1017" s="27"/>
      <c r="D1017" s="27"/>
      <c r="E1017" s="27"/>
      <c r="F1017" s="27"/>
      <c r="G1017" s="27"/>
      <c r="H1017" s="28"/>
      <c r="I1017" s="27"/>
      <c r="J1017" s="29"/>
      <c r="K1017" s="30"/>
      <c r="L1017" s="31"/>
      <c r="M1017" s="32"/>
      <c r="N1017" s="30"/>
      <c r="O1017" s="30"/>
      <c r="P1017" s="39"/>
      <c r="Q1017" s="34"/>
      <c r="R1017" s="35"/>
      <c r="S1017" s="36"/>
      <c r="T1017" s="35"/>
      <c r="U1017" s="36"/>
      <c r="V1017" s="37"/>
    </row>
    <row r="1018" spans="1:22" x14ac:dyDescent="0.25">
      <c r="A1018" s="27"/>
      <c r="B1018" s="27"/>
      <c r="C1018" s="27"/>
      <c r="D1018" s="27"/>
      <c r="E1018" s="27"/>
      <c r="F1018" s="27"/>
      <c r="G1018" s="27"/>
      <c r="H1018" s="28"/>
      <c r="I1018" s="27"/>
      <c r="J1018" s="29"/>
      <c r="K1018" s="30"/>
      <c r="L1018" s="31"/>
      <c r="M1018" s="32"/>
      <c r="N1018" s="30"/>
      <c r="O1018" s="30"/>
      <c r="P1018" s="39"/>
      <c r="Q1018" s="34"/>
      <c r="R1018" s="35"/>
      <c r="S1018" s="36"/>
      <c r="T1018" s="35"/>
      <c r="U1018" s="36"/>
      <c r="V1018" s="37"/>
    </row>
    <row r="1019" spans="1:22" x14ac:dyDescent="0.25">
      <c r="A1019" s="27"/>
      <c r="B1019" s="27"/>
      <c r="C1019" s="27"/>
      <c r="D1019" s="27"/>
      <c r="E1019" s="27"/>
      <c r="F1019" s="27"/>
      <c r="G1019" s="27"/>
      <c r="H1019" s="28"/>
      <c r="I1019" s="27"/>
      <c r="J1019" s="29"/>
      <c r="K1019" s="30"/>
      <c r="L1019" s="31"/>
      <c r="M1019" s="32"/>
      <c r="N1019" s="30"/>
      <c r="O1019" s="30"/>
      <c r="P1019" s="39"/>
      <c r="Q1019" s="34"/>
      <c r="R1019" s="35"/>
      <c r="S1019" s="36"/>
      <c r="T1019" s="35"/>
      <c r="U1019" s="36"/>
      <c r="V1019" s="37"/>
    </row>
    <row r="1020" spans="1:22" x14ac:dyDescent="0.25">
      <c r="A1020" s="27"/>
      <c r="B1020" s="27"/>
      <c r="C1020" s="27"/>
      <c r="D1020" s="27"/>
      <c r="E1020" s="27"/>
      <c r="F1020" s="27"/>
      <c r="G1020" s="27"/>
      <c r="H1020" s="28"/>
      <c r="I1020" s="27"/>
      <c r="J1020" s="29"/>
      <c r="K1020" s="30"/>
      <c r="L1020" s="31"/>
      <c r="M1020" s="32"/>
      <c r="N1020" s="30"/>
      <c r="O1020" s="30"/>
      <c r="P1020" s="39"/>
      <c r="Q1020" s="34"/>
      <c r="R1020" s="35"/>
      <c r="S1020" s="36"/>
      <c r="T1020" s="35"/>
      <c r="U1020" s="36"/>
      <c r="V1020" s="37"/>
    </row>
    <row r="1021" spans="1:22" x14ac:dyDescent="0.25">
      <c r="A1021" s="27"/>
      <c r="B1021" s="27"/>
      <c r="C1021" s="27"/>
      <c r="D1021" s="27"/>
      <c r="E1021" s="27"/>
      <c r="F1021" s="27"/>
      <c r="G1021" s="27"/>
      <c r="H1021" s="28"/>
      <c r="I1021" s="27"/>
      <c r="J1021" s="29"/>
      <c r="K1021" s="30"/>
      <c r="L1021" s="31"/>
      <c r="M1021" s="32"/>
      <c r="N1021" s="30"/>
      <c r="O1021" s="30"/>
      <c r="P1021" s="39"/>
      <c r="Q1021" s="34"/>
      <c r="R1021" s="35"/>
      <c r="S1021" s="36"/>
      <c r="T1021" s="35"/>
      <c r="U1021" s="36"/>
      <c r="V1021" s="37"/>
    </row>
    <row r="1022" spans="1:22" x14ac:dyDescent="0.25">
      <c r="A1022" s="27"/>
      <c r="B1022" s="27"/>
      <c r="C1022" s="27"/>
      <c r="D1022" s="27"/>
      <c r="E1022" s="27"/>
      <c r="F1022" s="27"/>
      <c r="G1022" s="27"/>
      <c r="H1022" s="28"/>
      <c r="I1022" s="27"/>
      <c r="J1022" s="29"/>
      <c r="K1022" s="30"/>
      <c r="L1022" s="31"/>
      <c r="M1022" s="32"/>
      <c r="N1022" s="30"/>
      <c r="O1022" s="30"/>
      <c r="P1022" s="39"/>
      <c r="Q1022" s="34"/>
      <c r="R1022" s="35"/>
      <c r="S1022" s="36"/>
      <c r="T1022" s="35"/>
      <c r="U1022" s="36"/>
      <c r="V1022" s="37"/>
    </row>
    <row r="1023" spans="1:22" x14ac:dyDescent="0.25">
      <c r="A1023" s="27"/>
      <c r="B1023" s="27"/>
      <c r="C1023" s="27"/>
      <c r="D1023" s="27"/>
      <c r="E1023" s="27"/>
      <c r="F1023" s="27"/>
      <c r="G1023" s="27"/>
      <c r="H1023" s="28"/>
      <c r="I1023" s="27"/>
      <c r="J1023" s="29"/>
      <c r="K1023" s="30"/>
      <c r="L1023" s="31"/>
      <c r="M1023" s="32"/>
      <c r="N1023" s="30"/>
      <c r="O1023" s="30"/>
      <c r="P1023" s="39"/>
      <c r="Q1023" s="34"/>
      <c r="R1023" s="35"/>
      <c r="S1023" s="36"/>
      <c r="T1023" s="35"/>
      <c r="U1023" s="36"/>
      <c r="V1023" s="37"/>
    </row>
    <row r="1024" spans="1:22" x14ac:dyDescent="0.25">
      <c r="A1024" s="27"/>
      <c r="B1024" s="27"/>
      <c r="C1024" s="27"/>
      <c r="D1024" s="27"/>
      <c r="E1024" s="27"/>
      <c r="F1024" s="27"/>
      <c r="G1024" s="27"/>
      <c r="H1024" s="28"/>
      <c r="I1024" s="27"/>
      <c r="J1024" s="29"/>
      <c r="K1024" s="30"/>
      <c r="L1024" s="31"/>
      <c r="M1024" s="32"/>
      <c r="N1024" s="30"/>
      <c r="O1024" s="30"/>
      <c r="P1024" s="39"/>
      <c r="Q1024" s="34"/>
      <c r="R1024" s="35"/>
      <c r="S1024" s="36"/>
      <c r="T1024" s="35"/>
      <c r="U1024" s="36"/>
      <c r="V1024" s="37"/>
    </row>
    <row r="1025" spans="1:22" x14ac:dyDescent="0.25">
      <c r="A1025" s="27"/>
      <c r="B1025" s="27"/>
      <c r="C1025" s="27"/>
      <c r="D1025" s="27"/>
      <c r="E1025" s="27"/>
      <c r="F1025" s="27"/>
      <c r="G1025" s="27"/>
      <c r="H1025" s="28"/>
      <c r="I1025" s="27"/>
      <c r="J1025" s="29"/>
      <c r="K1025" s="30"/>
      <c r="L1025" s="31"/>
      <c r="M1025" s="32"/>
      <c r="N1025" s="30"/>
      <c r="O1025" s="30"/>
      <c r="P1025" s="39"/>
      <c r="Q1025" s="34"/>
      <c r="R1025" s="35"/>
      <c r="S1025" s="36"/>
      <c r="T1025" s="35"/>
      <c r="U1025" s="36"/>
      <c r="V1025" s="37"/>
    </row>
    <row r="1026" spans="1:22" x14ac:dyDescent="0.25">
      <c r="A1026" s="27"/>
      <c r="B1026" s="27"/>
      <c r="C1026" s="27"/>
      <c r="D1026" s="27"/>
      <c r="E1026" s="27"/>
      <c r="F1026" s="27"/>
      <c r="G1026" s="27"/>
      <c r="H1026" s="28"/>
      <c r="I1026" s="27"/>
      <c r="J1026" s="29"/>
      <c r="K1026" s="30"/>
      <c r="L1026" s="31"/>
      <c r="M1026" s="32"/>
      <c r="N1026" s="30"/>
      <c r="O1026" s="30"/>
      <c r="P1026" s="39"/>
      <c r="Q1026" s="34"/>
      <c r="R1026" s="35"/>
      <c r="S1026" s="36"/>
      <c r="T1026" s="35"/>
      <c r="U1026" s="36"/>
      <c r="V1026" s="37"/>
    </row>
    <row r="1027" spans="1:22" x14ac:dyDescent="0.25">
      <c r="A1027" s="27"/>
      <c r="B1027" s="27"/>
      <c r="C1027" s="27"/>
      <c r="D1027" s="27"/>
      <c r="E1027" s="27"/>
      <c r="F1027" s="27"/>
      <c r="G1027" s="27"/>
      <c r="H1027" s="28"/>
      <c r="I1027" s="27"/>
      <c r="J1027" s="29"/>
      <c r="K1027" s="30"/>
      <c r="L1027" s="31"/>
      <c r="M1027" s="32"/>
      <c r="N1027" s="30"/>
      <c r="O1027" s="30"/>
      <c r="P1027" s="39"/>
      <c r="Q1027" s="34"/>
      <c r="R1027" s="35"/>
      <c r="S1027" s="36"/>
      <c r="T1027" s="35"/>
      <c r="U1027" s="36"/>
      <c r="V1027" s="37"/>
    </row>
    <row r="1028" spans="1:22" x14ac:dyDescent="0.25">
      <c r="A1028" s="27"/>
      <c r="B1028" s="27"/>
      <c r="C1028" s="27"/>
      <c r="D1028" s="27"/>
      <c r="E1028" s="27"/>
      <c r="F1028" s="27"/>
      <c r="G1028" s="27"/>
      <c r="H1028" s="28"/>
      <c r="I1028" s="27"/>
      <c r="J1028" s="29"/>
      <c r="K1028" s="30"/>
      <c r="L1028" s="31"/>
      <c r="M1028" s="32"/>
      <c r="N1028" s="30"/>
      <c r="O1028" s="30"/>
      <c r="P1028" s="39"/>
      <c r="Q1028" s="34"/>
      <c r="R1028" s="35"/>
      <c r="S1028" s="36"/>
      <c r="T1028" s="35"/>
      <c r="U1028" s="36"/>
      <c r="V1028" s="37"/>
    </row>
    <row r="1029" spans="1:22" x14ac:dyDescent="0.25">
      <c r="A1029" s="27"/>
      <c r="B1029" s="27"/>
      <c r="C1029" s="27"/>
      <c r="D1029" s="27"/>
      <c r="E1029" s="27"/>
      <c r="F1029" s="27"/>
      <c r="G1029" s="27"/>
      <c r="H1029" s="28"/>
      <c r="I1029" s="27"/>
      <c r="J1029" s="29"/>
      <c r="K1029" s="30"/>
      <c r="L1029" s="31"/>
      <c r="M1029" s="32"/>
      <c r="N1029" s="30"/>
      <c r="O1029" s="30"/>
      <c r="P1029" s="39"/>
      <c r="Q1029" s="34"/>
      <c r="R1029" s="35"/>
      <c r="S1029" s="36"/>
      <c r="T1029" s="35"/>
      <c r="U1029" s="36"/>
      <c r="V1029" s="37"/>
    </row>
    <row r="1030" spans="1:22" x14ac:dyDescent="0.25">
      <c r="A1030" s="27"/>
      <c r="B1030" s="27"/>
      <c r="C1030" s="27"/>
      <c r="D1030" s="27"/>
      <c r="E1030" s="27"/>
      <c r="F1030" s="27"/>
      <c r="G1030" s="27"/>
      <c r="H1030" s="28"/>
      <c r="I1030" s="27"/>
      <c r="J1030" s="29"/>
      <c r="K1030" s="30"/>
      <c r="L1030" s="31"/>
      <c r="M1030" s="32"/>
      <c r="N1030" s="30"/>
      <c r="O1030" s="30"/>
      <c r="P1030" s="39"/>
      <c r="Q1030" s="34"/>
      <c r="R1030" s="35"/>
      <c r="S1030" s="36"/>
      <c r="T1030" s="35"/>
      <c r="U1030" s="36"/>
      <c r="V1030" s="37"/>
    </row>
    <row r="1031" spans="1:22" x14ac:dyDescent="0.25">
      <c r="A1031" s="27"/>
      <c r="B1031" s="27"/>
      <c r="C1031" s="27"/>
      <c r="D1031" s="27"/>
      <c r="E1031" s="27"/>
      <c r="F1031" s="27"/>
      <c r="G1031" s="27"/>
      <c r="H1031" s="28"/>
      <c r="I1031" s="27"/>
      <c r="J1031" s="29"/>
      <c r="K1031" s="30"/>
      <c r="L1031" s="31"/>
      <c r="M1031" s="32"/>
      <c r="N1031" s="30"/>
      <c r="O1031" s="30"/>
      <c r="P1031" s="39"/>
      <c r="Q1031" s="34"/>
      <c r="R1031" s="35"/>
      <c r="S1031" s="36"/>
      <c r="T1031" s="35"/>
      <c r="U1031" s="36"/>
      <c r="V1031" s="37"/>
    </row>
    <row r="1032" spans="1:22" x14ac:dyDescent="0.25">
      <c r="A1032" s="27"/>
      <c r="B1032" s="27"/>
      <c r="C1032" s="27"/>
      <c r="D1032" s="27"/>
      <c r="E1032" s="27"/>
      <c r="F1032" s="27"/>
      <c r="G1032" s="27"/>
      <c r="H1032" s="28"/>
      <c r="I1032" s="27"/>
      <c r="J1032" s="29"/>
      <c r="K1032" s="30"/>
      <c r="L1032" s="31"/>
      <c r="M1032" s="32"/>
      <c r="N1032" s="30"/>
      <c r="O1032" s="30"/>
      <c r="P1032" s="39"/>
      <c r="Q1032" s="34"/>
      <c r="R1032" s="35"/>
      <c r="S1032" s="36"/>
      <c r="T1032" s="35"/>
      <c r="U1032" s="36"/>
      <c r="V1032" s="37"/>
    </row>
    <row r="1033" spans="1:22" x14ac:dyDescent="0.25">
      <c r="A1033" s="27"/>
      <c r="B1033" s="27"/>
      <c r="C1033" s="27"/>
      <c r="D1033" s="27"/>
      <c r="E1033" s="27"/>
      <c r="F1033" s="27"/>
      <c r="G1033" s="27"/>
      <c r="H1033" s="28"/>
      <c r="I1033" s="27"/>
      <c r="J1033" s="29"/>
      <c r="K1033" s="30"/>
      <c r="L1033" s="31"/>
      <c r="M1033" s="32"/>
      <c r="N1033" s="30"/>
      <c r="O1033" s="30"/>
      <c r="P1033" s="39"/>
      <c r="Q1033" s="34"/>
      <c r="R1033" s="35"/>
      <c r="S1033" s="36"/>
      <c r="T1033" s="35"/>
      <c r="U1033" s="36"/>
      <c r="V1033" s="37"/>
    </row>
    <row r="1034" spans="1:22" x14ac:dyDescent="0.25">
      <c r="A1034" s="27"/>
      <c r="B1034" s="27"/>
      <c r="C1034" s="27"/>
      <c r="D1034" s="27"/>
      <c r="E1034" s="27"/>
      <c r="F1034" s="27"/>
      <c r="G1034" s="27"/>
      <c r="H1034" s="28"/>
      <c r="I1034" s="27"/>
      <c r="J1034" s="29"/>
      <c r="K1034" s="30"/>
      <c r="L1034" s="31"/>
      <c r="M1034" s="32"/>
      <c r="N1034" s="30"/>
      <c r="O1034" s="30"/>
      <c r="P1034" s="39"/>
      <c r="Q1034" s="34"/>
      <c r="R1034" s="35"/>
      <c r="S1034" s="36"/>
      <c r="T1034" s="35"/>
      <c r="U1034" s="36"/>
      <c r="V1034" s="37"/>
    </row>
    <row r="1035" spans="1:22" x14ac:dyDescent="0.25">
      <c r="A1035" s="27"/>
      <c r="B1035" s="27"/>
      <c r="C1035" s="27"/>
      <c r="D1035" s="27"/>
      <c r="E1035" s="27"/>
      <c r="F1035" s="27"/>
      <c r="G1035" s="27"/>
      <c r="H1035" s="28"/>
      <c r="I1035" s="27"/>
      <c r="J1035" s="29"/>
      <c r="K1035" s="30"/>
      <c r="L1035" s="31"/>
      <c r="M1035" s="32"/>
      <c r="N1035" s="30"/>
      <c r="O1035" s="30"/>
      <c r="P1035" s="39"/>
      <c r="Q1035" s="34"/>
      <c r="R1035" s="35"/>
      <c r="S1035" s="36"/>
      <c r="T1035" s="35"/>
      <c r="U1035" s="36"/>
      <c r="V1035" s="37"/>
    </row>
    <row r="1036" spans="1:22" x14ac:dyDescent="0.25">
      <c r="A1036" s="27"/>
      <c r="B1036" s="27"/>
      <c r="C1036" s="27"/>
      <c r="D1036" s="27"/>
      <c r="E1036" s="27"/>
      <c r="F1036" s="27"/>
      <c r="G1036" s="27"/>
      <c r="H1036" s="28"/>
      <c r="I1036" s="27"/>
      <c r="J1036" s="29"/>
      <c r="K1036" s="30"/>
      <c r="L1036" s="31"/>
      <c r="M1036" s="32"/>
      <c r="N1036" s="30"/>
      <c r="O1036" s="30"/>
      <c r="P1036" s="39"/>
      <c r="Q1036" s="34"/>
      <c r="R1036" s="35"/>
      <c r="S1036" s="36"/>
      <c r="T1036" s="35"/>
      <c r="U1036" s="36"/>
      <c r="V1036" s="37"/>
    </row>
    <row r="1037" spans="1:22" x14ac:dyDescent="0.25">
      <c r="A1037" s="27"/>
      <c r="B1037" s="27"/>
      <c r="C1037" s="27"/>
      <c r="D1037" s="27"/>
      <c r="E1037" s="27"/>
      <c r="F1037" s="27"/>
      <c r="G1037" s="27"/>
      <c r="H1037" s="28"/>
      <c r="I1037" s="27"/>
      <c r="J1037" s="29"/>
      <c r="K1037" s="30"/>
      <c r="L1037" s="31"/>
      <c r="M1037" s="32"/>
      <c r="N1037" s="30"/>
      <c r="O1037" s="30"/>
      <c r="P1037" s="39"/>
      <c r="Q1037" s="34"/>
      <c r="R1037" s="35"/>
      <c r="S1037" s="36"/>
      <c r="T1037" s="35"/>
      <c r="U1037" s="36"/>
      <c r="V1037" s="37"/>
    </row>
    <row r="1038" spans="1:22" x14ac:dyDescent="0.25">
      <c r="A1038" s="27"/>
      <c r="B1038" s="27"/>
      <c r="C1038" s="27"/>
      <c r="D1038" s="27"/>
      <c r="E1038" s="27"/>
      <c r="F1038" s="27"/>
      <c r="G1038" s="27"/>
      <c r="H1038" s="28"/>
      <c r="I1038" s="27"/>
      <c r="J1038" s="29"/>
      <c r="K1038" s="30"/>
      <c r="L1038" s="31"/>
      <c r="M1038" s="32"/>
      <c r="N1038" s="30"/>
      <c r="O1038" s="30"/>
      <c r="P1038" s="39"/>
      <c r="Q1038" s="34"/>
      <c r="R1038" s="35"/>
      <c r="S1038" s="36"/>
      <c r="T1038" s="35"/>
      <c r="U1038" s="36"/>
      <c r="V1038" s="37"/>
    </row>
    <row r="1039" spans="1:22" x14ac:dyDescent="0.25">
      <c r="A1039" s="27"/>
      <c r="B1039" s="27"/>
      <c r="C1039" s="27"/>
      <c r="D1039" s="27"/>
      <c r="E1039" s="27"/>
      <c r="F1039" s="27"/>
      <c r="G1039" s="27"/>
      <c r="H1039" s="28"/>
      <c r="I1039" s="27"/>
      <c r="J1039" s="29"/>
      <c r="K1039" s="30"/>
      <c r="L1039" s="31"/>
      <c r="M1039" s="32"/>
      <c r="N1039" s="30"/>
      <c r="O1039" s="30"/>
      <c r="P1039" s="39"/>
      <c r="Q1039" s="34"/>
      <c r="R1039" s="35"/>
      <c r="S1039" s="36"/>
      <c r="T1039" s="35"/>
      <c r="U1039" s="36"/>
      <c r="V1039" s="37"/>
    </row>
    <row r="1040" spans="1:22" x14ac:dyDescent="0.25">
      <c r="A1040" s="27"/>
      <c r="B1040" s="27"/>
      <c r="C1040" s="27"/>
      <c r="D1040" s="27"/>
      <c r="E1040" s="27"/>
      <c r="F1040" s="27"/>
      <c r="G1040" s="27"/>
      <c r="H1040" s="28"/>
      <c r="I1040" s="27"/>
      <c r="J1040" s="29"/>
      <c r="K1040" s="30"/>
      <c r="L1040" s="31"/>
      <c r="M1040" s="32"/>
      <c r="N1040" s="30"/>
      <c r="O1040" s="30"/>
      <c r="P1040" s="39"/>
      <c r="Q1040" s="34"/>
      <c r="R1040" s="35"/>
      <c r="S1040" s="36"/>
      <c r="T1040" s="35"/>
      <c r="U1040" s="36"/>
      <c r="V1040" s="37"/>
    </row>
    <row r="1041" spans="1:22" x14ac:dyDescent="0.25">
      <c r="A1041" s="27"/>
      <c r="B1041" s="27"/>
      <c r="C1041" s="27"/>
      <c r="D1041" s="27"/>
      <c r="E1041" s="27"/>
      <c r="F1041" s="27"/>
      <c r="G1041" s="27"/>
      <c r="H1041" s="28"/>
      <c r="I1041" s="27"/>
      <c r="J1041" s="29"/>
      <c r="K1041" s="30"/>
      <c r="L1041" s="31"/>
      <c r="M1041" s="32"/>
      <c r="N1041" s="30"/>
      <c r="O1041" s="30"/>
      <c r="P1041" s="39"/>
      <c r="Q1041" s="34"/>
      <c r="R1041" s="35"/>
      <c r="S1041" s="36"/>
      <c r="T1041" s="35"/>
      <c r="U1041" s="36"/>
      <c r="V1041" s="37"/>
    </row>
    <row r="1042" spans="1:22" x14ac:dyDescent="0.25">
      <c r="A1042" s="27"/>
      <c r="B1042" s="27"/>
      <c r="C1042" s="27"/>
      <c r="D1042" s="27"/>
      <c r="E1042" s="27"/>
      <c r="F1042" s="27"/>
      <c r="G1042" s="27"/>
      <c r="H1042" s="28"/>
      <c r="I1042" s="27"/>
      <c r="J1042" s="29"/>
      <c r="K1042" s="30"/>
      <c r="L1042" s="31"/>
      <c r="M1042" s="32"/>
      <c r="N1042" s="30"/>
      <c r="O1042" s="30"/>
      <c r="P1042" s="39"/>
      <c r="Q1042" s="34"/>
      <c r="R1042" s="35"/>
      <c r="S1042" s="36"/>
      <c r="T1042" s="35"/>
      <c r="U1042" s="36"/>
      <c r="V1042" s="37"/>
    </row>
    <row r="1043" spans="1:22" x14ac:dyDescent="0.25">
      <c r="A1043" s="27"/>
      <c r="B1043" s="27"/>
      <c r="C1043" s="27"/>
      <c r="D1043" s="27"/>
      <c r="E1043" s="27"/>
      <c r="F1043" s="27"/>
      <c r="G1043" s="27"/>
      <c r="H1043" s="28"/>
      <c r="I1043" s="27"/>
      <c r="J1043" s="29"/>
      <c r="K1043" s="30"/>
      <c r="L1043" s="31"/>
      <c r="M1043" s="32"/>
      <c r="N1043" s="30"/>
      <c r="O1043" s="30"/>
      <c r="P1043" s="39"/>
      <c r="Q1043" s="34"/>
      <c r="R1043" s="35"/>
      <c r="S1043" s="36"/>
      <c r="T1043" s="35"/>
      <c r="U1043" s="36"/>
      <c r="V1043" s="37"/>
    </row>
    <row r="1044" spans="1:22" x14ac:dyDescent="0.25">
      <c r="A1044" s="27"/>
      <c r="B1044" s="27"/>
      <c r="C1044" s="27"/>
      <c r="D1044" s="27"/>
      <c r="E1044" s="27"/>
      <c r="F1044" s="27"/>
      <c r="G1044" s="27"/>
      <c r="H1044" s="28"/>
      <c r="I1044" s="27"/>
      <c r="J1044" s="29"/>
      <c r="K1044" s="30"/>
      <c r="L1044" s="31"/>
      <c r="M1044" s="32"/>
      <c r="N1044" s="30"/>
      <c r="O1044" s="30"/>
      <c r="P1044" s="39"/>
      <c r="Q1044" s="34"/>
      <c r="R1044" s="35"/>
      <c r="S1044" s="36"/>
      <c r="T1044" s="35"/>
      <c r="U1044" s="36"/>
      <c r="V1044" s="37"/>
    </row>
    <row r="1045" spans="1:22" x14ac:dyDescent="0.25">
      <c r="A1045" s="27"/>
      <c r="B1045" s="27"/>
      <c r="C1045" s="27"/>
      <c r="D1045" s="27"/>
      <c r="E1045" s="27"/>
      <c r="F1045" s="27"/>
      <c r="G1045" s="27"/>
      <c r="H1045" s="28"/>
      <c r="I1045" s="27"/>
      <c r="J1045" s="29"/>
      <c r="K1045" s="30"/>
      <c r="L1045" s="31"/>
      <c r="M1045" s="32"/>
      <c r="N1045" s="30"/>
      <c r="O1045" s="30"/>
      <c r="P1045" s="39"/>
      <c r="Q1045" s="34"/>
      <c r="R1045" s="35"/>
      <c r="S1045" s="36"/>
      <c r="T1045" s="35"/>
      <c r="U1045" s="36"/>
      <c r="V1045" s="37"/>
    </row>
    <row r="1046" spans="1:22" x14ac:dyDescent="0.25">
      <c r="A1046" s="27"/>
      <c r="B1046" s="27"/>
      <c r="C1046" s="27"/>
      <c r="D1046" s="27"/>
      <c r="E1046" s="27"/>
      <c r="F1046" s="27"/>
      <c r="G1046" s="27"/>
      <c r="H1046" s="28"/>
      <c r="I1046" s="27"/>
      <c r="J1046" s="29"/>
      <c r="K1046" s="30"/>
      <c r="L1046" s="31"/>
      <c r="M1046" s="32"/>
      <c r="N1046" s="30"/>
      <c r="O1046" s="30"/>
      <c r="P1046" s="39"/>
      <c r="Q1046" s="34"/>
      <c r="R1046" s="35"/>
      <c r="S1046" s="36"/>
      <c r="T1046" s="35"/>
      <c r="U1046" s="36"/>
      <c r="V1046" s="37"/>
    </row>
    <row r="1047" spans="1:22" x14ac:dyDescent="0.25">
      <c r="A1047" s="27"/>
      <c r="B1047" s="27"/>
      <c r="C1047" s="27"/>
      <c r="D1047" s="27"/>
      <c r="E1047" s="27"/>
      <c r="F1047" s="27"/>
      <c r="G1047" s="27"/>
      <c r="H1047" s="28"/>
      <c r="I1047" s="27"/>
      <c r="J1047" s="29"/>
      <c r="K1047" s="30"/>
      <c r="L1047" s="31"/>
      <c r="M1047" s="32"/>
      <c r="N1047" s="30"/>
      <c r="O1047" s="30"/>
      <c r="P1047" s="39"/>
      <c r="Q1047" s="34"/>
      <c r="R1047" s="35"/>
      <c r="S1047" s="36"/>
      <c r="T1047" s="35"/>
      <c r="U1047" s="36"/>
      <c r="V1047" s="37"/>
    </row>
    <row r="1048" spans="1:22" x14ac:dyDescent="0.25">
      <c r="A1048" s="27"/>
      <c r="B1048" s="27"/>
      <c r="C1048" s="27"/>
      <c r="D1048" s="27"/>
      <c r="E1048" s="27"/>
      <c r="F1048" s="27"/>
      <c r="G1048" s="27"/>
      <c r="H1048" s="28"/>
      <c r="I1048" s="27"/>
      <c r="J1048" s="29"/>
      <c r="K1048" s="30"/>
      <c r="L1048" s="31"/>
      <c r="M1048" s="32"/>
      <c r="N1048" s="30"/>
      <c r="O1048" s="30"/>
      <c r="P1048" s="39"/>
      <c r="Q1048" s="34"/>
      <c r="R1048" s="35"/>
      <c r="S1048" s="36"/>
      <c r="T1048" s="35"/>
      <c r="U1048" s="36"/>
      <c r="V1048" s="37"/>
    </row>
    <row r="1049" spans="1:22" x14ac:dyDescent="0.25">
      <c r="A1049" s="27"/>
      <c r="B1049" s="27"/>
      <c r="C1049" s="27"/>
      <c r="D1049" s="27"/>
      <c r="E1049" s="27"/>
      <c r="F1049" s="27"/>
      <c r="G1049" s="27"/>
      <c r="H1049" s="28"/>
      <c r="I1049" s="27"/>
      <c r="J1049" s="29"/>
      <c r="K1049" s="30"/>
      <c r="L1049" s="31"/>
      <c r="M1049" s="32"/>
      <c r="N1049" s="30"/>
      <c r="O1049" s="30"/>
      <c r="P1049" s="39"/>
      <c r="Q1049" s="34"/>
      <c r="R1049" s="35"/>
      <c r="S1049" s="36"/>
      <c r="T1049" s="35"/>
      <c r="U1049" s="36"/>
      <c r="V1049" s="37"/>
    </row>
    <row r="1050" spans="1:22" x14ac:dyDescent="0.25">
      <c r="A1050" s="27"/>
      <c r="B1050" s="27"/>
      <c r="C1050" s="27"/>
      <c r="D1050" s="27"/>
      <c r="E1050" s="27"/>
      <c r="F1050" s="27"/>
      <c r="G1050" s="27"/>
      <c r="H1050" s="28"/>
      <c r="I1050" s="27"/>
      <c r="J1050" s="29"/>
      <c r="K1050" s="30"/>
      <c r="L1050" s="31"/>
      <c r="M1050" s="32"/>
      <c r="N1050" s="30"/>
      <c r="O1050" s="30"/>
      <c r="P1050" s="39"/>
      <c r="Q1050" s="34"/>
      <c r="R1050" s="35"/>
      <c r="S1050" s="36"/>
      <c r="T1050" s="35"/>
      <c r="U1050" s="36"/>
      <c r="V1050" s="37"/>
    </row>
    <row r="1051" spans="1:22" x14ac:dyDescent="0.25">
      <c r="A1051" s="27"/>
      <c r="B1051" s="27"/>
      <c r="C1051" s="27"/>
      <c r="D1051" s="27"/>
      <c r="E1051" s="27"/>
      <c r="F1051" s="27"/>
      <c r="G1051" s="27"/>
      <c r="H1051" s="28"/>
      <c r="I1051" s="27"/>
      <c r="J1051" s="29"/>
      <c r="K1051" s="30"/>
      <c r="L1051" s="31"/>
      <c r="M1051" s="32"/>
      <c r="N1051" s="30"/>
      <c r="O1051" s="30"/>
      <c r="P1051" s="39"/>
      <c r="Q1051" s="34"/>
      <c r="R1051" s="35"/>
      <c r="S1051" s="36"/>
      <c r="T1051" s="35"/>
      <c r="U1051" s="36"/>
      <c r="V1051" s="37"/>
    </row>
    <row r="1052" spans="1:22" x14ac:dyDescent="0.25">
      <c r="A1052" s="27"/>
      <c r="B1052" s="27"/>
      <c r="C1052" s="27"/>
      <c r="D1052" s="27"/>
      <c r="E1052" s="27"/>
      <c r="F1052" s="27"/>
      <c r="G1052" s="27"/>
      <c r="H1052" s="28"/>
      <c r="I1052" s="27"/>
      <c r="J1052" s="29"/>
      <c r="K1052" s="30"/>
      <c r="L1052" s="31"/>
      <c r="M1052" s="32"/>
      <c r="N1052" s="30"/>
      <c r="O1052" s="30"/>
      <c r="P1052" s="39"/>
      <c r="Q1052" s="34"/>
      <c r="R1052" s="35"/>
      <c r="S1052" s="36"/>
      <c r="T1052" s="35"/>
      <c r="U1052" s="36"/>
      <c r="V1052" s="37"/>
    </row>
    <row r="1053" spans="1:22" x14ac:dyDescent="0.25">
      <c r="A1053" s="27"/>
      <c r="B1053" s="27"/>
      <c r="C1053" s="27"/>
      <c r="D1053" s="27"/>
      <c r="E1053" s="27"/>
      <c r="F1053" s="27"/>
      <c r="G1053" s="27"/>
      <c r="H1053" s="28"/>
      <c r="I1053" s="27"/>
      <c r="J1053" s="29"/>
      <c r="K1053" s="30"/>
      <c r="L1053" s="31"/>
      <c r="M1053" s="32"/>
      <c r="N1053" s="30"/>
      <c r="O1053" s="30"/>
      <c r="P1053" s="39"/>
      <c r="Q1053" s="34"/>
      <c r="R1053" s="35"/>
      <c r="S1053" s="36"/>
      <c r="T1053" s="35"/>
      <c r="U1053" s="36"/>
      <c r="V1053" s="37"/>
    </row>
    <row r="1054" spans="1:22" x14ac:dyDescent="0.25">
      <c r="A1054" s="27"/>
      <c r="B1054" s="27"/>
      <c r="C1054" s="27"/>
      <c r="D1054" s="27"/>
      <c r="E1054" s="27"/>
      <c r="F1054" s="27"/>
      <c r="G1054" s="27"/>
      <c r="H1054" s="28"/>
      <c r="I1054" s="27"/>
      <c r="J1054" s="29"/>
      <c r="K1054" s="30"/>
      <c r="L1054" s="31"/>
      <c r="M1054" s="32"/>
      <c r="N1054" s="30"/>
      <c r="O1054" s="30"/>
      <c r="P1054" s="39"/>
      <c r="Q1054" s="34"/>
      <c r="R1054" s="35"/>
      <c r="S1054" s="36"/>
      <c r="T1054" s="35"/>
      <c r="U1054" s="36"/>
      <c r="V1054" s="37"/>
    </row>
    <row r="1055" spans="1:22" x14ac:dyDescent="0.25">
      <c r="A1055" s="27"/>
      <c r="B1055" s="27"/>
      <c r="C1055" s="27"/>
      <c r="D1055" s="27"/>
      <c r="E1055" s="27"/>
      <c r="F1055" s="27"/>
      <c r="G1055" s="27"/>
      <c r="H1055" s="28"/>
      <c r="I1055" s="27"/>
      <c r="J1055" s="29"/>
      <c r="K1055" s="30"/>
      <c r="L1055" s="31"/>
      <c r="M1055" s="32"/>
      <c r="N1055" s="30"/>
      <c r="O1055" s="30"/>
      <c r="P1055" s="39"/>
      <c r="Q1055" s="34"/>
      <c r="R1055" s="35"/>
      <c r="S1055" s="36"/>
      <c r="T1055" s="35"/>
      <c r="U1055" s="36"/>
      <c r="V1055" s="37"/>
    </row>
    <row r="1056" spans="1:22" x14ac:dyDescent="0.25">
      <c r="A1056" s="27"/>
      <c r="B1056" s="27"/>
      <c r="C1056" s="27"/>
      <c r="D1056" s="27"/>
      <c r="E1056" s="27"/>
      <c r="F1056" s="27"/>
      <c r="G1056" s="27"/>
      <c r="H1056" s="28"/>
      <c r="I1056" s="27"/>
      <c r="J1056" s="29"/>
      <c r="K1056" s="30"/>
      <c r="L1056" s="31"/>
      <c r="M1056" s="32"/>
      <c r="N1056" s="30"/>
      <c r="O1056" s="30"/>
      <c r="P1056" s="39"/>
      <c r="Q1056" s="34"/>
      <c r="R1056" s="35"/>
      <c r="S1056" s="36"/>
      <c r="T1056" s="35"/>
      <c r="U1056" s="36"/>
      <c r="V1056" s="37"/>
    </row>
    <row r="1057" spans="1:22" x14ac:dyDescent="0.25">
      <c r="A1057" s="27"/>
      <c r="B1057" s="27"/>
      <c r="C1057" s="27"/>
      <c r="D1057" s="27"/>
      <c r="E1057" s="27"/>
      <c r="F1057" s="27"/>
      <c r="G1057" s="27"/>
      <c r="H1057" s="28"/>
      <c r="I1057" s="27"/>
      <c r="J1057" s="29"/>
      <c r="K1057" s="30"/>
      <c r="L1057" s="31"/>
      <c r="M1057" s="32"/>
      <c r="N1057" s="30"/>
      <c r="O1057" s="30"/>
      <c r="P1057" s="39"/>
      <c r="Q1057" s="34"/>
      <c r="R1057" s="35"/>
      <c r="S1057" s="36"/>
      <c r="T1057" s="35"/>
      <c r="U1057" s="36"/>
      <c r="V1057" s="37"/>
    </row>
    <row r="1058" spans="1:22" x14ac:dyDescent="0.25">
      <c r="A1058" s="27"/>
      <c r="B1058" s="27"/>
      <c r="C1058" s="27"/>
      <c r="D1058" s="27"/>
      <c r="E1058" s="27"/>
      <c r="F1058" s="27"/>
      <c r="G1058" s="27"/>
      <c r="H1058" s="28"/>
      <c r="I1058" s="27"/>
      <c r="J1058" s="29"/>
      <c r="K1058" s="30"/>
      <c r="L1058" s="31"/>
      <c r="M1058" s="32"/>
      <c r="N1058" s="30"/>
      <c r="O1058" s="30"/>
      <c r="P1058" s="39"/>
      <c r="Q1058" s="34"/>
      <c r="R1058" s="35"/>
      <c r="S1058" s="36"/>
      <c r="T1058" s="35"/>
      <c r="U1058" s="36"/>
      <c r="V1058" s="37"/>
    </row>
    <row r="1059" spans="1:22" x14ac:dyDescent="0.25">
      <c r="A1059" s="27"/>
      <c r="B1059" s="27"/>
      <c r="C1059" s="27"/>
      <c r="D1059" s="27"/>
      <c r="E1059" s="27"/>
      <c r="F1059" s="27"/>
      <c r="G1059" s="27"/>
      <c r="H1059" s="28"/>
      <c r="I1059" s="27"/>
      <c r="J1059" s="29"/>
      <c r="K1059" s="30"/>
      <c r="L1059" s="31"/>
      <c r="M1059" s="32"/>
      <c r="N1059" s="30"/>
      <c r="O1059" s="30"/>
      <c r="P1059" s="39"/>
      <c r="Q1059" s="34"/>
      <c r="R1059" s="35"/>
      <c r="S1059" s="36"/>
      <c r="T1059" s="35"/>
      <c r="U1059" s="36"/>
      <c r="V1059" s="37"/>
    </row>
    <row r="1060" spans="1:22" x14ac:dyDescent="0.25">
      <c r="A1060" s="27"/>
      <c r="B1060" s="27"/>
      <c r="C1060" s="27"/>
      <c r="D1060" s="27"/>
      <c r="E1060" s="27"/>
      <c r="F1060" s="27"/>
      <c r="G1060" s="27"/>
      <c r="H1060" s="28"/>
      <c r="I1060" s="27"/>
      <c r="J1060" s="29"/>
      <c r="K1060" s="30"/>
      <c r="L1060" s="31"/>
      <c r="M1060" s="32"/>
      <c r="N1060" s="30"/>
      <c r="O1060" s="30"/>
      <c r="P1060" s="39"/>
      <c r="Q1060" s="34"/>
      <c r="R1060" s="35"/>
      <c r="S1060" s="36"/>
      <c r="T1060" s="35"/>
      <c r="U1060" s="36"/>
      <c r="V1060" s="37"/>
    </row>
    <row r="1061" spans="1:22" x14ac:dyDescent="0.25">
      <c r="A1061" s="27"/>
      <c r="B1061" s="27"/>
      <c r="C1061" s="27"/>
      <c r="D1061" s="27"/>
      <c r="E1061" s="27"/>
      <c r="F1061" s="27"/>
      <c r="G1061" s="27"/>
      <c r="H1061" s="28"/>
      <c r="I1061" s="27"/>
      <c r="J1061" s="29"/>
      <c r="K1061" s="30"/>
      <c r="L1061" s="31"/>
      <c r="M1061" s="32"/>
      <c r="N1061" s="30"/>
      <c r="O1061" s="30"/>
      <c r="P1061" s="39"/>
      <c r="Q1061" s="34"/>
      <c r="R1061" s="35"/>
      <c r="S1061" s="36"/>
      <c r="T1061" s="35"/>
      <c r="U1061" s="36"/>
      <c r="V1061" s="37"/>
    </row>
    <row r="1062" spans="1:22" x14ac:dyDescent="0.25">
      <c r="A1062" s="27"/>
      <c r="B1062" s="27"/>
      <c r="C1062" s="27"/>
      <c r="D1062" s="27"/>
      <c r="E1062" s="27"/>
      <c r="F1062" s="27"/>
      <c r="G1062" s="27"/>
      <c r="H1062" s="28"/>
      <c r="I1062" s="27"/>
      <c r="J1062" s="29"/>
      <c r="K1062" s="30"/>
      <c r="L1062" s="31"/>
      <c r="M1062" s="32"/>
      <c r="N1062" s="30"/>
      <c r="O1062" s="30"/>
      <c r="P1062" s="39"/>
      <c r="Q1062" s="34"/>
      <c r="R1062" s="35"/>
      <c r="S1062" s="36"/>
      <c r="T1062" s="35"/>
      <c r="U1062" s="36"/>
      <c r="V1062" s="37"/>
    </row>
    <row r="1063" spans="1:22" x14ac:dyDescent="0.25">
      <c r="A1063" s="27"/>
      <c r="B1063" s="27"/>
      <c r="C1063" s="27"/>
      <c r="D1063" s="27"/>
      <c r="E1063" s="27"/>
      <c r="F1063" s="27"/>
      <c r="G1063" s="27"/>
      <c r="H1063" s="28"/>
      <c r="I1063" s="27"/>
      <c r="J1063" s="29"/>
      <c r="K1063" s="30"/>
      <c r="L1063" s="31"/>
      <c r="M1063" s="32"/>
      <c r="N1063" s="30"/>
      <c r="O1063" s="30"/>
      <c r="P1063" s="39"/>
      <c r="Q1063" s="34"/>
      <c r="R1063" s="35"/>
      <c r="S1063" s="36"/>
      <c r="T1063" s="35"/>
      <c r="U1063" s="36"/>
      <c r="V1063" s="37"/>
    </row>
    <row r="1064" spans="1:22" x14ac:dyDescent="0.25">
      <c r="A1064" s="27"/>
      <c r="B1064" s="27"/>
      <c r="C1064" s="27"/>
      <c r="D1064" s="27"/>
      <c r="E1064" s="27"/>
      <c r="F1064" s="27"/>
      <c r="G1064" s="27"/>
      <c r="H1064" s="28"/>
      <c r="I1064" s="27"/>
      <c r="J1064" s="29"/>
      <c r="K1064" s="30"/>
      <c r="L1064" s="31"/>
      <c r="M1064" s="32"/>
      <c r="N1064" s="30"/>
      <c r="O1064" s="30"/>
      <c r="P1064" s="39"/>
      <c r="Q1064" s="34"/>
      <c r="R1064" s="35"/>
      <c r="S1064" s="36"/>
      <c r="T1064" s="35"/>
      <c r="U1064" s="36"/>
      <c r="V1064" s="37"/>
    </row>
    <row r="1065" spans="1:22" x14ac:dyDescent="0.25">
      <c r="A1065" s="27"/>
      <c r="B1065" s="27"/>
      <c r="C1065" s="27"/>
      <c r="D1065" s="27"/>
      <c r="E1065" s="27"/>
      <c r="F1065" s="27"/>
      <c r="G1065" s="27"/>
      <c r="H1065" s="28"/>
      <c r="I1065" s="27"/>
      <c r="J1065" s="29"/>
      <c r="K1065" s="30"/>
      <c r="L1065" s="31"/>
      <c r="M1065" s="32"/>
      <c r="N1065" s="30"/>
      <c r="O1065" s="30"/>
      <c r="P1065" s="39"/>
      <c r="Q1065" s="34"/>
      <c r="R1065" s="35"/>
      <c r="S1065" s="36"/>
      <c r="T1065" s="35"/>
      <c r="U1065" s="36"/>
      <c r="V1065" s="37"/>
    </row>
    <row r="1066" spans="1:22" x14ac:dyDescent="0.25">
      <c r="A1066" s="27"/>
      <c r="B1066" s="27"/>
      <c r="C1066" s="27"/>
      <c r="D1066" s="27"/>
      <c r="E1066" s="27"/>
      <c r="F1066" s="27"/>
      <c r="G1066" s="27"/>
      <c r="H1066" s="28"/>
      <c r="I1066" s="27"/>
      <c r="J1066" s="29"/>
      <c r="K1066" s="30"/>
      <c r="L1066" s="31"/>
      <c r="M1066" s="32"/>
      <c r="N1066" s="30"/>
      <c r="O1066" s="30"/>
      <c r="P1066" s="39"/>
      <c r="Q1066" s="34"/>
      <c r="R1066" s="35"/>
      <c r="S1066" s="36"/>
      <c r="T1066" s="35"/>
      <c r="U1066" s="36"/>
      <c r="V1066" s="37"/>
    </row>
    <row r="1067" spans="1:22" x14ac:dyDescent="0.25">
      <c r="A1067" s="27"/>
      <c r="B1067" s="27"/>
      <c r="C1067" s="27"/>
      <c r="D1067" s="27"/>
      <c r="E1067" s="27"/>
      <c r="F1067" s="27"/>
      <c r="G1067" s="27"/>
      <c r="H1067" s="28"/>
      <c r="I1067" s="27"/>
      <c r="J1067" s="29"/>
      <c r="K1067" s="30"/>
      <c r="L1067" s="31"/>
      <c r="M1067" s="32"/>
      <c r="N1067" s="30"/>
      <c r="O1067" s="30"/>
      <c r="P1067" s="39"/>
      <c r="Q1067" s="34"/>
      <c r="R1067" s="35"/>
      <c r="S1067" s="36"/>
      <c r="T1067" s="35"/>
      <c r="U1067" s="36"/>
      <c r="V1067" s="37"/>
    </row>
    <row r="1068" spans="1:22" x14ac:dyDescent="0.25">
      <c r="A1068" s="27"/>
      <c r="B1068" s="27"/>
      <c r="C1068" s="27"/>
      <c r="D1068" s="27"/>
      <c r="E1068" s="27"/>
      <c r="F1068" s="27"/>
      <c r="G1068" s="27"/>
      <c r="H1068" s="28"/>
      <c r="I1068" s="27"/>
      <c r="J1068" s="29"/>
      <c r="K1068" s="30"/>
      <c r="L1068" s="31"/>
      <c r="M1068" s="32"/>
      <c r="N1068" s="30"/>
      <c r="O1068" s="30"/>
      <c r="P1068" s="39"/>
      <c r="Q1068" s="34"/>
      <c r="R1068" s="35"/>
      <c r="S1068" s="36"/>
      <c r="T1068" s="35"/>
      <c r="U1068" s="36"/>
      <c r="V1068" s="37"/>
    </row>
    <row r="1069" spans="1:22" x14ac:dyDescent="0.25">
      <c r="A1069" s="27"/>
      <c r="B1069" s="27"/>
      <c r="C1069" s="27"/>
      <c r="D1069" s="27"/>
      <c r="E1069" s="27"/>
      <c r="F1069" s="27"/>
      <c r="G1069" s="27"/>
      <c r="H1069" s="28"/>
      <c r="I1069" s="27"/>
      <c r="J1069" s="29"/>
      <c r="K1069" s="30"/>
      <c r="L1069" s="31"/>
      <c r="M1069" s="32"/>
      <c r="N1069" s="30"/>
      <c r="O1069" s="30"/>
      <c r="P1069" s="39"/>
      <c r="Q1069" s="34"/>
      <c r="R1069" s="35"/>
      <c r="S1069" s="36"/>
      <c r="T1069" s="35"/>
      <c r="U1069" s="36"/>
      <c r="V1069" s="37"/>
    </row>
    <row r="1070" spans="1:22" x14ac:dyDescent="0.25">
      <c r="A1070" s="27"/>
      <c r="B1070" s="27"/>
      <c r="C1070" s="27"/>
      <c r="D1070" s="27"/>
      <c r="E1070" s="27"/>
      <c r="F1070" s="27"/>
      <c r="G1070" s="27"/>
      <c r="H1070" s="28"/>
      <c r="I1070" s="27"/>
      <c r="J1070" s="29"/>
      <c r="K1070" s="30"/>
      <c r="L1070" s="31"/>
      <c r="M1070" s="32"/>
      <c r="N1070" s="30"/>
      <c r="O1070" s="30"/>
      <c r="P1070" s="39"/>
      <c r="Q1070" s="34"/>
      <c r="R1070" s="35"/>
      <c r="S1070" s="36"/>
      <c r="T1070" s="35"/>
      <c r="U1070" s="36"/>
      <c r="V1070" s="37"/>
    </row>
    <row r="1071" spans="1:22" x14ac:dyDescent="0.25">
      <c r="A1071" s="27"/>
      <c r="B1071" s="27"/>
      <c r="C1071" s="27"/>
      <c r="D1071" s="27"/>
      <c r="E1071" s="27"/>
      <c r="F1071" s="27"/>
      <c r="G1071" s="27"/>
      <c r="H1071" s="28"/>
      <c r="I1071" s="27"/>
      <c r="J1071" s="29"/>
      <c r="K1071" s="30"/>
      <c r="L1071" s="31"/>
      <c r="M1071" s="32"/>
      <c r="N1071" s="30"/>
      <c r="O1071" s="30"/>
      <c r="P1071" s="39"/>
      <c r="Q1071" s="34"/>
      <c r="R1071" s="35"/>
      <c r="S1071" s="36"/>
      <c r="T1071" s="35"/>
      <c r="U1071" s="36"/>
      <c r="V1071" s="37"/>
    </row>
    <row r="1072" spans="1:22" x14ac:dyDescent="0.25">
      <c r="A1072" s="27"/>
      <c r="B1072" s="27"/>
      <c r="C1072" s="27"/>
      <c r="D1072" s="27"/>
      <c r="E1072" s="27"/>
      <c r="F1072" s="27"/>
      <c r="G1072" s="27"/>
      <c r="H1072" s="28"/>
      <c r="I1072" s="27"/>
      <c r="J1072" s="29"/>
      <c r="K1072" s="30"/>
      <c r="L1072" s="31"/>
      <c r="M1072" s="32"/>
      <c r="N1072" s="30"/>
      <c r="O1072" s="30"/>
      <c r="P1072" s="39"/>
      <c r="Q1072" s="34"/>
      <c r="R1072" s="35"/>
      <c r="S1072" s="36"/>
      <c r="T1072" s="35"/>
      <c r="U1072" s="36"/>
      <c r="V1072" s="37"/>
    </row>
    <row r="1073" spans="1:22" x14ac:dyDescent="0.25">
      <c r="A1073" s="27"/>
      <c r="B1073" s="27"/>
      <c r="C1073" s="27"/>
      <c r="D1073" s="27"/>
      <c r="E1073" s="27"/>
      <c r="F1073" s="27"/>
      <c r="G1073" s="27"/>
      <c r="H1073" s="28"/>
      <c r="I1073" s="27"/>
      <c r="J1073" s="29"/>
      <c r="K1073" s="30"/>
      <c r="L1073" s="31"/>
      <c r="M1073" s="32"/>
      <c r="N1073" s="30"/>
      <c r="O1073" s="30"/>
      <c r="P1073" s="39"/>
      <c r="Q1073" s="34"/>
      <c r="R1073" s="35"/>
      <c r="S1073" s="36"/>
      <c r="T1073" s="35"/>
      <c r="U1073" s="36"/>
      <c r="V1073" s="37"/>
    </row>
    <row r="1074" spans="1:22" x14ac:dyDescent="0.25">
      <c r="A1074" s="27"/>
      <c r="B1074" s="27"/>
      <c r="C1074" s="27"/>
      <c r="D1074" s="27"/>
      <c r="E1074" s="27"/>
      <c r="F1074" s="27"/>
      <c r="G1074" s="27"/>
      <c r="H1074" s="28"/>
      <c r="I1074" s="27"/>
      <c r="J1074" s="29"/>
      <c r="K1074" s="30"/>
      <c r="L1074" s="31"/>
      <c r="M1074" s="32"/>
      <c r="N1074" s="30"/>
      <c r="O1074" s="30"/>
      <c r="P1074" s="39"/>
      <c r="Q1074" s="34"/>
      <c r="R1074" s="35"/>
      <c r="S1074" s="36"/>
      <c r="T1074" s="35"/>
      <c r="U1074" s="36"/>
      <c r="V1074" s="37"/>
    </row>
    <row r="1075" spans="1:22" x14ac:dyDescent="0.25">
      <c r="A1075" s="27"/>
      <c r="B1075" s="27"/>
      <c r="C1075" s="27"/>
      <c r="D1075" s="27"/>
      <c r="E1075" s="27"/>
      <c r="F1075" s="27"/>
      <c r="G1075" s="27"/>
      <c r="H1075" s="28"/>
      <c r="I1075" s="27"/>
      <c r="J1075" s="29"/>
      <c r="K1075" s="30"/>
      <c r="L1075" s="31"/>
      <c r="M1075" s="32"/>
      <c r="N1075" s="30"/>
      <c r="O1075" s="30"/>
      <c r="P1075" s="39"/>
      <c r="Q1075" s="34"/>
      <c r="R1075" s="35"/>
      <c r="S1075" s="36"/>
      <c r="T1075" s="35"/>
      <c r="U1075" s="36"/>
      <c r="V1075" s="37"/>
    </row>
    <row r="1076" spans="1:22" x14ac:dyDescent="0.25">
      <c r="A1076" s="27"/>
      <c r="B1076" s="27"/>
      <c r="C1076" s="27"/>
      <c r="D1076" s="27"/>
      <c r="E1076" s="27"/>
      <c r="F1076" s="27"/>
      <c r="G1076" s="27"/>
      <c r="H1076" s="28"/>
      <c r="I1076" s="27"/>
      <c r="J1076" s="29"/>
      <c r="K1076" s="30"/>
      <c r="L1076" s="31"/>
      <c r="M1076" s="32"/>
      <c r="N1076" s="30"/>
      <c r="O1076" s="30"/>
      <c r="P1076" s="39"/>
      <c r="Q1076" s="34"/>
      <c r="R1076" s="35"/>
      <c r="S1076" s="36"/>
      <c r="T1076" s="35"/>
      <c r="U1076" s="36"/>
      <c r="V1076" s="37"/>
    </row>
    <row r="1077" spans="1:22" x14ac:dyDescent="0.25">
      <c r="A1077" s="27"/>
      <c r="B1077" s="27"/>
      <c r="C1077" s="27"/>
      <c r="D1077" s="27"/>
      <c r="E1077" s="27"/>
      <c r="F1077" s="27"/>
      <c r="G1077" s="27"/>
      <c r="H1077" s="28"/>
      <c r="I1077" s="27"/>
      <c r="J1077" s="29"/>
      <c r="K1077" s="30"/>
      <c r="L1077" s="31"/>
      <c r="M1077" s="32"/>
      <c r="N1077" s="30"/>
      <c r="O1077" s="30"/>
      <c r="P1077" s="39"/>
      <c r="Q1077" s="34"/>
      <c r="R1077" s="35"/>
      <c r="S1077" s="36"/>
      <c r="T1077" s="35"/>
      <c r="U1077" s="36"/>
      <c r="V1077" s="37"/>
    </row>
    <row r="1078" spans="1:22" x14ac:dyDescent="0.25">
      <c r="A1078" s="27"/>
      <c r="B1078" s="27"/>
      <c r="C1078" s="27"/>
      <c r="D1078" s="27"/>
      <c r="E1078" s="27"/>
      <c r="F1078" s="27"/>
      <c r="G1078" s="27"/>
      <c r="H1078" s="28"/>
      <c r="I1078" s="27"/>
      <c r="J1078" s="29"/>
      <c r="K1078" s="30"/>
      <c r="L1078" s="31"/>
      <c r="M1078" s="32"/>
      <c r="N1078" s="30"/>
      <c r="O1078" s="30"/>
      <c r="P1078" s="39"/>
      <c r="Q1078" s="34"/>
      <c r="R1078" s="35"/>
      <c r="S1078" s="36"/>
      <c r="T1078" s="35"/>
      <c r="U1078" s="36"/>
      <c r="V1078" s="37"/>
    </row>
    <row r="1079" spans="1:22" x14ac:dyDescent="0.25">
      <c r="A1079" s="27"/>
      <c r="B1079" s="27"/>
      <c r="C1079" s="27"/>
      <c r="D1079" s="27"/>
      <c r="E1079" s="27"/>
      <c r="F1079" s="27"/>
      <c r="G1079" s="27"/>
      <c r="H1079" s="28"/>
      <c r="I1079" s="27"/>
      <c r="J1079" s="29"/>
      <c r="K1079" s="30"/>
      <c r="L1079" s="31"/>
      <c r="M1079" s="32"/>
      <c r="N1079" s="30"/>
      <c r="O1079" s="30"/>
      <c r="P1079" s="39"/>
      <c r="Q1079" s="34"/>
      <c r="R1079" s="35"/>
      <c r="S1079" s="36"/>
      <c r="T1079" s="35"/>
      <c r="U1079" s="36"/>
      <c r="V1079" s="37"/>
    </row>
    <row r="1080" spans="1:22" x14ac:dyDescent="0.25">
      <c r="A1080" s="27"/>
      <c r="B1080" s="27"/>
      <c r="C1080" s="27"/>
      <c r="D1080" s="27"/>
      <c r="E1080" s="27"/>
      <c r="F1080" s="27"/>
      <c r="G1080" s="27"/>
      <c r="H1080" s="28"/>
      <c r="I1080" s="27"/>
      <c r="J1080" s="29"/>
      <c r="K1080" s="30"/>
      <c r="L1080" s="31"/>
      <c r="M1080" s="32"/>
      <c r="N1080" s="30"/>
      <c r="O1080" s="30"/>
      <c r="P1080" s="39"/>
      <c r="Q1080" s="34"/>
      <c r="R1080" s="35"/>
      <c r="S1080" s="36"/>
      <c r="T1080" s="35"/>
      <c r="U1080" s="36"/>
      <c r="V1080" s="37"/>
    </row>
    <row r="1081" spans="1:22" x14ac:dyDescent="0.25">
      <c r="A1081" s="27"/>
      <c r="B1081" s="27"/>
      <c r="C1081" s="27"/>
      <c r="D1081" s="27"/>
      <c r="E1081" s="27"/>
      <c r="F1081" s="27"/>
      <c r="G1081" s="27"/>
      <c r="H1081" s="28"/>
      <c r="I1081" s="27"/>
      <c r="J1081" s="29"/>
      <c r="K1081" s="30"/>
      <c r="L1081" s="31"/>
      <c r="M1081" s="32"/>
      <c r="N1081" s="30"/>
      <c r="O1081" s="30"/>
      <c r="P1081" s="39"/>
      <c r="Q1081" s="34"/>
      <c r="R1081" s="35"/>
      <c r="S1081" s="36"/>
      <c r="T1081" s="35"/>
      <c r="U1081" s="36"/>
      <c r="V1081" s="37"/>
    </row>
    <row r="1082" spans="1:22" x14ac:dyDescent="0.25">
      <c r="A1082" s="27"/>
      <c r="B1082" s="27"/>
      <c r="C1082" s="27"/>
      <c r="D1082" s="27"/>
      <c r="E1082" s="27"/>
      <c r="F1082" s="27"/>
      <c r="G1082" s="27"/>
      <c r="H1082" s="28"/>
      <c r="I1082" s="27"/>
      <c r="J1082" s="29"/>
      <c r="K1082" s="30"/>
      <c r="L1082" s="31"/>
      <c r="M1082" s="32"/>
      <c r="N1082" s="30"/>
      <c r="O1082" s="30"/>
      <c r="P1082" s="39"/>
      <c r="Q1082" s="34"/>
      <c r="R1082" s="35"/>
      <c r="S1082" s="36"/>
      <c r="T1082" s="35"/>
      <c r="U1082" s="36"/>
      <c r="V1082" s="37"/>
    </row>
    <row r="1083" spans="1:22" x14ac:dyDescent="0.25">
      <c r="A1083" s="27"/>
      <c r="B1083" s="27"/>
      <c r="C1083" s="27"/>
      <c r="D1083" s="27"/>
      <c r="E1083" s="27"/>
      <c r="F1083" s="27"/>
      <c r="G1083" s="27"/>
      <c r="H1083" s="28"/>
      <c r="I1083" s="27"/>
      <c r="J1083" s="29"/>
      <c r="K1083" s="30"/>
      <c r="L1083" s="31"/>
      <c r="M1083" s="32"/>
      <c r="N1083" s="30"/>
      <c r="O1083" s="30"/>
      <c r="P1083" s="39"/>
      <c r="Q1083" s="34"/>
      <c r="R1083" s="35"/>
      <c r="S1083" s="36"/>
      <c r="T1083" s="35"/>
      <c r="U1083" s="36"/>
      <c r="V1083" s="37"/>
    </row>
    <row r="1084" spans="1:22" x14ac:dyDescent="0.25">
      <c r="A1084" s="27"/>
      <c r="B1084" s="27"/>
      <c r="C1084" s="27"/>
      <c r="D1084" s="27"/>
      <c r="E1084" s="27"/>
      <c r="F1084" s="27"/>
      <c r="G1084" s="27"/>
      <c r="H1084" s="28"/>
      <c r="I1084" s="27"/>
      <c r="J1084" s="29"/>
      <c r="K1084" s="30"/>
      <c r="L1084" s="31"/>
      <c r="M1084" s="32"/>
      <c r="N1084" s="30"/>
      <c r="O1084" s="30"/>
      <c r="P1084" s="39"/>
      <c r="Q1084" s="34"/>
      <c r="R1084" s="35"/>
      <c r="S1084" s="36"/>
      <c r="T1084" s="35"/>
      <c r="U1084" s="36"/>
      <c r="V1084" s="37"/>
    </row>
    <row r="1085" spans="1:22" x14ac:dyDescent="0.25">
      <c r="A1085" s="27"/>
      <c r="B1085" s="27"/>
      <c r="C1085" s="27"/>
      <c r="D1085" s="27"/>
      <c r="E1085" s="27"/>
      <c r="F1085" s="27"/>
      <c r="G1085" s="27"/>
      <c r="H1085" s="28"/>
      <c r="I1085" s="27"/>
      <c r="J1085" s="29"/>
      <c r="K1085" s="30"/>
      <c r="L1085" s="31"/>
      <c r="M1085" s="32"/>
      <c r="N1085" s="30"/>
      <c r="O1085" s="30"/>
      <c r="P1085" s="39"/>
      <c r="Q1085" s="34"/>
      <c r="R1085" s="35"/>
      <c r="S1085" s="36"/>
      <c r="T1085" s="35"/>
      <c r="U1085" s="36"/>
      <c r="V1085" s="37"/>
    </row>
    <row r="1086" spans="1:22" x14ac:dyDescent="0.25">
      <c r="A1086" s="27"/>
      <c r="B1086" s="27"/>
      <c r="C1086" s="27"/>
      <c r="D1086" s="27"/>
      <c r="E1086" s="27"/>
      <c r="F1086" s="27"/>
      <c r="G1086" s="27"/>
      <c r="H1086" s="28"/>
      <c r="I1086" s="27"/>
      <c r="J1086" s="29"/>
      <c r="K1086" s="30"/>
      <c r="L1086" s="31"/>
      <c r="M1086" s="32"/>
      <c r="N1086" s="30"/>
      <c r="O1086" s="30"/>
      <c r="P1086" s="39"/>
      <c r="Q1086" s="34"/>
      <c r="R1086" s="35"/>
      <c r="S1086" s="36"/>
      <c r="T1086" s="35"/>
      <c r="U1086" s="36"/>
      <c r="V1086" s="37"/>
    </row>
    <row r="1087" spans="1:22" x14ac:dyDescent="0.25">
      <c r="A1087" s="27"/>
      <c r="B1087" s="27"/>
      <c r="C1087" s="27"/>
      <c r="D1087" s="27"/>
      <c r="E1087" s="27"/>
      <c r="F1087" s="27"/>
      <c r="G1087" s="27"/>
      <c r="H1087" s="28"/>
      <c r="I1087" s="27"/>
      <c r="J1087" s="29"/>
      <c r="K1087" s="30"/>
      <c r="L1087" s="31"/>
      <c r="M1087" s="32"/>
      <c r="N1087" s="30"/>
      <c r="O1087" s="30"/>
      <c r="P1087" s="39"/>
      <c r="Q1087" s="34"/>
      <c r="R1087" s="35"/>
      <c r="S1087" s="36"/>
      <c r="T1087" s="35"/>
      <c r="U1087" s="36"/>
      <c r="V1087" s="37"/>
    </row>
    <row r="1088" spans="1:22" x14ac:dyDescent="0.25">
      <c r="A1088" s="27"/>
      <c r="B1088" s="27"/>
      <c r="C1088" s="27"/>
      <c r="D1088" s="27"/>
      <c r="E1088" s="27"/>
      <c r="F1088" s="27"/>
      <c r="G1088" s="27"/>
      <c r="H1088" s="28"/>
      <c r="I1088" s="27"/>
      <c r="J1088" s="29"/>
      <c r="K1088" s="30"/>
      <c r="L1088" s="31"/>
      <c r="M1088" s="32"/>
      <c r="N1088" s="30"/>
      <c r="O1088" s="30"/>
      <c r="P1088" s="39"/>
      <c r="Q1088" s="34"/>
      <c r="R1088" s="35"/>
      <c r="S1088" s="36"/>
      <c r="T1088" s="35"/>
      <c r="U1088" s="36"/>
      <c r="V1088" s="37"/>
    </row>
    <row r="1089" spans="1:22" x14ac:dyDescent="0.25">
      <c r="A1089" s="27"/>
      <c r="B1089" s="27"/>
      <c r="C1089" s="27"/>
      <c r="D1089" s="27"/>
      <c r="E1089" s="27"/>
      <c r="F1089" s="27"/>
      <c r="G1089" s="27"/>
      <c r="H1089" s="28"/>
      <c r="I1089" s="27"/>
      <c r="J1089" s="29"/>
      <c r="K1089" s="30"/>
      <c r="L1089" s="31"/>
      <c r="M1089" s="32"/>
      <c r="N1089" s="30"/>
      <c r="O1089" s="30"/>
      <c r="P1089" s="39"/>
      <c r="Q1089" s="34"/>
      <c r="R1089" s="35"/>
      <c r="S1089" s="36"/>
      <c r="T1089" s="35"/>
      <c r="U1089" s="36"/>
      <c r="V1089" s="37"/>
    </row>
    <row r="1090" spans="1:22" x14ac:dyDescent="0.25">
      <c r="A1090" s="27"/>
      <c r="B1090" s="27"/>
      <c r="C1090" s="27"/>
      <c r="D1090" s="27"/>
      <c r="E1090" s="27"/>
      <c r="F1090" s="27"/>
      <c r="G1090" s="27"/>
      <c r="H1090" s="28"/>
      <c r="I1090" s="27"/>
      <c r="J1090" s="29"/>
      <c r="K1090" s="30"/>
      <c r="L1090" s="31"/>
      <c r="M1090" s="32"/>
      <c r="N1090" s="30"/>
      <c r="O1090" s="30"/>
      <c r="P1090" s="39"/>
      <c r="Q1090" s="34"/>
      <c r="R1090" s="35"/>
      <c r="S1090" s="36"/>
      <c r="T1090" s="35"/>
      <c r="U1090" s="36"/>
      <c r="V1090" s="37"/>
    </row>
    <row r="1091" spans="1:22" x14ac:dyDescent="0.25">
      <c r="A1091" s="27"/>
      <c r="B1091" s="27"/>
      <c r="C1091" s="27"/>
      <c r="D1091" s="27"/>
      <c r="E1091" s="27"/>
      <c r="F1091" s="27"/>
      <c r="G1091" s="27"/>
      <c r="H1091" s="28"/>
      <c r="I1091" s="27"/>
      <c r="J1091" s="29"/>
      <c r="K1091" s="30"/>
      <c r="L1091" s="31"/>
      <c r="M1091" s="32"/>
      <c r="N1091" s="30"/>
      <c r="O1091" s="30"/>
      <c r="P1091" s="39"/>
      <c r="Q1091" s="34"/>
      <c r="R1091" s="35"/>
      <c r="S1091" s="36"/>
      <c r="T1091" s="35"/>
      <c r="U1091" s="36"/>
      <c r="V1091" s="37"/>
    </row>
    <row r="1092" spans="1:22" x14ac:dyDescent="0.25">
      <c r="A1092" s="27"/>
      <c r="B1092" s="27"/>
      <c r="C1092" s="27"/>
      <c r="D1092" s="27"/>
      <c r="E1092" s="27"/>
      <c r="F1092" s="27"/>
      <c r="G1092" s="27"/>
      <c r="H1092" s="28"/>
      <c r="I1092" s="27"/>
      <c r="J1092" s="29"/>
      <c r="K1092" s="30"/>
      <c r="L1092" s="31"/>
      <c r="M1092" s="32"/>
      <c r="N1092" s="30"/>
      <c r="O1092" s="30"/>
      <c r="P1092" s="39"/>
      <c r="Q1092" s="34"/>
      <c r="R1092" s="35"/>
      <c r="S1092" s="36"/>
      <c r="T1092" s="35"/>
      <c r="U1092" s="36"/>
      <c r="V1092" s="37"/>
    </row>
    <row r="1093" spans="1:22" x14ac:dyDescent="0.25">
      <c r="A1093" s="27"/>
      <c r="B1093" s="27"/>
      <c r="C1093" s="27"/>
      <c r="D1093" s="27"/>
      <c r="E1093" s="27"/>
      <c r="F1093" s="27"/>
      <c r="G1093" s="27"/>
      <c r="H1093" s="28"/>
      <c r="I1093" s="27"/>
      <c r="J1093" s="29"/>
      <c r="K1093" s="30"/>
      <c r="L1093" s="31"/>
      <c r="M1093" s="32"/>
      <c r="N1093" s="30"/>
      <c r="O1093" s="30"/>
      <c r="P1093" s="39"/>
      <c r="Q1093" s="34"/>
      <c r="R1093" s="35"/>
      <c r="S1093" s="36"/>
      <c r="T1093" s="35"/>
      <c r="U1093" s="36"/>
      <c r="V1093" s="37"/>
    </row>
    <row r="1094" spans="1:22" x14ac:dyDescent="0.25">
      <c r="A1094" s="27"/>
      <c r="B1094" s="27"/>
      <c r="C1094" s="27"/>
      <c r="D1094" s="27"/>
      <c r="E1094" s="27"/>
      <c r="F1094" s="27"/>
      <c r="G1094" s="27"/>
      <c r="H1094" s="28"/>
      <c r="I1094" s="27"/>
      <c r="J1094" s="29"/>
      <c r="K1094" s="30"/>
      <c r="L1094" s="31"/>
      <c r="M1094" s="32"/>
      <c r="N1094" s="30"/>
      <c r="O1094" s="30"/>
      <c r="P1094" s="39"/>
      <c r="Q1094" s="34"/>
      <c r="R1094" s="35"/>
      <c r="S1094" s="36"/>
      <c r="T1094" s="35"/>
      <c r="U1094" s="36"/>
      <c r="V1094" s="37"/>
    </row>
    <row r="1095" spans="1:22" x14ac:dyDescent="0.25">
      <c r="A1095" s="27"/>
      <c r="B1095" s="27"/>
      <c r="C1095" s="27"/>
      <c r="D1095" s="27"/>
      <c r="E1095" s="27"/>
      <c r="F1095" s="27"/>
      <c r="G1095" s="27"/>
      <c r="H1095" s="28"/>
      <c r="I1095" s="27"/>
      <c r="J1095" s="29"/>
      <c r="K1095" s="30"/>
      <c r="L1095" s="31"/>
      <c r="M1095" s="32"/>
      <c r="N1095" s="30"/>
      <c r="O1095" s="30"/>
      <c r="P1095" s="39"/>
      <c r="Q1095" s="34"/>
      <c r="R1095" s="35"/>
      <c r="S1095" s="36"/>
      <c r="T1095" s="35"/>
      <c r="U1095" s="36"/>
      <c r="V1095" s="37"/>
    </row>
    <row r="1096" spans="1:22" x14ac:dyDescent="0.25">
      <c r="A1096" s="27"/>
      <c r="B1096" s="27"/>
      <c r="C1096" s="27"/>
      <c r="D1096" s="27"/>
      <c r="E1096" s="27"/>
      <c r="F1096" s="27"/>
      <c r="G1096" s="27"/>
      <c r="H1096" s="28"/>
      <c r="I1096" s="27"/>
      <c r="J1096" s="29"/>
      <c r="K1096" s="30"/>
      <c r="L1096" s="31"/>
      <c r="M1096" s="32"/>
      <c r="N1096" s="30"/>
      <c r="O1096" s="30"/>
      <c r="P1096" s="39"/>
      <c r="Q1096" s="34"/>
      <c r="R1096" s="35"/>
      <c r="S1096" s="36"/>
      <c r="T1096" s="35"/>
      <c r="U1096" s="36"/>
      <c r="V1096" s="37"/>
    </row>
    <row r="1097" spans="1:22" x14ac:dyDescent="0.25">
      <c r="A1097" s="27"/>
      <c r="B1097" s="27"/>
      <c r="C1097" s="27"/>
      <c r="D1097" s="27"/>
      <c r="E1097" s="27"/>
      <c r="F1097" s="27"/>
      <c r="G1097" s="27"/>
      <c r="H1097" s="28"/>
      <c r="I1097" s="27"/>
      <c r="J1097" s="29"/>
      <c r="K1097" s="30"/>
      <c r="L1097" s="31"/>
      <c r="M1097" s="32"/>
      <c r="N1097" s="30"/>
      <c r="O1097" s="30"/>
      <c r="P1097" s="39"/>
      <c r="Q1097" s="34"/>
      <c r="R1097" s="35"/>
      <c r="S1097" s="36"/>
      <c r="T1097" s="35"/>
      <c r="U1097" s="36"/>
      <c r="V1097" s="37"/>
    </row>
    <row r="1098" spans="1:22" x14ac:dyDescent="0.25">
      <c r="A1098" s="27"/>
      <c r="B1098" s="27"/>
      <c r="C1098" s="27"/>
      <c r="D1098" s="27"/>
      <c r="E1098" s="27"/>
      <c r="F1098" s="27"/>
      <c r="G1098" s="27"/>
      <c r="H1098" s="28"/>
      <c r="I1098" s="27"/>
      <c r="J1098" s="29"/>
      <c r="K1098" s="30"/>
      <c r="L1098" s="31"/>
      <c r="M1098" s="32"/>
      <c r="N1098" s="30"/>
      <c r="O1098" s="30"/>
      <c r="P1098" s="39"/>
      <c r="Q1098" s="34"/>
      <c r="R1098" s="35"/>
      <c r="S1098" s="36"/>
      <c r="T1098" s="35"/>
      <c r="U1098" s="36"/>
      <c r="V1098" s="37"/>
    </row>
    <row r="1099" spans="1:22" x14ac:dyDescent="0.25">
      <c r="A1099" s="27"/>
      <c r="B1099" s="27"/>
      <c r="C1099" s="27"/>
      <c r="D1099" s="27"/>
      <c r="E1099" s="27"/>
      <c r="F1099" s="27"/>
      <c r="G1099" s="27"/>
      <c r="H1099" s="28"/>
      <c r="I1099" s="27"/>
      <c r="J1099" s="29"/>
      <c r="K1099" s="30"/>
      <c r="L1099" s="31"/>
      <c r="M1099" s="32"/>
      <c r="N1099" s="30"/>
      <c r="O1099" s="30"/>
      <c r="P1099" s="39"/>
      <c r="Q1099" s="34"/>
      <c r="R1099" s="35"/>
      <c r="S1099" s="36"/>
      <c r="T1099" s="35"/>
      <c r="U1099" s="36"/>
      <c r="V1099" s="37"/>
    </row>
    <row r="1100" spans="1:22" x14ac:dyDescent="0.25">
      <c r="A1100" s="27"/>
      <c r="B1100" s="27"/>
      <c r="C1100" s="27"/>
      <c r="D1100" s="27"/>
      <c r="E1100" s="27"/>
      <c r="F1100" s="27"/>
      <c r="G1100" s="27"/>
      <c r="H1100" s="28"/>
      <c r="I1100" s="27"/>
      <c r="J1100" s="29"/>
      <c r="K1100" s="30"/>
      <c r="L1100" s="31"/>
      <c r="M1100" s="32"/>
      <c r="N1100" s="30"/>
      <c r="O1100" s="30"/>
      <c r="P1100" s="39"/>
      <c r="Q1100" s="34"/>
      <c r="R1100" s="35"/>
      <c r="S1100" s="36"/>
      <c r="T1100" s="35"/>
      <c r="U1100" s="36"/>
      <c r="V1100" s="37"/>
    </row>
    <row r="1101" spans="1:22" x14ac:dyDescent="0.25">
      <c r="A1101" s="27"/>
      <c r="B1101" s="27"/>
      <c r="C1101" s="27"/>
      <c r="D1101" s="27"/>
      <c r="E1101" s="27"/>
      <c r="F1101" s="27"/>
      <c r="G1101" s="27"/>
      <c r="H1101" s="28"/>
      <c r="I1101" s="27"/>
      <c r="J1101" s="29"/>
      <c r="K1101" s="30"/>
      <c r="L1101" s="31"/>
      <c r="M1101" s="32"/>
      <c r="N1101" s="30"/>
      <c r="O1101" s="30"/>
      <c r="P1101" s="39"/>
      <c r="Q1101" s="34"/>
      <c r="R1101" s="35"/>
      <c r="S1101" s="36"/>
      <c r="T1101" s="35"/>
      <c r="U1101" s="36"/>
      <c r="V1101" s="37"/>
    </row>
    <row r="1102" spans="1:22" x14ac:dyDescent="0.25">
      <c r="A1102" s="27"/>
      <c r="B1102" s="27"/>
      <c r="C1102" s="27"/>
      <c r="D1102" s="27"/>
      <c r="E1102" s="27"/>
      <c r="F1102" s="27"/>
      <c r="G1102" s="27"/>
      <c r="H1102" s="28"/>
      <c r="I1102" s="27"/>
      <c r="J1102" s="29"/>
      <c r="K1102" s="30"/>
      <c r="L1102" s="31"/>
      <c r="M1102" s="32"/>
      <c r="N1102" s="30"/>
      <c r="O1102" s="30"/>
      <c r="P1102" s="39"/>
      <c r="Q1102" s="34"/>
      <c r="R1102" s="35"/>
      <c r="S1102" s="36"/>
      <c r="T1102" s="35"/>
      <c r="U1102" s="36"/>
      <c r="V1102" s="37"/>
    </row>
    <row r="1103" spans="1:22" x14ac:dyDescent="0.25">
      <c r="A1103" s="27"/>
      <c r="B1103" s="27"/>
      <c r="C1103" s="27"/>
      <c r="D1103" s="27"/>
      <c r="E1103" s="27"/>
      <c r="F1103" s="27"/>
      <c r="G1103" s="27"/>
      <c r="H1103" s="28"/>
      <c r="I1103" s="27"/>
      <c r="J1103" s="29"/>
      <c r="K1103" s="30"/>
      <c r="L1103" s="31"/>
      <c r="M1103" s="32"/>
      <c r="N1103" s="30"/>
      <c r="O1103" s="30"/>
      <c r="P1103" s="39"/>
      <c r="Q1103" s="34"/>
      <c r="R1103" s="35"/>
      <c r="S1103" s="36"/>
      <c r="T1103" s="35"/>
      <c r="U1103" s="36"/>
      <c r="V1103" s="37"/>
    </row>
    <row r="1104" spans="1:22" x14ac:dyDescent="0.25">
      <c r="A1104" s="27"/>
      <c r="B1104" s="27"/>
      <c r="C1104" s="27"/>
      <c r="D1104" s="27"/>
      <c r="E1104" s="27"/>
      <c r="F1104" s="27"/>
      <c r="G1104" s="27"/>
      <c r="H1104" s="28"/>
      <c r="I1104" s="27"/>
      <c r="J1104" s="29"/>
      <c r="K1104" s="30"/>
      <c r="L1104" s="31"/>
      <c r="M1104" s="32"/>
      <c r="N1104" s="30"/>
      <c r="O1104" s="30"/>
      <c r="P1104" s="39"/>
      <c r="Q1104" s="34"/>
      <c r="R1104" s="35"/>
      <c r="S1104" s="36"/>
      <c r="T1104" s="35"/>
      <c r="U1104" s="36"/>
      <c r="V1104" s="37"/>
    </row>
    <row r="1105" spans="1:22" x14ac:dyDescent="0.25">
      <c r="A1105" s="27"/>
      <c r="B1105" s="27"/>
      <c r="C1105" s="27"/>
      <c r="D1105" s="27"/>
      <c r="E1105" s="27"/>
      <c r="F1105" s="27"/>
      <c r="G1105" s="27"/>
      <c r="H1105" s="28"/>
      <c r="I1105" s="27"/>
      <c r="J1105" s="29"/>
      <c r="K1105" s="30"/>
      <c r="L1105" s="31"/>
      <c r="M1105" s="32"/>
      <c r="N1105" s="30"/>
      <c r="O1105" s="30"/>
      <c r="P1105" s="39"/>
      <c r="Q1105" s="34"/>
      <c r="R1105" s="35"/>
      <c r="S1105" s="36"/>
      <c r="T1105" s="35"/>
      <c r="U1105" s="36"/>
      <c r="V1105" s="37"/>
    </row>
    <row r="1106" spans="1:22" x14ac:dyDescent="0.25">
      <c r="A1106" s="27"/>
      <c r="B1106" s="27"/>
      <c r="C1106" s="27"/>
      <c r="D1106" s="27"/>
      <c r="E1106" s="27"/>
      <c r="F1106" s="27"/>
      <c r="G1106" s="27"/>
      <c r="H1106" s="28"/>
      <c r="I1106" s="27"/>
      <c r="J1106" s="29"/>
      <c r="K1106" s="30"/>
      <c r="L1106" s="31"/>
      <c r="M1106" s="32"/>
      <c r="N1106" s="30"/>
      <c r="O1106" s="30"/>
      <c r="P1106" s="39"/>
      <c r="Q1106" s="34"/>
      <c r="R1106" s="35"/>
      <c r="S1106" s="36"/>
      <c r="T1106" s="35"/>
      <c r="U1106" s="36"/>
      <c r="V1106" s="37"/>
    </row>
    <row r="1107" spans="1:22" x14ac:dyDescent="0.25">
      <c r="A1107" s="27"/>
      <c r="B1107" s="27"/>
      <c r="C1107" s="27"/>
      <c r="D1107" s="27"/>
      <c r="E1107" s="27"/>
      <c r="F1107" s="27"/>
      <c r="G1107" s="27"/>
      <c r="H1107" s="28"/>
      <c r="I1107" s="27"/>
      <c r="J1107" s="29"/>
      <c r="K1107" s="30"/>
      <c r="L1107" s="31"/>
      <c r="M1107" s="32"/>
      <c r="N1107" s="30"/>
      <c r="O1107" s="30"/>
      <c r="P1107" s="39"/>
      <c r="Q1107" s="34"/>
      <c r="R1107" s="35"/>
      <c r="S1107" s="36"/>
      <c r="T1107" s="35"/>
      <c r="U1107" s="36"/>
      <c r="V1107" s="37"/>
    </row>
    <row r="1108" spans="1:22" x14ac:dyDescent="0.25">
      <c r="A1108" s="27"/>
      <c r="B1108" s="27"/>
      <c r="C1108" s="27"/>
      <c r="D1108" s="27"/>
      <c r="E1108" s="27"/>
      <c r="F1108" s="27"/>
      <c r="G1108" s="27"/>
      <c r="H1108" s="28"/>
      <c r="I1108" s="27"/>
      <c r="J1108" s="29"/>
      <c r="K1108" s="30"/>
      <c r="L1108" s="31"/>
      <c r="M1108" s="32"/>
      <c r="N1108" s="30"/>
      <c r="O1108" s="30"/>
      <c r="P1108" s="39"/>
      <c r="Q1108" s="34"/>
      <c r="R1108" s="35"/>
      <c r="S1108" s="36"/>
      <c r="T1108" s="35"/>
      <c r="U1108" s="36"/>
      <c r="V1108" s="37"/>
    </row>
    <row r="1109" spans="1:22" x14ac:dyDescent="0.25">
      <c r="A1109" s="27"/>
      <c r="B1109" s="27"/>
      <c r="C1109" s="27"/>
      <c r="D1109" s="27"/>
      <c r="E1109" s="27"/>
      <c r="F1109" s="27"/>
      <c r="G1109" s="27"/>
      <c r="H1109" s="28"/>
      <c r="I1109" s="27"/>
      <c r="J1109" s="29"/>
      <c r="K1109" s="30"/>
      <c r="L1109" s="31"/>
      <c r="M1109" s="32"/>
      <c r="N1109" s="30"/>
      <c r="O1109" s="30"/>
      <c r="P1109" s="39"/>
      <c r="Q1109" s="34"/>
      <c r="R1109" s="35"/>
      <c r="S1109" s="36"/>
      <c r="T1109" s="35"/>
      <c r="U1109" s="36"/>
      <c r="V1109" s="37"/>
    </row>
    <row r="1110" spans="1:22" x14ac:dyDescent="0.25">
      <c r="A1110" s="27"/>
      <c r="B1110" s="27"/>
      <c r="C1110" s="27"/>
      <c r="D1110" s="27"/>
      <c r="E1110" s="27"/>
      <c r="F1110" s="27"/>
      <c r="G1110" s="27"/>
      <c r="H1110" s="28"/>
      <c r="I1110" s="27"/>
      <c r="J1110" s="29"/>
      <c r="K1110" s="30"/>
      <c r="L1110" s="31"/>
      <c r="M1110" s="32"/>
      <c r="N1110" s="30"/>
      <c r="O1110" s="30"/>
      <c r="P1110" s="39"/>
      <c r="Q1110" s="34"/>
      <c r="R1110" s="35"/>
      <c r="S1110" s="36"/>
      <c r="T1110" s="35"/>
      <c r="U1110" s="36"/>
      <c r="V1110" s="37"/>
    </row>
    <row r="1111" spans="1:22" x14ac:dyDescent="0.25">
      <c r="A1111" s="27"/>
      <c r="B1111" s="27"/>
      <c r="C1111" s="27"/>
      <c r="D1111" s="27"/>
      <c r="E1111" s="27"/>
      <c r="F1111" s="27"/>
      <c r="G1111" s="27"/>
      <c r="H1111" s="28"/>
      <c r="I1111" s="27"/>
      <c r="J1111" s="29"/>
      <c r="K1111" s="30"/>
      <c r="L1111" s="31"/>
      <c r="M1111" s="32"/>
      <c r="N1111" s="30"/>
      <c r="O1111" s="30"/>
      <c r="P1111" s="39"/>
      <c r="Q1111" s="34"/>
      <c r="R1111" s="35"/>
      <c r="S1111" s="36"/>
      <c r="T1111" s="35"/>
      <c r="U1111" s="36"/>
      <c r="V1111" s="37"/>
    </row>
    <row r="1112" spans="1:22" x14ac:dyDescent="0.25">
      <c r="A1112" s="27"/>
      <c r="B1112" s="27"/>
      <c r="C1112" s="27"/>
      <c r="D1112" s="27"/>
      <c r="E1112" s="27"/>
      <c r="F1112" s="27"/>
      <c r="G1112" s="27"/>
      <c r="H1112" s="28"/>
      <c r="I1112" s="27"/>
      <c r="J1112" s="29"/>
      <c r="K1112" s="30"/>
      <c r="L1112" s="31"/>
      <c r="M1112" s="32"/>
      <c r="N1112" s="30"/>
      <c r="O1112" s="30"/>
      <c r="P1112" s="39"/>
      <c r="Q1112" s="34"/>
      <c r="R1112" s="35"/>
      <c r="S1112" s="36"/>
      <c r="T1112" s="35"/>
      <c r="U1112" s="36"/>
      <c r="V1112" s="37"/>
    </row>
    <row r="1113" spans="1:22" x14ac:dyDescent="0.25">
      <c r="A1113" s="27"/>
      <c r="B1113" s="27"/>
      <c r="C1113" s="27"/>
      <c r="D1113" s="27"/>
      <c r="E1113" s="27"/>
      <c r="F1113" s="27"/>
      <c r="G1113" s="27"/>
      <c r="H1113" s="28"/>
      <c r="I1113" s="27"/>
      <c r="J1113" s="29"/>
      <c r="K1113" s="30"/>
      <c r="L1113" s="31"/>
      <c r="M1113" s="32"/>
      <c r="N1113" s="30"/>
      <c r="O1113" s="30"/>
      <c r="P1113" s="39"/>
      <c r="Q1113" s="34"/>
      <c r="R1113" s="35"/>
      <c r="S1113" s="36"/>
      <c r="T1113" s="35"/>
      <c r="U1113" s="36"/>
      <c r="V1113" s="37"/>
    </row>
    <row r="1114" spans="1:22" x14ac:dyDescent="0.25">
      <c r="A1114" s="27"/>
      <c r="B1114" s="27"/>
      <c r="C1114" s="27"/>
      <c r="D1114" s="27"/>
      <c r="E1114" s="27"/>
      <c r="F1114" s="27"/>
      <c r="G1114" s="27"/>
      <c r="H1114" s="28"/>
      <c r="I1114" s="27"/>
      <c r="J1114" s="29"/>
      <c r="K1114" s="30"/>
      <c r="L1114" s="31"/>
      <c r="M1114" s="32"/>
      <c r="N1114" s="30"/>
      <c r="O1114" s="30"/>
      <c r="P1114" s="39"/>
      <c r="Q1114" s="34"/>
      <c r="R1114" s="35"/>
      <c r="S1114" s="36"/>
      <c r="T1114" s="35"/>
      <c r="U1114" s="36"/>
      <c r="V1114" s="37"/>
    </row>
    <row r="1115" spans="1:22" x14ac:dyDescent="0.25">
      <c r="A1115" s="27"/>
      <c r="B1115" s="27"/>
      <c r="C1115" s="27"/>
      <c r="D1115" s="27"/>
      <c r="E1115" s="27"/>
      <c r="F1115" s="27"/>
      <c r="G1115" s="27"/>
      <c r="H1115" s="28"/>
      <c r="I1115" s="27"/>
      <c r="J1115" s="29"/>
      <c r="K1115" s="30"/>
      <c r="L1115" s="31"/>
      <c r="M1115" s="32"/>
      <c r="N1115" s="30"/>
      <c r="O1115" s="30"/>
      <c r="P1115" s="39"/>
      <c r="Q1115" s="34"/>
      <c r="R1115" s="35"/>
      <c r="S1115" s="36"/>
      <c r="T1115" s="35"/>
      <c r="U1115" s="36"/>
      <c r="V1115" s="37"/>
    </row>
    <row r="1116" spans="1:22" x14ac:dyDescent="0.25">
      <c r="A1116" s="27"/>
      <c r="B1116" s="27"/>
      <c r="C1116" s="27"/>
      <c r="D1116" s="27"/>
      <c r="E1116" s="27"/>
      <c r="F1116" s="27"/>
      <c r="G1116" s="27"/>
      <c r="H1116" s="28"/>
      <c r="I1116" s="27"/>
      <c r="J1116" s="29"/>
      <c r="K1116" s="30"/>
      <c r="L1116" s="31"/>
      <c r="M1116" s="32"/>
      <c r="N1116" s="30"/>
      <c r="O1116" s="30"/>
      <c r="P1116" s="39"/>
      <c r="Q1116" s="34"/>
      <c r="R1116" s="35"/>
      <c r="S1116" s="36"/>
      <c r="T1116" s="35"/>
      <c r="U1116" s="36"/>
      <c r="V1116" s="37"/>
    </row>
    <row r="1117" spans="1:22" x14ac:dyDescent="0.25">
      <c r="A1117" s="27"/>
      <c r="B1117" s="27"/>
      <c r="C1117" s="27"/>
      <c r="D1117" s="27"/>
      <c r="E1117" s="27"/>
      <c r="F1117" s="27"/>
      <c r="G1117" s="27"/>
      <c r="H1117" s="28"/>
      <c r="I1117" s="27"/>
      <c r="J1117" s="29"/>
      <c r="K1117" s="30"/>
      <c r="L1117" s="31"/>
      <c r="M1117" s="32"/>
      <c r="N1117" s="30"/>
      <c r="O1117" s="30"/>
      <c r="P1117" s="39"/>
      <c r="Q1117" s="34"/>
      <c r="R1117" s="35"/>
      <c r="S1117" s="36"/>
      <c r="T1117" s="35"/>
      <c r="U1117" s="36"/>
      <c r="V1117" s="37"/>
    </row>
    <row r="1118" spans="1:22" x14ac:dyDescent="0.25">
      <c r="A1118" s="27"/>
      <c r="B1118" s="27"/>
      <c r="C1118" s="27"/>
      <c r="D1118" s="27"/>
      <c r="E1118" s="27"/>
      <c r="F1118" s="27"/>
      <c r="G1118" s="27"/>
      <c r="H1118" s="28"/>
      <c r="I1118" s="27"/>
      <c r="J1118" s="29"/>
      <c r="K1118" s="30"/>
      <c r="L1118" s="31"/>
      <c r="M1118" s="32"/>
      <c r="N1118" s="30"/>
      <c r="O1118" s="30"/>
      <c r="P1118" s="39"/>
      <c r="Q1118" s="34"/>
      <c r="R1118" s="35"/>
      <c r="S1118" s="36"/>
      <c r="T1118" s="35"/>
      <c r="U1118" s="36"/>
      <c r="V1118" s="37"/>
    </row>
    <row r="1119" spans="1:22" x14ac:dyDescent="0.25">
      <c r="A1119" s="27"/>
      <c r="B1119" s="27"/>
      <c r="C1119" s="27"/>
      <c r="D1119" s="27"/>
      <c r="E1119" s="27"/>
      <c r="F1119" s="27"/>
      <c r="G1119" s="27"/>
      <c r="H1119" s="28"/>
      <c r="I1119" s="27"/>
      <c r="J1119" s="29"/>
      <c r="K1119" s="30"/>
      <c r="L1119" s="31"/>
      <c r="M1119" s="32"/>
      <c r="N1119" s="30"/>
      <c r="O1119" s="30"/>
      <c r="P1119" s="39"/>
      <c r="Q1119" s="34"/>
      <c r="R1119" s="35"/>
      <c r="S1119" s="36"/>
      <c r="T1119" s="35"/>
      <c r="U1119" s="36"/>
      <c r="V1119" s="37"/>
    </row>
    <row r="1120" spans="1:22" x14ac:dyDescent="0.25">
      <c r="A1120" s="27"/>
      <c r="B1120" s="27"/>
      <c r="C1120" s="27"/>
      <c r="D1120" s="27"/>
      <c r="E1120" s="27"/>
      <c r="F1120" s="27"/>
      <c r="G1120" s="27"/>
      <c r="H1120" s="28"/>
      <c r="I1120" s="27"/>
      <c r="J1120" s="29"/>
      <c r="K1120" s="30"/>
      <c r="L1120" s="31"/>
      <c r="M1120" s="32"/>
      <c r="N1120" s="30"/>
      <c r="O1120" s="30"/>
      <c r="P1120" s="39"/>
      <c r="Q1120" s="34"/>
      <c r="R1120" s="35"/>
      <c r="S1120" s="36"/>
      <c r="T1120" s="35"/>
      <c r="U1120" s="36"/>
      <c r="V1120" s="37"/>
    </row>
    <row r="1121" spans="1:22" x14ac:dyDescent="0.25">
      <c r="A1121" s="27"/>
      <c r="B1121" s="27"/>
      <c r="C1121" s="27"/>
      <c r="D1121" s="27"/>
      <c r="E1121" s="27"/>
      <c r="F1121" s="27"/>
      <c r="G1121" s="27"/>
      <c r="H1121" s="28"/>
      <c r="I1121" s="27"/>
      <c r="J1121" s="29"/>
      <c r="K1121" s="30"/>
      <c r="L1121" s="31"/>
      <c r="M1121" s="32"/>
      <c r="N1121" s="30"/>
      <c r="O1121" s="30"/>
      <c r="P1121" s="39"/>
      <c r="Q1121" s="34"/>
      <c r="R1121" s="35"/>
      <c r="S1121" s="36"/>
      <c r="T1121" s="35"/>
      <c r="U1121" s="36"/>
      <c r="V1121" s="37"/>
    </row>
    <row r="1122" spans="1:22" x14ac:dyDescent="0.25">
      <c r="A1122" s="27"/>
      <c r="B1122" s="27"/>
      <c r="C1122" s="27"/>
      <c r="D1122" s="27"/>
      <c r="E1122" s="27"/>
      <c r="F1122" s="27"/>
      <c r="G1122" s="27"/>
      <c r="H1122" s="28"/>
      <c r="I1122" s="27"/>
      <c r="J1122" s="29"/>
      <c r="K1122" s="30"/>
      <c r="L1122" s="31"/>
      <c r="M1122" s="32"/>
      <c r="N1122" s="30"/>
      <c r="O1122" s="30"/>
      <c r="P1122" s="39"/>
      <c r="Q1122" s="34"/>
      <c r="R1122" s="35"/>
      <c r="S1122" s="36"/>
      <c r="T1122" s="35"/>
      <c r="U1122" s="36"/>
      <c r="V1122" s="37"/>
    </row>
    <row r="1123" spans="1:22" x14ac:dyDescent="0.25">
      <c r="A1123" s="27"/>
      <c r="B1123" s="27"/>
      <c r="C1123" s="27"/>
      <c r="D1123" s="27"/>
      <c r="E1123" s="27"/>
      <c r="F1123" s="27"/>
      <c r="G1123" s="27"/>
      <c r="H1123" s="28"/>
      <c r="I1123" s="27"/>
      <c r="J1123" s="29"/>
      <c r="K1123" s="30"/>
      <c r="L1123" s="31"/>
      <c r="M1123" s="32"/>
      <c r="N1123" s="30"/>
      <c r="O1123" s="30"/>
      <c r="P1123" s="39"/>
      <c r="Q1123" s="34"/>
      <c r="R1123" s="35"/>
      <c r="S1123" s="36"/>
      <c r="T1123" s="35"/>
      <c r="U1123" s="36"/>
      <c r="V1123" s="37"/>
    </row>
    <row r="1124" spans="1:22" x14ac:dyDescent="0.25">
      <c r="A1124" s="27"/>
      <c r="B1124" s="27"/>
      <c r="C1124" s="27"/>
      <c r="D1124" s="27"/>
      <c r="E1124" s="27"/>
      <c r="F1124" s="27"/>
      <c r="G1124" s="27"/>
      <c r="H1124" s="28"/>
      <c r="I1124" s="27"/>
      <c r="J1124" s="29"/>
      <c r="K1124" s="30"/>
      <c r="L1124" s="31"/>
      <c r="M1124" s="32"/>
      <c r="N1124" s="30"/>
      <c r="O1124" s="30"/>
      <c r="P1124" s="39"/>
      <c r="Q1124" s="34"/>
      <c r="R1124" s="35"/>
      <c r="S1124" s="36"/>
      <c r="T1124" s="35"/>
      <c r="U1124" s="36"/>
      <c r="V1124" s="37"/>
    </row>
    <row r="1125" spans="1:22" x14ac:dyDescent="0.25">
      <c r="A1125" s="27"/>
      <c r="B1125" s="27"/>
      <c r="C1125" s="27"/>
      <c r="D1125" s="27"/>
      <c r="E1125" s="27"/>
      <c r="F1125" s="27"/>
      <c r="G1125" s="27"/>
      <c r="H1125" s="28"/>
      <c r="I1125" s="27"/>
      <c r="J1125" s="29"/>
      <c r="K1125" s="30"/>
      <c r="L1125" s="31"/>
      <c r="M1125" s="32"/>
      <c r="N1125" s="30"/>
      <c r="O1125" s="30"/>
      <c r="P1125" s="39"/>
      <c r="Q1125" s="34"/>
      <c r="R1125" s="35"/>
      <c r="S1125" s="36"/>
      <c r="T1125" s="35"/>
      <c r="U1125" s="36"/>
      <c r="V1125" s="37"/>
    </row>
    <row r="1126" spans="1:22" x14ac:dyDescent="0.25">
      <c r="A1126" s="27"/>
      <c r="B1126" s="27"/>
      <c r="C1126" s="27"/>
      <c r="D1126" s="27"/>
      <c r="E1126" s="27"/>
      <c r="F1126" s="27"/>
      <c r="G1126" s="27"/>
      <c r="H1126" s="28"/>
      <c r="I1126" s="27"/>
      <c r="J1126" s="29"/>
      <c r="K1126" s="30"/>
      <c r="L1126" s="31"/>
      <c r="M1126" s="32"/>
      <c r="N1126" s="30"/>
      <c r="O1126" s="30"/>
      <c r="P1126" s="39"/>
      <c r="Q1126" s="34"/>
      <c r="R1126" s="35"/>
      <c r="S1126" s="36"/>
      <c r="T1126" s="35"/>
      <c r="U1126" s="36"/>
      <c r="V1126" s="37"/>
    </row>
    <row r="1127" spans="1:22" x14ac:dyDescent="0.25">
      <c r="A1127" s="27"/>
      <c r="B1127" s="27"/>
      <c r="C1127" s="27"/>
      <c r="D1127" s="27"/>
      <c r="E1127" s="27"/>
      <c r="F1127" s="27"/>
      <c r="G1127" s="27"/>
      <c r="H1127" s="28"/>
      <c r="I1127" s="27"/>
      <c r="J1127" s="29"/>
      <c r="K1127" s="30"/>
      <c r="L1127" s="31"/>
      <c r="M1127" s="32"/>
      <c r="N1127" s="30"/>
      <c r="O1127" s="30"/>
      <c r="P1127" s="39"/>
      <c r="Q1127" s="34"/>
      <c r="R1127" s="35"/>
      <c r="S1127" s="36"/>
      <c r="T1127" s="35"/>
      <c r="U1127" s="36"/>
      <c r="V1127" s="37"/>
    </row>
    <row r="1128" spans="1:22" x14ac:dyDescent="0.25">
      <c r="A1128" s="27"/>
      <c r="B1128" s="27"/>
      <c r="C1128" s="27"/>
      <c r="D1128" s="27"/>
      <c r="E1128" s="27"/>
      <c r="F1128" s="27"/>
      <c r="G1128" s="27"/>
      <c r="H1128" s="28"/>
      <c r="I1128" s="27"/>
      <c r="J1128" s="29"/>
      <c r="K1128" s="30"/>
      <c r="L1128" s="31"/>
      <c r="M1128" s="32"/>
      <c r="N1128" s="30"/>
      <c r="O1128" s="30"/>
      <c r="P1128" s="39"/>
      <c r="Q1128" s="34"/>
      <c r="R1128" s="35"/>
      <c r="S1128" s="36"/>
      <c r="T1128" s="35"/>
      <c r="U1128" s="36"/>
      <c r="V1128" s="37"/>
    </row>
    <row r="1129" spans="1:22" x14ac:dyDescent="0.25">
      <c r="A1129" s="27"/>
      <c r="B1129" s="27"/>
      <c r="C1129" s="27"/>
      <c r="D1129" s="27"/>
      <c r="E1129" s="27"/>
      <c r="F1129" s="27"/>
      <c r="G1129" s="27"/>
      <c r="H1129" s="28"/>
      <c r="I1129" s="27"/>
      <c r="J1129" s="29"/>
      <c r="K1129" s="30"/>
      <c r="L1129" s="31"/>
      <c r="M1129" s="32"/>
      <c r="N1129" s="30"/>
      <c r="O1129" s="30"/>
      <c r="P1129" s="39"/>
      <c r="Q1129" s="34"/>
      <c r="R1129" s="35"/>
      <c r="S1129" s="36"/>
      <c r="T1129" s="35"/>
      <c r="U1129" s="36"/>
      <c r="V1129" s="37"/>
    </row>
    <row r="1130" spans="1:22" x14ac:dyDescent="0.25">
      <c r="A1130" s="27"/>
      <c r="B1130" s="27"/>
      <c r="C1130" s="27"/>
      <c r="D1130" s="27"/>
      <c r="E1130" s="27"/>
      <c r="F1130" s="27"/>
      <c r="G1130" s="27"/>
      <c r="H1130" s="28"/>
      <c r="I1130" s="27"/>
      <c r="J1130" s="29"/>
      <c r="K1130" s="30"/>
      <c r="L1130" s="31"/>
      <c r="M1130" s="32"/>
      <c r="N1130" s="30"/>
      <c r="O1130" s="30"/>
      <c r="P1130" s="39"/>
      <c r="Q1130" s="34"/>
      <c r="R1130" s="35"/>
      <c r="S1130" s="36"/>
      <c r="T1130" s="35"/>
      <c r="U1130" s="36"/>
      <c r="V1130" s="37"/>
    </row>
    <row r="1131" spans="1:22" x14ac:dyDescent="0.25">
      <c r="A1131" s="27"/>
      <c r="B1131" s="27"/>
      <c r="C1131" s="27"/>
      <c r="D1131" s="27"/>
      <c r="E1131" s="27"/>
      <c r="F1131" s="27"/>
      <c r="G1131" s="27"/>
      <c r="H1131" s="28"/>
      <c r="I1131" s="27"/>
      <c r="J1131" s="29"/>
      <c r="K1131" s="30"/>
      <c r="L1131" s="31"/>
      <c r="M1131" s="32"/>
      <c r="N1131" s="30"/>
      <c r="O1131" s="30"/>
      <c r="P1131" s="39"/>
      <c r="Q1131" s="34"/>
      <c r="R1131" s="35"/>
      <c r="S1131" s="36"/>
      <c r="T1131" s="35"/>
      <c r="U1131" s="36"/>
      <c r="V1131" s="37"/>
    </row>
    <row r="1132" spans="1:22" x14ac:dyDescent="0.25">
      <c r="A1132" s="27"/>
      <c r="B1132" s="27"/>
      <c r="C1132" s="27"/>
      <c r="D1132" s="27"/>
      <c r="E1132" s="27"/>
      <c r="F1132" s="27"/>
      <c r="G1132" s="27"/>
      <c r="H1132" s="28"/>
      <c r="I1132" s="27"/>
      <c r="J1132" s="29"/>
      <c r="K1132" s="30"/>
      <c r="L1132" s="31"/>
      <c r="M1132" s="32"/>
      <c r="N1132" s="30"/>
      <c r="O1132" s="30"/>
      <c r="P1132" s="39"/>
      <c r="Q1132" s="34"/>
      <c r="R1132" s="35"/>
      <c r="S1132" s="36"/>
      <c r="T1132" s="35"/>
      <c r="U1132" s="36"/>
      <c r="V1132" s="37"/>
    </row>
    <row r="1133" spans="1:22" x14ac:dyDescent="0.25">
      <c r="A1133" s="27"/>
      <c r="B1133" s="27"/>
      <c r="C1133" s="27"/>
      <c r="D1133" s="27"/>
      <c r="E1133" s="27"/>
      <c r="F1133" s="27"/>
      <c r="G1133" s="27"/>
      <c r="H1133" s="28"/>
      <c r="I1133" s="27"/>
      <c r="J1133" s="29"/>
      <c r="K1133" s="30"/>
      <c r="L1133" s="31"/>
      <c r="M1133" s="32"/>
      <c r="N1133" s="30"/>
      <c r="O1133" s="30"/>
      <c r="P1133" s="39"/>
      <c r="Q1133" s="34"/>
      <c r="R1133" s="35"/>
      <c r="S1133" s="36"/>
      <c r="T1133" s="35"/>
      <c r="U1133" s="36"/>
      <c r="V1133" s="37"/>
    </row>
    <row r="1134" spans="1:22" x14ac:dyDescent="0.25">
      <c r="A1134" s="27"/>
      <c r="B1134" s="27"/>
      <c r="C1134" s="27"/>
      <c r="D1134" s="27"/>
      <c r="E1134" s="27"/>
      <c r="F1134" s="27"/>
      <c r="G1134" s="27"/>
      <c r="H1134" s="28"/>
      <c r="I1134" s="27"/>
      <c r="J1134" s="29"/>
      <c r="K1134" s="30"/>
      <c r="L1134" s="31"/>
      <c r="M1134" s="32"/>
      <c r="N1134" s="30"/>
      <c r="O1134" s="30"/>
      <c r="P1134" s="39"/>
      <c r="Q1134" s="34"/>
      <c r="R1134" s="35"/>
      <c r="S1134" s="36"/>
      <c r="T1134" s="35"/>
      <c r="U1134" s="36"/>
      <c r="V1134" s="37"/>
    </row>
    <row r="1135" spans="1:22" x14ac:dyDescent="0.25">
      <c r="A1135" s="27"/>
      <c r="B1135" s="27"/>
      <c r="C1135" s="27"/>
      <c r="D1135" s="27"/>
      <c r="E1135" s="27"/>
      <c r="F1135" s="27"/>
      <c r="G1135" s="27"/>
      <c r="H1135" s="28"/>
      <c r="I1135" s="27"/>
      <c r="J1135" s="29"/>
      <c r="K1135" s="30"/>
      <c r="L1135" s="31"/>
      <c r="M1135" s="32"/>
      <c r="N1135" s="30"/>
      <c r="O1135" s="30"/>
      <c r="P1135" s="39"/>
      <c r="Q1135" s="34"/>
      <c r="R1135" s="35"/>
      <c r="S1135" s="36"/>
      <c r="T1135" s="35"/>
      <c r="U1135" s="36"/>
      <c r="V1135" s="37"/>
    </row>
    <row r="1136" spans="1:22" x14ac:dyDescent="0.25">
      <c r="A1136" s="27"/>
      <c r="B1136" s="27"/>
      <c r="C1136" s="27"/>
      <c r="D1136" s="27"/>
      <c r="E1136" s="27"/>
      <c r="F1136" s="27"/>
      <c r="G1136" s="27"/>
      <c r="H1136" s="28"/>
      <c r="I1136" s="27"/>
      <c r="J1136" s="29"/>
      <c r="K1136" s="30"/>
      <c r="L1136" s="31"/>
      <c r="M1136" s="32"/>
      <c r="N1136" s="30"/>
      <c r="O1136" s="30"/>
      <c r="P1136" s="39"/>
      <c r="Q1136" s="34"/>
      <c r="R1136" s="35"/>
      <c r="S1136" s="36"/>
      <c r="T1136" s="35"/>
      <c r="U1136" s="36"/>
      <c r="V1136" s="37"/>
    </row>
    <row r="1137" spans="1:22" x14ac:dyDescent="0.25">
      <c r="A1137" s="27"/>
      <c r="B1137" s="27"/>
      <c r="C1137" s="27"/>
      <c r="D1137" s="27"/>
      <c r="E1137" s="27"/>
      <c r="F1137" s="27"/>
      <c r="G1137" s="27"/>
      <c r="H1137" s="28"/>
      <c r="I1137" s="27"/>
      <c r="J1137" s="29"/>
      <c r="K1137" s="30"/>
      <c r="L1137" s="31"/>
      <c r="M1137" s="32"/>
      <c r="N1137" s="30"/>
      <c r="O1137" s="30"/>
      <c r="P1137" s="39"/>
      <c r="Q1137" s="34"/>
      <c r="R1137" s="35"/>
      <c r="S1137" s="36"/>
      <c r="T1137" s="35"/>
      <c r="U1137" s="36"/>
      <c r="V1137" s="37"/>
    </row>
    <row r="1138" spans="1:22" x14ac:dyDescent="0.25">
      <c r="A1138" s="27"/>
      <c r="B1138" s="27"/>
      <c r="C1138" s="27"/>
      <c r="D1138" s="27"/>
      <c r="E1138" s="27"/>
      <c r="F1138" s="27"/>
      <c r="G1138" s="27"/>
      <c r="H1138" s="28"/>
      <c r="I1138" s="27"/>
      <c r="J1138" s="29"/>
      <c r="K1138" s="30"/>
      <c r="L1138" s="31"/>
      <c r="M1138" s="32"/>
      <c r="N1138" s="30"/>
      <c r="O1138" s="30"/>
      <c r="P1138" s="39"/>
      <c r="Q1138" s="34"/>
      <c r="R1138" s="35"/>
      <c r="S1138" s="36"/>
      <c r="T1138" s="35"/>
      <c r="U1138" s="36"/>
      <c r="V1138" s="37"/>
    </row>
    <row r="1139" spans="1:22" x14ac:dyDescent="0.25">
      <c r="A1139" s="27"/>
      <c r="B1139" s="27"/>
      <c r="C1139" s="27"/>
      <c r="D1139" s="27"/>
      <c r="E1139" s="27"/>
      <c r="F1139" s="27"/>
      <c r="G1139" s="27"/>
      <c r="H1139" s="28"/>
      <c r="I1139" s="27"/>
      <c r="J1139" s="29"/>
      <c r="K1139" s="30"/>
      <c r="L1139" s="31"/>
      <c r="M1139" s="32"/>
      <c r="N1139" s="30"/>
      <c r="O1139" s="30"/>
      <c r="P1139" s="39"/>
      <c r="Q1139" s="34"/>
      <c r="R1139" s="35"/>
      <c r="S1139" s="36"/>
      <c r="T1139" s="35"/>
      <c r="U1139" s="36"/>
      <c r="V1139" s="37"/>
    </row>
    <row r="1140" spans="1:22" x14ac:dyDescent="0.25">
      <c r="A1140" s="27"/>
      <c r="B1140" s="27"/>
      <c r="C1140" s="27"/>
      <c r="D1140" s="27"/>
      <c r="E1140" s="27"/>
      <c r="F1140" s="27"/>
      <c r="G1140" s="27"/>
      <c r="H1140" s="28"/>
      <c r="I1140" s="27"/>
      <c r="J1140" s="29"/>
      <c r="K1140" s="30"/>
      <c r="L1140" s="31"/>
      <c r="M1140" s="32"/>
      <c r="N1140" s="30"/>
      <c r="O1140" s="30"/>
      <c r="P1140" s="39"/>
      <c r="Q1140" s="34"/>
      <c r="R1140" s="35"/>
      <c r="S1140" s="36"/>
      <c r="T1140" s="35"/>
      <c r="U1140" s="36"/>
      <c r="V1140" s="37"/>
    </row>
    <row r="1141" spans="1:22" x14ac:dyDescent="0.25">
      <c r="A1141" s="27"/>
      <c r="B1141" s="27"/>
      <c r="C1141" s="27"/>
      <c r="D1141" s="27"/>
      <c r="E1141" s="27"/>
      <c r="F1141" s="27"/>
      <c r="G1141" s="27"/>
      <c r="H1141" s="28"/>
      <c r="I1141" s="27"/>
      <c r="J1141" s="29"/>
      <c r="K1141" s="30"/>
      <c r="L1141" s="31"/>
      <c r="M1141" s="32"/>
      <c r="N1141" s="30"/>
      <c r="O1141" s="30"/>
      <c r="P1141" s="39"/>
      <c r="Q1141" s="34"/>
      <c r="R1141" s="35"/>
      <c r="S1141" s="36"/>
      <c r="T1141" s="35"/>
      <c r="U1141" s="36"/>
      <c r="V1141" s="37"/>
    </row>
    <row r="1142" spans="1:22" x14ac:dyDescent="0.25">
      <c r="A1142" s="27"/>
      <c r="B1142" s="27"/>
      <c r="C1142" s="27"/>
      <c r="D1142" s="27"/>
      <c r="E1142" s="27"/>
      <c r="F1142" s="27"/>
      <c r="G1142" s="27"/>
      <c r="H1142" s="28"/>
      <c r="I1142" s="27"/>
      <c r="J1142" s="29"/>
      <c r="K1142" s="30"/>
      <c r="L1142" s="31"/>
      <c r="M1142" s="32"/>
      <c r="N1142" s="30"/>
      <c r="O1142" s="30"/>
      <c r="P1142" s="39"/>
      <c r="Q1142" s="34"/>
      <c r="R1142" s="35"/>
      <c r="S1142" s="36"/>
      <c r="T1142" s="35"/>
      <c r="U1142" s="36"/>
      <c r="V1142" s="37"/>
    </row>
    <row r="1143" spans="1:22" x14ac:dyDescent="0.25">
      <c r="A1143" s="27"/>
      <c r="B1143" s="27"/>
      <c r="C1143" s="27"/>
      <c r="D1143" s="27"/>
      <c r="E1143" s="27"/>
      <c r="F1143" s="27"/>
      <c r="G1143" s="27"/>
      <c r="H1143" s="28"/>
      <c r="I1143" s="27"/>
      <c r="J1143" s="29"/>
      <c r="K1143" s="30"/>
      <c r="L1143" s="31"/>
      <c r="M1143" s="32"/>
      <c r="N1143" s="30"/>
      <c r="O1143" s="30"/>
      <c r="P1143" s="39"/>
      <c r="Q1143" s="34"/>
      <c r="R1143" s="35"/>
      <c r="S1143" s="36"/>
      <c r="T1143" s="35"/>
      <c r="U1143" s="36"/>
      <c r="V1143" s="37"/>
    </row>
    <row r="1144" spans="1:22" x14ac:dyDescent="0.25">
      <c r="A1144" s="27"/>
      <c r="B1144" s="27"/>
      <c r="C1144" s="27"/>
      <c r="D1144" s="27"/>
      <c r="E1144" s="27"/>
      <c r="F1144" s="27"/>
      <c r="G1144" s="27"/>
      <c r="H1144" s="28"/>
      <c r="I1144" s="27"/>
      <c r="J1144" s="29"/>
      <c r="K1144" s="30"/>
      <c r="L1144" s="31"/>
      <c r="M1144" s="32"/>
      <c r="N1144" s="30"/>
      <c r="O1144" s="30"/>
      <c r="P1144" s="39"/>
      <c r="Q1144" s="34"/>
      <c r="R1144" s="35"/>
      <c r="S1144" s="36"/>
      <c r="T1144" s="35"/>
      <c r="U1144" s="36"/>
      <c r="V1144" s="37"/>
    </row>
    <row r="1145" spans="1:22" x14ac:dyDescent="0.25">
      <c r="A1145" s="27"/>
      <c r="B1145" s="27"/>
      <c r="C1145" s="27"/>
      <c r="D1145" s="27"/>
      <c r="E1145" s="27"/>
      <c r="F1145" s="27"/>
      <c r="G1145" s="27"/>
      <c r="H1145" s="28"/>
      <c r="I1145" s="27"/>
      <c r="J1145" s="29"/>
      <c r="K1145" s="30"/>
      <c r="L1145" s="31"/>
      <c r="M1145" s="32"/>
      <c r="N1145" s="30"/>
      <c r="O1145" s="30"/>
      <c r="P1145" s="39"/>
      <c r="Q1145" s="34"/>
      <c r="R1145" s="35"/>
      <c r="S1145" s="36"/>
      <c r="T1145" s="35"/>
      <c r="U1145" s="36"/>
      <c r="V1145" s="37"/>
    </row>
    <row r="1146" spans="1:22" x14ac:dyDescent="0.25">
      <c r="A1146" s="27"/>
      <c r="B1146" s="27"/>
      <c r="C1146" s="27"/>
      <c r="D1146" s="27"/>
      <c r="E1146" s="27"/>
      <c r="F1146" s="27"/>
      <c r="G1146" s="27"/>
      <c r="H1146" s="28"/>
      <c r="I1146" s="27"/>
      <c r="J1146" s="29"/>
      <c r="K1146" s="30"/>
      <c r="L1146" s="31"/>
      <c r="M1146" s="32"/>
      <c r="N1146" s="30"/>
      <c r="O1146" s="30"/>
      <c r="P1146" s="39"/>
      <c r="Q1146" s="34"/>
      <c r="R1146" s="35"/>
      <c r="S1146" s="36"/>
      <c r="T1146" s="35"/>
      <c r="U1146" s="36"/>
      <c r="V1146" s="37"/>
    </row>
    <row r="1147" spans="1:22" x14ac:dyDescent="0.25">
      <c r="A1147" s="27"/>
      <c r="B1147" s="27"/>
      <c r="C1147" s="27"/>
      <c r="D1147" s="27"/>
      <c r="E1147" s="27"/>
      <c r="F1147" s="27"/>
      <c r="G1147" s="27"/>
      <c r="H1147" s="28"/>
      <c r="I1147" s="27"/>
      <c r="J1147" s="29"/>
      <c r="K1147" s="30"/>
      <c r="L1147" s="31"/>
      <c r="M1147" s="32"/>
      <c r="N1147" s="30"/>
      <c r="O1147" s="30"/>
      <c r="P1147" s="39"/>
      <c r="Q1147" s="34"/>
      <c r="R1147" s="35"/>
      <c r="S1147" s="36"/>
      <c r="T1147" s="35"/>
      <c r="U1147" s="36"/>
      <c r="V1147" s="37"/>
    </row>
    <row r="1148" spans="1:22" x14ac:dyDescent="0.25">
      <c r="A1148" s="27"/>
      <c r="B1148" s="27"/>
      <c r="C1148" s="27"/>
      <c r="D1148" s="27"/>
      <c r="E1148" s="27"/>
      <c r="F1148" s="27"/>
      <c r="G1148" s="27"/>
      <c r="H1148" s="28"/>
      <c r="I1148" s="27"/>
      <c r="J1148" s="29"/>
      <c r="K1148" s="30"/>
      <c r="L1148" s="31"/>
      <c r="M1148" s="32"/>
      <c r="N1148" s="30"/>
      <c r="O1148" s="30"/>
      <c r="P1148" s="39"/>
      <c r="Q1148" s="34"/>
      <c r="R1148" s="35"/>
      <c r="S1148" s="36"/>
      <c r="T1148" s="35"/>
      <c r="U1148" s="36"/>
      <c r="V1148" s="37"/>
    </row>
    <row r="1149" spans="1:22" x14ac:dyDescent="0.25">
      <c r="A1149" s="27"/>
      <c r="B1149" s="27"/>
      <c r="C1149" s="27"/>
      <c r="D1149" s="27"/>
      <c r="E1149" s="27"/>
      <c r="F1149" s="27"/>
      <c r="G1149" s="27"/>
      <c r="H1149" s="28"/>
      <c r="I1149" s="27"/>
      <c r="J1149" s="29"/>
      <c r="K1149" s="30"/>
      <c r="L1149" s="31"/>
      <c r="M1149" s="32"/>
      <c r="N1149" s="30"/>
      <c r="O1149" s="30"/>
      <c r="P1149" s="39"/>
      <c r="Q1149" s="34"/>
      <c r="R1149" s="35"/>
      <c r="S1149" s="36"/>
      <c r="T1149" s="35"/>
      <c r="U1149" s="36"/>
      <c r="V1149" s="37"/>
    </row>
    <row r="1150" spans="1:22" x14ac:dyDescent="0.25">
      <c r="A1150" s="27"/>
      <c r="B1150" s="27"/>
      <c r="C1150" s="27"/>
      <c r="D1150" s="27"/>
      <c r="E1150" s="27"/>
      <c r="F1150" s="27"/>
      <c r="G1150" s="27"/>
      <c r="H1150" s="28"/>
      <c r="I1150" s="27"/>
      <c r="J1150" s="29"/>
      <c r="K1150" s="30"/>
      <c r="L1150" s="31"/>
      <c r="M1150" s="32"/>
      <c r="N1150" s="30"/>
      <c r="O1150" s="30"/>
      <c r="P1150" s="39"/>
      <c r="Q1150" s="34"/>
      <c r="R1150" s="35"/>
      <c r="S1150" s="36"/>
      <c r="T1150" s="35"/>
      <c r="U1150" s="36"/>
      <c r="V1150" s="37"/>
    </row>
    <row r="1151" spans="1:22" x14ac:dyDescent="0.25">
      <c r="A1151" s="27"/>
      <c r="B1151" s="27"/>
      <c r="C1151" s="27"/>
      <c r="D1151" s="27"/>
      <c r="E1151" s="27"/>
      <c r="F1151" s="27"/>
      <c r="G1151" s="27"/>
      <c r="H1151" s="28"/>
      <c r="I1151" s="27"/>
      <c r="J1151" s="29"/>
      <c r="K1151" s="30"/>
      <c r="L1151" s="31"/>
      <c r="M1151" s="32"/>
      <c r="N1151" s="30"/>
      <c r="O1151" s="30"/>
      <c r="P1151" s="39"/>
      <c r="Q1151" s="34"/>
      <c r="R1151" s="35"/>
      <c r="S1151" s="36"/>
      <c r="T1151" s="35"/>
      <c r="U1151" s="36"/>
      <c r="V1151" s="37"/>
    </row>
    <row r="1152" spans="1:22" x14ac:dyDescent="0.25">
      <c r="A1152" s="27"/>
      <c r="B1152" s="27"/>
      <c r="C1152" s="27"/>
      <c r="D1152" s="27"/>
      <c r="E1152" s="27"/>
      <c r="F1152" s="27"/>
      <c r="G1152" s="27"/>
      <c r="H1152" s="28"/>
      <c r="I1152" s="27"/>
      <c r="J1152" s="29"/>
      <c r="K1152" s="30"/>
      <c r="L1152" s="31"/>
      <c r="M1152" s="32"/>
      <c r="N1152" s="30"/>
      <c r="O1152" s="30"/>
      <c r="P1152" s="39"/>
      <c r="Q1152" s="34"/>
      <c r="R1152" s="35"/>
      <c r="S1152" s="36"/>
      <c r="T1152" s="35"/>
      <c r="U1152" s="36"/>
      <c r="V1152" s="37"/>
    </row>
    <row r="1153" spans="1:22" x14ac:dyDescent="0.25">
      <c r="A1153" s="27"/>
      <c r="B1153" s="27"/>
      <c r="C1153" s="27"/>
      <c r="D1153" s="27"/>
      <c r="E1153" s="27"/>
      <c r="F1153" s="27"/>
      <c r="G1153" s="27"/>
      <c r="H1153" s="28"/>
      <c r="I1153" s="27"/>
      <c r="J1153" s="29"/>
      <c r="K1153" s="30"/>
      <c r="L1153" s="31"/>
      <c r="M1153" s="32"/>
      <c r="N1153" s="30"/>
      <c r="O1153" s="30"/>
      <c r="P1153" s="39"/>
      <c r="Q1153" s="34"/>
      <c r="R1153" s="35"/>
      <c r="S1153" s="36"/>
      <c r="T1153" s="35"/>
      <c r="U1153" s="36"/>
      <c r="V1153" s="37"/>
    </row>
    <row r="1154" spans="1:22" x14ac:dyDescent="0.25">
      <c r="A1154" s="27"/>
      <c r="B1154" s="27"/>
      <c r="C1154" s="27"/>
      <c r="D1154" s="27"/>
      <c r="E1154" s="27"/>
      <c r="F1154" s="27"/>
      <c r="G1154" s="27"/>
      <c r="H1154" s="28"/>
      <c r="I1154" s="27"/>
      <c r="J1154" s="29"/>
      <c r="K1154" s="30"/>
      <c r="L1154" s="31"/>
      <c r="M1154" s="32"/>
      <c r="N1154" s="30"/>
      <c r="O1154" s="30"/>
      <c r="P1154" s="39"/>
      <c r="Q1154" s="34"/>
      <c r="R1154" s="35"/>
      <c r="S1154" s="36"/>
      <c r="T1154" s="35"/>
      <c r="U1154" s="36"/>
      <c r="V1154" s="37"/>
    </row>
    <row r="1155" spans="1:22" x14ac:dyDescent="0.25">
      <c r="A1155" s="27"/>
      <c r="B1155" s="27"/>
      <c r="C1155" s="27"/>
      <c r="D1155" s="27"/>
      <c r="E1155" s="27"/>
      <c r="F1155" s="27"/>
      <c r="G1155" s="27"/>
      <c r="H1155" s="28"/>
      <c r="I1155" s="27"/>
      <c r="J1155" s="29"/>
      <c r="K1155" s="30"/>
      <c r="L1155" s="31"/>
      <c r="M1155" s="32"/>
      <c r="N1155" s="30"/>
      <c r="O1155" s="30"/>
      <c r="P1155" s="39"/>
      <c r="Q1155" s="34"/>
      <c r="R1155" s="35"/>
      <c r="S1155" s="36"/>
      <c r="T1155" s="35"/>
      <c r="U1155" s="36"/>
      <c r="V1155" s="37"/>
    </row>
    <row r="1156" spans="1:22" x14ac:dyDescent="0.25">
      <c r="A1156" s="27"/>
      <c r="B1156" s="27"/>
      <c r="C1156" s="27"/>
      <c r="D1156" s="27"/>
      <c r="E1156" s="27"/>
      <c r="F1156" s="27"/>
      <c r="G1156" s="27"/>
      <c r="H1156" s="28"/>
      <c r="I1156" s="27"/>
      <c r="J1156" s="29"/>
      <c r="K1156" s="30"/>
      <c r="L1156" s="31"/>
      <c r="M1156" s="32"/>
      <c r="N1156" s="30"/>
      <c r="O1156" s="30"/>
      <c r="P1156" s="39"/>
      <c r="Q1156" s="34"/>
      <c r="R1156" s="35"/>
      <c r="S1156" s="36"/>
      <c r="T1156" s="35"/>
      <c r="U1156" s="36"/>
      <c r="V1156" s="37"/>
    </row>
    <row r="1157" spans="1:22" x14ac:dyDescent="0.25">
      <c r="A1157" s="27"/>
      <c r="B1157" s="27"/>
      <c r="C1157" s="27"/>
      <c r="D1157" s="27"/>
      <c r="E1157" s="27"/>
      <c r="F1157" s="27"/>
      <c r="G1157" s="27"/>
      <c r="H1157" s="28"/>
      <c r="I1157" s="27"/>
      <c r="J1157" s="29"/>
      <c r="K1157" s="30"/>
      <c r="L1157" s="31"/>
      <c r="M1157" s="32"/>
      <c r="N1157" s="30"/>
      <c r="O1157" s="30"/>
      <c r="P1157" s="39"/>
      <c r="Q1157" s="34"/>
      <c r="R1157" s="35"/>
      <c r="S1157" s="36"/>
      <c r="T1157" s="35"/>
      <c r="U1157" s="36"/>
      <c r="V1157" s="37"/>
    </row>
    <row r="1158" spans="1:22" x14ac:dyDescent="0.25">
      <c r="A1158" s="27"/>
      <c r="B1158" s="27"/>
      <c r="C1158" s="27"/>
      <c r="D1158" s="27"/>
      <c r="E1158" s="27"/>
      <c r="F1158" s="27"/>
      <c r="G1158" s="27"/>
      <c r="H1158" s="28"/>
      <c r="I1158" s="27"/>
      <c r="J1158" s="29"/>
      <c r="K1158" s="30"/>
      <c r="L1158" s="31"/>
      <c r="M1158" s="32"/>
      <c r="N1158" s="30"/>
      <c r="O1158" s="30"/>
      <c r="P1158" s="39"/>
      <c r="Q1158" s="34"/>
      <c r="R1158" s="35"/>
      <c r="S1158" s="36"/>
      <c r="T1158" s="35"/>
      <c r="U1158" s="36"/>
      <c r="V1158" s="37"/>
    </row>
    <row r="1159" spans="1:22" x14ac:dyDescent="0.25">
      <c r="A1159" s="27"/>
      <c r="B1159" s="27"/>
      <c r="C1159" s="27"/>
      <c r="D1159" s="27"/>
      <c r="E1159" s="27"/>
      <c r="F1159" s="27"/>
      <c r="G1159" s="27"/>
      <c r="H1159" s="28"/>
      <c r="I1159" s="27"/>
      <c r="J1159" s="29"/>
      <c r="K1159" s="30"/>
      <c r="L1159" s="31"/>
      <c r="M1159" s="32"/>
      <c r="N1159" s="30"/>
      <c r="O1159" s="30"/>
      <c r="P1159" s="39"/>
      <c r="Q1159" s="34"/>
      <c r="R1159" s="35"/>
      <c r="S1159" s="36"/>
      <c r="T1159" s="35"/>
      <c r="U1159" s="36"/>
      <c r="V1159" s="37"/>
    </row>
    <row r="1160" spans="1:22" x14ac:dyDescent="0.25">
      <c r="A1160" s="27"/>
      <c r="B1160" s="27"/>
      <c r="C1160" s="27"/>
      <c r="D1160" s="27"/>
      <c r="E1160" s="27"/>
      <c r="F1160" s="27"/>
      <c r="G1160" s="27"/>
      <c r="H1160" s="28"/>
      <c r="I1160" s="27"/>
      <c r="J1160" s="29"/>
      <c r="K1160" s="30"/>
      <c r="L1160" s="31"/>
      <c r="M1160" s="32"/>
      <c r="N1160" s="30"/>
      <c r="O1160" s="30"/>
      <c r="P1160" s="39"/>
      <c r="Q1160" s="34"/>
      <c r="R1160" s="35"/>
      <c r="S1160" s="36"/>
      <c r="T1160" s="35"/>
      <c r="U1160" s="36"/>
      <c r="V1160" s="37"/>
    </row>
    <row r="1161" spans="1:22" x14ac:dyDescent="0.25">
      <c r="A1161" s="27"/>
      <c r="B1161" s="27"/>
      <c r="C1161" s="27"/>
      <c r="D1161" s="27"/>
      <c r="E1161" s="27"/>
      <c r="F1161" s="27"/>
      <c r="G1161" s="27"/>
      <c r="H1161" s="28"/>
      <c r="I1161" s="27"/>
      <c r="J1161" s="29"/>
      <c r="K1161" s="30"/>
      <c r="L1161" s="31"/>
      <c r="M1161" s="32"/>
      <c r="N1161" s="30"/>
      <c r="O1161" s="30"/>
      <c r="P1161" s="39"/>
      <c r="Q1161" s="34"/>
      <c r="R1161" s="35"/>
      <c r="S1161" s="36"/>
      <c r="T1161" s="35"/>
      <c r="U1161" s="36"/>
      <c r="V1161" s="37"/>
    </row>
    <row r="1162" spans="1:22" x14ac:dyDescent="0.25">
      <c r="A1162" s="27"/>
      <c r="B1162" s="27"/>
      <c r="C1162" s="27"/>
      <c r="D1162" s="27"/>
      <c r="E1162" s="27"/>
      <c r="F1162" s="27"/>
      <c r="G1162" s="27"/>
      <c r="H1162" s="28"/>
      <c r="I1162" s="27"/>
      <c r="J1162" s="29"/>
      <c r="K1162" s="30"/>
      <c r="L1162" s="31"/>
      <c r="M1162" s="32"/>
      <c r="N1162" s="30"/>
      <c r="O1162" s="30"/>
      <c r="P1162" s="39"/>
      <c r="Q1162" s="34"/>
      <c r="R1162" s="35"/>
      <c r="S1162" s="36"/>
      <c r="T1162" s="35"/>
      <c r="U1162" s="36"/>
      <c r="V1162" s="37"/>
    </row>
    <row r="1163" spans="1:22" x14ac:dyDescent="0.25">
      <c r="A1163" s="27"/>
      <c r="B1163" s="27"/>
      <c r="C1163" s="27"/>
      <c r="D1163" s="27"/>
      <c r="E1163" s="27"/>
      <c r="F1163" s="27"/>
      <c r="G1163" s="27"/>
      <c r="H1163" s="28"/>
      <c r="I1163" s="27"/>
      <c r="J1163" s="29"/>
      <c r="K1163" s="30"/>
      <c r="L1163" s="31"/>
      <c r="M1163" s="32"/>
      <c r="N1163" s="30"/>
      <c r="O1163" s="30"/>
      <c r="P1163" s="39"/>
      <c r="Q1163" s="34"/>
      <c r="R1163" s="35"/>
      <c r="S1163" s="36"/>
      <c r="T1163" s="35"/>
      <c r="U1163" s="36"/>
      <c r="V1163" s="37"/>
    </row>
    <row r="1164" spans="1:22" x14ac:dyDescent="0.25">
      <c r="A1164" s="27"/>
      <c r="B1164" s="27"/>
      <c r="C1164" s="27"/>
      <c r="D1164" s="27"/>
      <c r="E1164" s="27"/>
      <c r="F1164" s="27"/>
      <c r="G1164" s="27"/>
      <c r="H1164" s="28"/>
      <c r="I1164" s="27"/>
      <c r="J1164" s="29"/>
      <c r="K1164" s="30"/>
      <c r="L1164" s="31"/>
      <c r="M1164" s="32"/>
      <c r="N1164" s="30"/>
      <c r="O1164" s="30"/>
      <c r="P1164" s="39"/>
      <c r="Q1164" s="34"/>
      <c r="R1164" s="35"/>
      <c r="S1164" s="36"/>
      <c r="T1164" s="35"/>
      <c r="U1164" s="36"/>
      <c r="V1164" s="37"/>
    </row>
    <row r="1165" spans="1:22" x14ac:dyDescent="0.25">
      <c r="A1165" s="27"/>
      <c r="B1165" s="27"/>
      <c r="C1165" s="27"/>
      <c r="D1165" s="27"/>
      <c r="E1165" s="27"/>
      <c r="F1165" s="27"/>
      <c r="G1165" s="27"/>
      <c r="H1165" s="28"/>
      <c r="I1165" s="27"/>
      <c r="J1165" s="29"/>
      <c r="K1165" s="30"/>
      <c r="L1165" s="31"/>
      <c r="M1165" s="32"/>
      <c r="N1165" s="30"/>
      <c r="O1165" s="30"/>
      <c r="P1165" s="39"/>
      <c r="Q1165" s="34"/>
      <c r="R1165" s="35"/>
      <c r="S1165" s="36"/>
      <c r="T1165" s="35"/>
      <c r="U1165" s="36"/>
      <c r="V1165" s="37"/>
    </row>
    <row r="1166" spans="1:22" x14ac:dyDescent="0.25">
      <c r="A1166" s="27"/>
      <c r="B1166" s="27"/>
      <c r="C1166" s="27"/>
      <c r="D1166" s="27"/>
      <c r="E1166" s="27"/>
      <c r="F1166" s="27"/>
      <c r="G1166" s="27"/>
      <c r="H1166" s="28"/>
      <c r="I1166" s="27"/>
      <c r="J1166" s="29"/>
      <c r="K1166" s="30"/>
      <c r="L1166" s="31"/>
      <c r="M1166" s="32"/>
      <c r="N1166" s="30"/>
      <c r="O1166" s="30"/>
      <c r="P1166" s="39"/>
      <c r="Q1166" s="34"/>
      <c r="R1166" s="35"/>
      <c r="S1166" s="36"/>
      <c r="T1166" s="35"/>
      <c r="U1166" s="36"/>
      <c r="V1166" s="37"/>
    </row>
    <row r="1167" spans="1:22" x14ac:dyDescent="0.25">
      <c r="A1167" s="27"/>
      <c r="B1167" s="27"/>
      <c r="C1167" s="27"/>
      <c r="D1167" s="27"/>
      <c r="E1167" s="27"/>
      <c r="F1167" s="27"/>
      <c r="G1167" s="27"/>
      <c r="H1167" s="28"/>
      <c r="I1167" s="27"/>
      <c r="J1167" s="29"/>
      <c r="K1167" s="30"/>
      <c r="L1167" s="31"/>
      <c r="M1167" s="32"/>
      <c r="N1167" s="30"/>
      <c r="O1167" s="30"/>
      <c r="P1167" s="39"/>
      <c r="Q1167" s="34"/>
      <c r="R1167" s="35"/>
      <c r="S1167" s="36"/>
      <c r="T1167" s="35"/>
      <c r="U1167" s="36"/>
      <c r="V1167" s="37"/>
    </row>
    <row r="1168" spans="1:22" x14ac:dyDescent="0.25">
      <c r="A1168" s="27"/>
      <c r="B1168" s="27"/>
      <c r="C1168" s="27"/>
      <c r="D1168" s="27"/>
      <c r="E1168" s="27"/>
      <c r="F1168" s="27"/>
      <c r="G1168" s="27"/>
      <c r="H1168" s="28"/>
      <c r="I1168" s="27"/>
      <c r="J1168" s="29"/>
      <c r="K1168" s="30"/>
      <c r="L1168" s="31"/>
      <c r="M1168" s="32"/>
      <c r="N1168" s="30"/>
      <c r="O1168" s="30"/>
      <c r="P1168" s="39"/>
      <c r="Q1168" s="34"/>
      <c r="R1168" s="35"/>
      <c r="S1168" s="36"/>
      <c r="T1168" s="35"/>
      <c r="U1168" s="36"/>
      <c r="V1168" s="37"/>
    </row>
    <row r="1169" spans="1:22" x14ac:dyDescent="0.25">
      <c r="A1169" s="27"/>
      <c r="B1169" s="27"/>
      <c r="C1169" s="27"/>
      <c r="D1169" s="27"/>
      <c r="E1169" s="27"/>
      <c r="F1169" s="27"/>
      <c r="G1169" s="27"/>
      <c r="H1169" s="28"/>
      <c r="I1169" s="27"/>
      <c r="J1169" s="29"/>
      <c r="K1169" s="30"/>
      <c r="L1169" s="31"/>
      <c r="M1169" s="32"/>
      <c r="N1169" s="30"/>
      <c r="O1169" s="30"/>
      <c r="P1169" s="39"/>
      <c r="Q1169" s="34"/>
      <c r="R1169" s="35"/>
      <c r="S1169" s="36"/>
      <c r="T1169" s="35"/>
      <c r="U1169" s="36"/>
      <c r="V1169" s="37"/>
    </row>
    <row r="1170" spans="1:22" x14ac:dyDescent="0.25">
      <c r="A1170" s="27"/>
      <c r="B1170" s="27"/>
      <c r="C1170" s="27"/>
      <c r="D1170" s="27"/>
      <c r="E1170" s="27"/>
      <c r="F1170" s="27"/>
      <c r="G1170" s="27"/>
      <c r="H1170" s="28"/>
      <c r="I1170" s="27"/>
      <c r="J1170" s="29"/>
      <c r="K1170" s="30"/>
      <c r="L1170" s="31"/>
      <c r="M1170" s="32"/>
      <c r="N1170" s="30"/>
      <c r="O1170" s="30"/>
      <c r="P1170" s="39"/>
      <c r="Q1170" s="34"/>
      <c r="R1170" s="35"/>
      <c r="S1170" s="36"/>
      <c r="T1170" s="35"/>
      <c r="U1170" s="36"/>
      <c r="V1170" s="37"/>
    </row>
    <row r="1171" spans="1:22" x14ac:dyDescent="0.25">
      <c r="A1171" s="27"/>
      <c r="B1171" s="27"/>
      <c r="C1171" s="27"/>
      <c r="D1171" s="27"/>
      <c r="E1171" s="27"/>
      <c r="F1171" s="27"/>
      <c r="G1171" s="27"/>
      <c r="H1171" s="28"/>
      <c r="I1171" s="27"/>
      <c r="J1171" s="29"/>
      <c r="K1171" s="30"/>
      <c r="L1171" s="31"/>
      <c r="M1171" s="32"/>
      <c r="N1171" s="30"/>
      <c r="O1171" s="30"/>
      <c r="P1171" s="39"/>
      <c r="Q1171" s="34"/>
      <c r="R1171" s="35"/>
      <c r="S1171" s="36"/>
      <c r="T1171" s="35"/>
      <c r="U1171" s="36"/>
      <c r="V1171" s="37"/>
    </row>
    <row r="1172" spans="1:22" x14ac:dyDescent="0.25">
      <c r="A1172" s="27"/>
      <c r="B1172" s="27"/>
      <c r="C1172" s="27"/>
      <c r="D1172" s="27"/>
      <c r="E1172" s="27"/>
      <c r="F1172" s="27"/>
      <c r="G1172" s="27"/>
      <c r="H1172" s="28"/>
      <c r="I1172" s="27"/>
      <c r="J1172" s="29"/>
      <c r="K1172" s="30"/>
      <c r="L1172" s="31"/>
      <c r="M1172" s="32"/>
      <c r="N1172" s="30"/>
      <c r="O1172" s="30"/>
      <c r="P1172" s="39"/>
      <c r="Q1172" s="34"/>
      <c r="R1172" s="35"/>
      <c r="S1172" s="36"/>
      <c r="T1172" s="35"/>
      <c r="U1172" s="36"/>
      <c r="V1172" s="37"/>
    </row>
    <row r="1173" spans="1:22" x14ac:dyDescent="0.25">
      <c r="A1173" s="27"/>
      <c r="B1173" s="27"/>
      <c r="C1173" s="27"/>
      <c r="D1173" s="27"/>
      <c r="E1173" s="27"/>
      <c r="F1173" s="27"/>
      <c r="G1173" s="27"/>
      <c r="H1173" s="28"/>
      <c r="I1173" s="27"/>
      <c r="J1173" s="29"/>
      <c r="K1173" s="30"/>
      <c r="L1173" s="31"/>
      <c r="M1173" s="32"/>
      <c r="N1173" s="30"/>
      <c r="O1173" s="30"/>
      <c r="P1173" s="39"/>
      <c r="Q1173" s="34"/>
      <c r="R1173" s="35"/>
      <c r="S1173" s="36"/>
      <c r="T1173" s="35"/>
      <c r="U1173" s="36"/>
      <c r="V1173" s="37"/>
    </row>
    <row r="1174" spans="1:22" x14ac:dyDescent="0.25">
      <c r="A1174" s="27"/>
      <c r="B1174" s="27"/>
      <c r="C1174" s="27"/>
      <c r="D1174" s="27"/>
      <c r="E1174" s="27"/>
      <c r="F1174" s="27"/>
      <c r="G1174" s="27"/>
      <c r="H1174" s="28"/>
      <c r="I1174" s="27"/>
      <c r="J1174" s="29"/>
      <c r="K1174" s="30"/>
      <c r="L1174" s="31"/>
      <c r="M1174" s="32"/>
      <c r="N1174" s="30"/>
      <c r="O1174" s="30"/>
      <c r="P1174" s="39"/>
      <c r="Q1174" s="34"/>
      <c r="R1174" s="35"/>
      <c r="S1174" s="36"/>
      <c r="T1174" s="35"/>
      <c r="U1174" s="36"/>
      <c r="V1174" s="37"/>
    </row>
    <row r="1175" spans="1:22" x14ac:dyDescent="0.25">
      <c r="A1175" s="27"/>
      <c r="B1175" s="27"/>
      <c r="C1175" s="27"/>
      <c r="D1175" s="27"/>
      <c r="E1175" s="27"/>
      <c r="F1175" s="27"/>
      <c r="G1175" s="27"/>
      <c r="H1175" s="28"/>
      <c r="I1175" s="27"/>
      <c r="J1175" s="29"/>
      <c r="K1175" s="30"/>
      <c r="L1175" s="31"/>
      <c r="M1175" s="32"/>
      <c r="N1175" s="30"/>
      <c r="O1175" s="30"/>
      <c r="P1175" s="39"/>
      <c r="Q1175" s="34"/>
      <c r="R1175" s="35"/>
      <c r="S1175" s="36"/>
      <c r="T1175" s="35"/>
      <c r="U1175" s="36"/>
      <c r="V1175" s="37"/>
    </row>
    <row r="1176" spans="1:22" x14ac:dyDescent="0.25">
      <c r="A1176" s="27"/>
      <c r="B1176" s="27"/>
      <c r="C1176" s="27"/>
      <c r="D1176" s="27"/>
      <c r="E1176" s="27"/>
      <c r="F1176" s="27"/>
      <c r="G1176" s="27"/>
      <c r="H1176" s="28"/>
      <c r="I1176" s="27"/>
      <c r="J1176" s="29"/>
      <c r="K1176" s="30"/>
      <c r="L1176" s="31"/>
      <c r="M1176" s="32"/>
      <c r="N1176" s="30"/>
      <c r="O1176" s="30"/>
      <c r="P1176" s="39"/>
      <c r="Q1176" s="34"/>
      <c r="R1176" s="35"/>
      <c r="S1176" s="36"/>
      <c r="T1176" s="35"/>
      <c r="U1176" s="36"/>
      <c r="V1176" s="37"/>
    </row>
    <row r="1177" spans="1:22" x14ac:dyDescent="0.25">
      <c r="A1177" s="27"/>
      <c r="B1177" s="27"/>
      <c r="C1177" s="27"/>
      <c r="D1177" s="27"/>
      <c r="E1177" s="27"/>
      <c r="F1177" s="27"/>
      <c r="G1177" s="27"/>
      <c r="H1177" s="28"/>
      <c r="I1177" s="27"/>
      <c r="J1177" s="29"/>
      <c r="K1177" s="30"/>
      <c r="L1177" s="31"/>
      <c r="M1177" s="32"/>
      <c r="N1177" s="30"/>
      <c r="O1177" s="30"/>
      <c r="P1177" s="39"/>
      <c r="Q1177" s="34"/>
      <c r="R1177" s="35"/>
      <c r="S1177" s="36"/>
      <c r="T1177" s="35"/>
      <c r="U1177" s="36"/>
      <c r="V1177" s="37"/>
    </row>
    <row r="1178" spans="1:22" x14ac:dyDescent="0.25">
      <c r="A1178" s="27"/>
      <c r="B1178" s="27"/>
      <c r="C1178" s="27"/>
      <c r="D1178" s="27"/>
      <c r="E1178" s="27"/>
      <c r="F1178" s="27"/>
      <c r="G1178" s="27"/>
      <c r="H1178" s="28"/>
      <c r="I1178" s="27"/>
      <c r="J1178" s="29"/>
      <c r="K1178" s="30"/>
      <c r="L1178" s="31"/>
      <c r="M1178" s="32"/>
      <c r="N1178" s="30"/>
      <c r="O1178" s="30"/>
      <c r="P1178" s="39"/>
      <c r="Q1178" s="34"/>
      <c r="R1178" s="35"/>
      <c r="S1178" s="36"/>
      <c r="T1178" s="35"/>
      <c r="U1178" s="36"/>
      <c r="V1178" s="37"/>
    </row>
    <row r="1179" spans="1:22" x14ac:dyDescent="0.25">
      <c r="A1179" s="27"/>
      <c r="B1179" s="27"/>
      <c r="C1179" s="27"/>
      <c r="D1179" s="27"/>
      <c r="E1179" s="27"/>
      <c r="F1179" s="27"/>
      <c r="G1179" s="27"/>
      <c r="H1179" s="28"/>
      <c r="I1179" s="27"/>
      <c r="J1179" s="29"/>
      <c r="K1179" s="30"/>
      <c r="L1179" s="31"/>
      <c r="M1179" s="32"/>
      <c r="N1179" s="30"/>
      <c r="O1179" s="30"/>
      <c r="P1179" s="39"/>
      <c r="Q1179" s="34"/>
      <c r="R1179" s="35"/>
      <c r="S1179" s="36"/>
      <c r="T1179" s="35"/>
      <c r="U1179" s="36"/>
      <c r="V1179" s="37"/>
    </row>
    <row r="1180" spans="1:22" x14ac:dyDescent="0.25">
      <c r="A1180" s="27"/>
      <c r="B1180" s="27"/>
      <c r="C1180" s="27"/>
      <c r="D1180" s="27"/>
      <c r="E1180" s="27"/>
      <c r="F1180" s="27"/>
      <c r="G1180" s="27"/>
      <c r="H1180" s="28"/>
      <c r="I1180" s="27"/>
      <c r="J1180" s="29"/>
      <c r="K1180" s="30"/>
      <c r="L1180" s="31"/>
      <c r="M1180" s="32"/>
      <c r="N1180" s="30"/>
      <c r="O1180" s="30"/>
      <c r="P1180" s="39"/>
      <c r="Q1180" s="34"/>
      <c r="R1180" s="35"/>
      <c r="S1180" s="36"/>
      <c r="T1180" s="35"/>
      <c r="U1180" s="36"/>
      <c r="V1180" s="37"/>
    </row>
    <row r="1181" spans="1:22" x14ac:dyDescent="0.25">
      <c r="A1181" s="27"/>
      <c r="B1181" s="27"/>
      <c r="C1181" s="27"/>
      <c r="D1181" s="27"/>
      <c r="E1181" s="27"/>
      <c r="F1181" s="27"/>
      <c r="G1181" s="27"/>
      <c r="H1181" s="28"/>
      <c r="I1181" s="27"/>
      <c r="J1181" s="29"/>
      <c r="K1181" s="30"/>
      <c r="L1181" s="31"/>
      <c r="M1181" s="32"/>
      <c r="N1181" s="30"/>
      <c r="O1181" s="30"/>
      <c r="P1181" s="39"/>
      <c r="Q1181" s="34"/>
      <c r="R1181" s="35"/>
      <c r="S1181" s="36"/>
      <c r="T1181" s="35"/>
      <c r="U1181" s="36"/>
      <c r="V1181" s="37"/>
    </row>
    <row r="1182" spans="1:22" x14ac:dyDescent="0.25">
      <c r="A1182" s="27"/>
      <c r="B1182" s="27"/>
      <c r="C1182" s="27"/>
      <c r="D1182" s="27"/>
      <c r="E1182" s="27"/>
      <c r="F1182" s="27"/>
      <c r="G1182" s="27"/>
      <c r="H1182" s="28"/>
      <c r="I1182" s="27"/>
      <c r="J1182" s="29"/>
      <c r="K1182" s="30"/>
      <c r="L1182" s="31"/>
      <c r="M1182" s="32"/>
      <c r="N1182" s="30"/>
      <c r="O1182" s="30"/>
      <c r="P1182" s="39"/>
      <c r="Q1182" s="34"/>
      <c r="R1182" s="35"/>
      <c r="S1182" s="36"/>
      <c r="T1182" s="35"/>
      <c r="U1182" s="36"/>
      <c r="V1182" s="37"/>
    </row>
    <row r="1183" spans="1:22" x14ac:dyDescent="0.25">
      <c r="A1183" s="27"/>
      <c r="B1183" s="27"/>
      <c r="C1183" s="27"/>
      <c r="D1183" s="27"/>
      <c r="E1183" s="27"/>
      <c r="F1183" s="27"/>
      <c r="G1183" s="27"/>
      <c r="H1183" s="28"/>
      <c r="I1183" s="27"/>
      <c r="J1183" s="29"/>
      <c r="K1183" s="30"/>
      <c r="L1183" s="31"/>
      <c r="M1183" s="32"/>
      <c r="N1183" s="30"/>
      <c r="O1183" s="30"/>
      <c r="P1183" s="39"/>
      <c r="Q1183" s="34"/>
      <c r="R1183" s="35"/>
      <c r="S1183" s="36"/>
      <c r="T1183" s="35"/>
      <c r="U1183" s="36"/>
      <c r="V1183" s="37"/>
    </row>
    <row r="1184" spans="1:22" x14ac:dyDescent="0.25">
      <c r="A1184" s="27"/>
      <c r="B1184" s="27"/>
      <c r="C1184" s="27"/>
      <c r="D1184" s="27"/>
      <c r="E1184" s="27"/>
      <c r="F1184" s="27"/>
      <c r="G1184" s="27"/>
      <c r="H1184" s="28"/>
      <c r="I1184" s="27"/>
      <c r="J1184" s="29"/>
      <c r="K1184" s="30"/>
      <c r="L1184" s="31"/>
      <c r="M1184" s="32"/>
      <c r="N1184" s="30"/>
      <c r="O1184" s="30"/>
      <c r="P1184" s="39"/>
      <c r="Q1184" s="34"/>
      <c r="R1184" s="35"/>
      <c r="S1184" s="36"/>
      <c r="T1184" s="35"/>
      <c r="U1184" s="36"/>
      <c r="V1184" s="37"/>
    </row>
    <row r="1185" spans="1:22" x14ac:dyDescent="0.25">
      <c r="A1185" s="27"/>
      <c r="B1185" s="27"/>
      <c r="C1185" s="27"/>
      <c r="D1185" s="27"/>
      <c r="E1185" s="27"/>
      <c r="F1185" s="27"/>
      <c r="G1185" s="27"/>
      <c r="H1185" s="28"/>
      <c r="I1185" s="27"/>
      <c r="J1185" s="29"/>
      <c r="K1185" s="30"/>
      <c r="L1185" s="31"/>
      <c r="M1185" s="32"/>
      <c r="N1185" s="30"/>
      <c r="O1185" s="30"/>
      <c r="P1185" s="39"/>
      <c r="Q1185" s="34"/>
      <c r="R1185" s="35"/>
      <c r="S1185" s="36"/>
      <c r="T1185" s="35"/>
      <c r="U1185" s="36"/>
      <c r="V1185" s="37"/>
    </row>
    <row r="1186" spans="1:22" x14ac:dyDescent="0.25">
      <c r="A1186" s="27"/>
      <c r="B1186" s="27"/>
      <c r="C1186" s="27"/>
      <c r="D1186" s="27"/>
      <c r="E1186" s="27"/>
      <c r="F1186" s="27"/>
      <c r="G1186" s="27"/>
      <c r="H1186" s="28"/>
      <c r="I1186" s="27"/>
      <c r="J1186" s="29"/>
      <c r="K1186" s="30"/>
      <c r="L1186" s="31"/>
      <c r="M1186" s="32"/>
      <c r="N1186" s="30"/>
      <c r="O1186" s="30"/>
      <c r="P1186" s="39"/>
      <c r="Q1186" s="34"/>
      <c r="R1186" s="35"/>
      <c r="S1186" s="36"/>
      <c r="T1186" s="35"/>
      <c r="U1186" s="36"/>
      <c r="V1186" s="37"/>
    </row>
    <row r="1187" spans="1:22" x14ac:dyDescent="0.25">
      <c r="A1187" s="27"/>
      <c r="B1187" s="27"/>
      <c r="C1187" s="27"/>
      <c r="D1187" s="27"/>
      <c r="E1187" s="27"/>
      <c r="F1187" s="27"/>
      <c r="G1187" s="27"/>
      <c r="H1187" s="28"/>
      <c r="I1187" s="27"/>
      <c r="J1187" s="29"/>
      <c r="K1187" s="30"/>
      <c r="L1187" s="31"/>
      <c r="M1187" s="32"/>
      <c r="N1187" s="30"/>
      <c r="O1187" s="30"/>
      <c r="P1187" s="39"/>
      <c r="Q1187" s="34"/>
      <c r="R1187" s="35"/>
      <c r="S1187" s="36"/>
      <c r="T1187" s="35"/>
      <c r="U1187" s="36"/>
      <c r="V1187" s="37"/>
    </row>
    <row r="1188" spans="1:22" x14ac:dyDescent="0.25">
      <c r="A1188" s="27"/>
      <c r="B1188" s="27"/>
      <c r="C1188" s="27"/>
      <c r="D1188" s="27"/>
      <c r="E1188" s="27"/>
      <c r="F1188" s="27"/>
      <c r="G1188" s="27"/>
      <c r="H1188" s="28"/>
      <c r="I1188" s="27"/>
      <c r="J1188" s="29"/>
      <c r="K1188" s="30"/>
      <c r="L1188" s="31"/>
      <c r="M1188" s="32"/>
      <c r="N1188" s="30"/>
      <c r="O1188" s="30"/>
      <c r="P1188" s="39"/>
      <c r="Q1188" s="34"/>
      <c r="R1188" s="35"/>
      <c r="S1188" s="36"/>
      <c r="T1188" s="35"/>
      <c r="U1188" s="36"/>
      <c r="V1188" s="37"/>
    </row>
    <row r="1189" spans="1:22" x14ac:dyDescent="0.25">
      <c r="A1189" s="27"/>
      <c r="B1189" s="27"/>
      <c r="C1189" s="27"/>
      <c r="D1189" s="27"/>
      <c r="E1189" s="27"/>
      <c r="F1189" s="27"/>
      <c r="G1189" s="27"/>
      <c r="H1189" s="28"/>
      <c r="I1189" s="27"/>
      <c r="J1189" s="29"/>
      <c r="K1189" s="30"/>
      <c r="L1189" s="31"/>
      <c r="M1189" s="32"/>
      <c r="N1189" s="30"/>
      <c r="O1189" s="30"/>
      <c r="P1189" s="39"/>
      <c r="Q1189" s="34"/>
      <c r="R1189" s="35"/>
      <c r="S1189" s="36"/>
      <c r="T1189" s="35"/>
      <c r="U1189" s="36"/>
      <c r="V1189" s="37"/>
    </row>
    <row r="1190" spans="1:22" x14ac:dyDescent="0.25">
      <c r="A1190" s="27"/>
      <c r="B1190" s="27"/>
      <c r="C1190" s="27"/>
      <c r="D1190" s="27"/>
      <c r="E1190" s="27"/>
      <c r="F1190" s="27"/>
      <c r="G1190" s="27"/>
      <c r="H1190" s="28"/>
      <c r="I1190" s="27"/>
      <c r="J1190" s="29"/>
      <c r="K1190" s="30"/>
      <c r="L1190" s="31"/>
      <c r="M1190" s="32"/>
      <c r="N1190" s="30"/>
      <c r="O1190" s="30"/>
      <c r="P1190" s="39"/>
      <c r="Q1190" s="34"/>
      <c r="R1190" s="35"/>
      <c r="S1190" s="36"/>
      <c r="T1190" s="35"/>
      <c r="U1190" s="36"/>
      <c r="V1190" s="37"/>
    </row>
    <row r="1191" spans="1:22" x14ac:dyDescent="0.25">
      <c r="A1191" s="27"/>
      <c r="B1191" s="27"/>
      <c r="C1191" s="27"/>
      <c r="D1191" s="27"/>
      <c r="E1191" s="27"/>
      <c r="F1191" s="27"/>
      <c r="G1191" s="27"/>
      <c r="H1191" s="28"/>
      <c r="I1191" s="27"/>
      <c r="J1191" s="29"/>
      <c r="K1191" s="30"/>
      <c r="L1191" s="31"/>
      <c r="M1191" s="32"/>
      <c r="N1191" s="30"/>
      <c r="O1191" s="30"/>
      <c r="P1191" s="39"/>
      <c r="Q1191" s="34"/>
      <c r="R1191" s="35"/>
      <c r="S1191" s="36"/>
      <c r="T1191" s="35"/>
      <c r="U1191" s="36"/>
      <c r="V1191" s="37"/>
    </row>
    <row r="1192" spans="1:22" x14ac:dyDescent="0.25">
      <c r="A1192" s="27"/>
      <c r="B1192" s="27"/>
      <c r="C1192" s="27"/>
      <c r="D1192" s="27"/>
      <c r="E1192" s="27"/>
      <c r="F1192" s="27"/>
      <c r="G1192" s="27"/>
      <c r="H1192" s="28"/>
      <c r="I1192" s="27"/>
      <c r="J1192" s="29"/>
      <c r="K1192" s="30"/>
      <c r="L1192" s="31"/>
      <c r="M1192" s="32"/>
      <c r="N1192" s="30"/>
      <c r="O1192" s="30"/>
      <c r="P1192" s="39"/>
      <c r="Q1192" s="34"/>
      <c r="R1192" s="35"/>
      <c r="S1192" s="36"/>
      <c r="T1192" s="35"/>
      <c r="U1192" s="36"/>
      <c r="V1192" s="37"/>
    </row>
    <row r="1193" spans="1:22" x14ac:dyDescent="0.25">
      <c r="A1193" s="27"/>
      <c r="B1193" s="27"/>
      <c r="C1193" s="27"/>
      <c r="D1193" s="27"/>
      <c r="E1193" s="27"/>
      <c r="F1193" s="27"/>
      <c r="G1193" s="27"/>
      <c r="H1193" s="28"/>
      <c r="I1193" s="27"/>
      <c r="J1193" s="29"/>
      <c r="K1193" s="30"/>
      <c r="L1193" s="31"/>
      <c r="M1193" s="32"/>
      <c r="N1193" s="30"/>
      <c r="O1193" s="30"/>
      <c r="P1193" s="39"/>
      <c r="Q1193" s="34"/>
      <c r="R1193" s="35"/>
      <c r="S1193" s="36"/>
      <c r="T1193" s="35"/>
      <c r="U1193" s="36"/>
      <c r="V1193" s="37"/>
    </row>
    <row r="1194" spans="1:22" x14ac:dyDescent="0.25">
      <c r="A1194" s="27"/>
      <c r="B1194" s="27"/>
      <c r="C1194" s="27"/>
      <c r="D1194" s="27"/>
      <c r="E1194" s="27"/>
      <c r="F1194" s="27"/>
      <c r="G1194" s="27"/>
      <c r="H1194" s="28"/>
      <c r="I1194" s="27"/>
      <c r="J1194" s="29"/>
      <c r="K1194" s="30"/>
      <c r="L1194" s="31"/>
      <c r="M1194" s="32"/>
      <c r="N1194" s="30"/>
      <c r="O1194" s="30"/>
      <c r="P1194" s="39"/>
      <c r="Q1194" s="34"/>
      <c r="R1194" s="35"/>
      <c r="S1194" s="36"/>
      <c r="T1194" s="35"/>
      <c r="U1194" s="36"/>
      <c r="V1194" s="37"/>
    </row>
    <row r="1195" spans="1:22" x14ac:dyDescent="0.25">
      <c r="A1195" s="27"/>
      <c r="B1195" s="27"/>
      <c r="C1195" s="27"/>
      <c r="D1195" s="27"/>
      <c r="E1195" s="27"/>
      <c r="F1195" s="27"/>
      <c r="G1195" s="27"/>
      <c r="H1195" s="28"/>
      <c r="I1195" s="27"/>
      <c r="J1195" s="29"/>
      <c r="K1195" s="30"/>
      <c r="L1195" s="31"/>
      <c r="M1195" s="32"/>
      <c r="N1195" s="30"/>
      <c r="O1195" s="30"/>
      <c r="P1195" s="39"/>
      <c r="Q1195" s="34"/>
      <c r="R1195" s="35"/>
      <c r="S1195" s="36"/>
      <c r="T1195" s="35"/>
      <c r="U1195" s="36"/>
      <c r="V1195" s="37"/>
    </row>
    <row r="1196" spans="1:22" x14ac:dyDescent="0.25">
      <c r="A1196" s="27"/>
      <c r="B1196" s="27"/>
      <c r="C1196" s="27"/>
      <c r="D1196" s="27"/>
      <c r="E1196" s="27"/>
      <c r="F1196" s="27"/>
      <c r="G1196" s="27"/>
      <c r="H1196" s="28"/>
      <c r="I1196" s="27"/>
      <c r="J1196" s="29"/>
      <c r="K1196" s="30"/>
      <c r="L1196" s="31"/>
      <c r="M1196" s="32"/>
      <c r="N1196" s="30"/>
      <c r="O1196" s="30"/>
      <c r="P1196" s="39"/>
      <c r="Q1196" s="34"/>
      <c r="R1196" s="35"/>
      <c r="S1196" s="36"/>
      <c r="T1196" s="35"/>
      <c r="U1196" s="36"/>
      <c r="V1196" s="37"/>
    </row>
    <row r="1197" spans="1:22" x14ac:dyDescent="0.25">
      <c r="A1197" s="27"/>
      <c r="B1197" s="27"/>
      <c r="C1197" s="27"/>
      <c r="D1197" s="27"/>
      <c r="E1197" s="27"/>
      <c r="F1197" s="27"/>
      <c r="G1197" s="27"/>
      <c r="H1197" s="28"/>
      <c r="I1197" s="27"/>
      <c r="J1197" s="29"/>
      <c r="K1197" s="30"/>
      <c r="L1197" s="31"/>
      <c r="M1197" s="32"/>
      <c r="N1197" s="30"/>
      <c r="O1197" s="30"/>
      <c r="P1197" s="39"/>
      <c r="Q1197" s="34"/>
      <c r="R1197" s="35"/>
      <c r="S1197" s="36"/>
      <c r="T1197" s="35"/>
      <c r="U1197" s="36"/>
      <c r="V1197" s="37"/>
    </row>
    <row r="1198" spans="1:22" x14ac:dyDescent="0.25">
      <c r="A1198" s="27"/>
      <c r="B1198" s="27"/>
      <c r="C1198" s="27"/>
      <c r="D1198" s="27"/>
      <c r="E1198" s="27"/>
      <c r="F1198" s="27"/>
      <c r="G1198" s="27"/>
      <c r="H1198" s="28"/>
      <c r="I1198" s="27"/>
      <c r="J1198" s="29"/>
      <c r="K1198" s="30"/>
      <c r="L1198" s="31"/>
      <c r="M1198" s="32"/>
      <c r="N1198" s="30"/>
      <c r="O1198" s="30"/>
      <c r="P1198" s="39"/>
      <c r="Q1198" s="34"/>
      <c r="R1198" s="35"/>
      <c r="S1198" s="36"/>
      <c r="T1198" s="35"/>
      <c r="U1198" s="36"/>
      <c r="V1198" s="37"/>
    </row>
    <row r="1199" spans="1:22" x14ac:dyDescent="0.25">
      <c r="A1199" s="27"/>
      <c r="B1199" s="27"/>
      <c r="C1199" s="27"/>
      <c r="D1199" s="27"/>
      <c r="E1199" s="27"/>
      <c r="F1199" s="27"/>
      <c r="G1199" s="27"/>
      <c r="H1199" s="28"/>
      <c r="I1199" s="27"/>
      <c r="J1199" s="29"/>
      <c r="K1199" s="30"/>
      <c r="L1199" s="31"/>
      <c r="M1199" s="32"/>
      <c r="N1199" s="30"/>
      <c r="O1199" s="30"/>
      <c r="P1199" s="39"/>
      <c r="Q1199" s="34"/>
      <c r="R1199" s="35"/>
      <c r="S1199" s="36"/>
      <c r="T1199" s="35"/>
      <c r="U1199" s="36"/>
      <c r="V1199" s="37"/>
    </row>
    <row r="1200" spans="1:22" x14ac:dyDescent="0.25">
      <c r="A1200" s="27"/>
      <c r="B1200" s="27"/>
      <c r="C1200" s="27"/>
      <c r="D1200" s="27"/>
      <c r="E1200" s="27"/>
      <c r="F1200" s="27"/>
      <c r="G1200" s="27"/>
      <c r="H1200" s="28"/>
      <c r="I1200" s="27"/>
      <c r="J1200" s="29"/>
      <c r="K1200" s="30"/>
      <c r="L1200" s="31"/>
      <c r="M1200" s="32"/>
      <c r="N1200" s="30"/>
      <c r="O1200" s="30"/>
      <c r="P1200" s="39"/>
      <c r="Q1200" s="34"/>
      <c r="R1200" s="35"/>
      <c r="S1200" s="36"/>
      <c r="T1200" s="35"/>
      <c r="U1200" s="36"/>
      <c r="V1200" s="37"/>
    </row>
    <row r="1201" spans="1:22" x14ac:dyDescent="0.25">
      <c r="A1201" s="27"/>
      <c r="B1201" s="27"/>
      <c r="C1201" s="27"/>
      <c r="D1201" s="27"/>
      <c r="E1201" s="27"/>
      <c r="F1201" s="27"/>
      <c r="G1201" s="27"/>
      <c r="H1201" s="28"/>
      <c r="I1201" s="27"/>
      <c r="J1201" s="29"/>
      <c r="K1201" s="30"/>
      <c r="L1201" s="31"/>
      <c r="M1201" s="32"/>
      <c r="N1201" s="30"/>
      <c r="O1201" s="30"/>
      <c r="P1201" s="39"/>
      <c r="Q1201" s="34"/>
      <c r="R1201" s="35"/>
      <c r="S1201" s="36"/>
      <c r="T1201" s="35"/>
      <c r="U1201" s="36"/>
      <c r="V1201" s="37"/>
    </row>
    <row r="1202" spans="1:22" x14ac:dyDescent="0.25">
      <c r="A1202" s="27"/>
      <c r="B1202" s="27"/>
      <c r="C1202" s="27"/>
      <c r="D1202" s="27"/>
      <c r="E1202" s="27"/>
      <c r="F1202" s="27"/>
      <c r="G1202" s="27"/>
      <c r="H1202" s="28"/>
      <c r="I1202" s="27"/>
      <c r="J1202" s="29"/>
      <c r="K1202" s="30"/>
      <c r="L1202" s="31"/>
      <c r="M1202" s="32"/>
      <c r="N1202" s="30"/>
      <c r="O1202" s="30"/>
      <c r="P1202" s="39"/>
      <c r="Q1202" s="34"/>
      <c r="R1202" s="35"/>
      <c r="S1202" s="36"/>
      <c r="T1202" s="35"/>
      <c r="U1202" s="36"/>
      <c r="V1202" s="37"/>
    </row>
    <row r="1203" spans="1:22" x14ac:dyDescent="0.25">
      <c r="A1203" s="27"/>
      <c r="B1203" s="27"/>
      <c r="C1203" s="27"/>
      <c r="D1203" s="27"/>
      <c r="E1203" s="27"/>
      <c r="F1203" s="27"/>
      <c r="G1203" s="27"/>
      <c r="H1203" s="28"/>
      <c r="I1203" s="27"/>
      <c r="J1203" s="29"/>
      <c r="K1203" s="30"/>
      <c r="L1203" s="31"/>
      <c r="M1203" s="32"/>
      <c r="N1203" s="30"/>
      <c r="O1203" s="30"/>
      <c r="P1203" s="39"/>
      <c r="Q1203" s="34"/>
      <c r="R1203" s="35"/>
      <c r="S1203" s="36"/>
      <c r="T1203" s="35"/>
      <c r="U1203" s="36"/>
      <c r="V1203" s="37"/>
    </row>
    <row r="1204" spans="1:22" x14ac:dyDescent="0.25">
      <c r="A1204" s="27"/>
      <c r="B1204" s="27"/>
      <c r="C1204" s="27"/>
      <c r="D1204" s="27"/>
      <c r="E1204" s="27"/>
      <c r="F1204" s="27"/>
      <c r="G1204" s="27"/>
      <c r="H1204" s="28"/>
      <c r="I1204" s="27"/>
      <c r="J1204" s="29"/>
      <c r="K1204" s="30"/>
      <c r="L1204" s="31"/>
      <c r="M1204" s="32"/>
      <c r="N1204" s="30"/>
      <c r="O1204" s="30"/>
      <c r="P1204" s="39"/>
      <c r="Q1204" s="34"/>
      <c r="R1204" s="35"/>
      <c r="S1204" s="36"/>
      <c r="T1204" s="35"/>
      <c r="U1204" s="36"/>
      <c r="V1204" s="37"/>
    </row>
    <row r="1205" spans="1:22" x14ac:dyDescent="0.25">
      <c r="A1205" s="27"/>
      <c r="B1205" s="27"/>
      <c r="C1205" s="27"/>
      <c r="D1205" s="27"/>
      <c r="E1205" s="27"/>
      <c r="F1205" s="27"/>
      <c r="G1205" s="27"/>
      <c r="H1205" s="28"/>
      <c r="I1205" s="27"/>
      <c r="J1205" s="29"/>
      <c r="K1205" s="30"/>
      <c r="L1205" s="31"/>
      <c r="M1205" s="32"/>
      <c r="N1205" s="30"/>
      <c r="O1205" s="30"/>
      <c r="P1205" s="39"/>
      <c r="Q1205" s="34"/>
      <c r="R1205" s="35"/>
      <c r="S1205" s="36"/>
      <c r="T1205" s="35"/>
      <c r="U1205" s="36"/>
      <c r="V1205" s="37"/>
    </row>
    <row r="1206" spans="1:22" x14ac:dyDescent="0.25">
      <c r="A1206" s="27"/>
      <c r="B1206" s="27"/>
      <c r="C1206" s="27"/>
      <c r="D1206" s="27"/>
      <c r="E1206" s="27"/>
      <c r="F1206" s="27"/>
      <c r="G1206" s="27"/>
      <c r="H1206" s="28"/>
      <c r="I1206" s="27"/>
      <c r="J1206" s="29"/>
      <c r="K1206" s="30"/>
      <c r="L1206" s="31"/>
      <c r="M1206" s="32"/>
      <c r="N1206" s="30"/>
      <c r="O1206" s="30"/>
      <c r="P1206" s="39"/>
      <c r="Q1206" s="34"/>
      <c r="R1206" s="35"/>
      <c r="S1206" s="36"/>
      <c r="T1206" s="35"/>
      <c r="U1206" s="36"/>
      <c r="V1206" s="37"/>
    </row>
    <row r="1207" spans="1:22" x14ac:dyDescent="0.25">
      <c r="A1207" s="27"/>
      <c r="B1207" s="27"/>
      <c r="C1207" s="27"/>
      <c r="D1207" s="27"/>
      <c r="E1207" s="27"/>
      <c r="F1207" s="27"/>
      <c r="G1207" s="27"/>
      <c r="H1207" s="28"/>
      <c r="I1207" s="27"/>
      <c r="J1207" s="29"/>
      <c r="K1207" s="30"/>
      <c r="L1207" s="31"/>
      <c r="M1207" s="32"/>
      <c r="N1207" s="30"/>
      <c r="O1207" s="30"/>
      <c r="P1207" s="39"/>
      <c r="Q1207" s="34"/>
      <c r="R1207" s="35"/>
      <c r="S1207" s="36"/>
      <c r="T1207" s="35"/>
      <c r="U1207" s="36"/>
      <c r="V1207" s="37"/>
    </row>
    <row r="1208" spans="1:22" x14ac:dyDescent="0.25">
      <c r="A1208" s="27"/>
      <c r="B1208" s="27"/>
      <c r="C1208" s="27"/>
      <c r="D1208" s="27"/>
      <c r="E1208" s="27"/>
      <c r="F1208" s="27"/>
      <c r="G1208" s="27"/>
      <c r="H1208" s="28"/>
      <c r="I1208" s="27"/>
      <c r="J1208" s="29"/>
      <c r="K1208" s="30"/>
      <c r="L1208" s="31"/>
      <c r="M1208" s="32"/>
      <c r="N1208" s="30"/>
      <c r="O1208" s="30"/>
      <c r="P1208" s="39"/>
      <c r="Q1208" s="34"/>
      <c r="R1208" s="35"/>
      <c r="S1208" s="36"/>
      <c r="T1208" s="35"/>
      <c r="U1208" s="36"/>
      <c r="V1208" s="37"/>
    </row>
    <row r="1209" spans="1:22" x14ac:dyDescent="0.25">
      <c r="A1209" s="27"/>
      <c r="B1209" s="27"/>
      <c r="C1209" s="27"/>
      <c r="D1209" s="27"/>
      <c r="E1209" s="27"/>
      <c r="F1209" s="27"/>
      <c r="G1209" s="27"/>
      <c r="H1209" s="28"/>
      <c r="I1209" s="27"/>
      <c r="J1209" s="29"/>
      <c r="K1209" s="30"/>
      <c r="L1209" s="31"/>
      <c r="M1209" s="32"/>
      <c r="N1209" s="30"/>
      <c r="O1209" s="30"/>
      <c r="P1209" s="39"/>
      <c r="Q1209" s="34"/>
      <c r="R1209" s="35"/>
      <c r="S1209" s="36"/>
      <c r="T1209" s="35"/>
      <c r="U1209" s="36"/>
      <c r="V1209" s="37"/>
    </row>
    <row r="1210" spans="1:22" x14ac:dyDescent="0.25">
      <c r="A1210" s="27"/>
      <c r="B1210" s="27"/>
      <c r="C1210" s="27"/>
      <c r="D1210" s="27"/>
      <c r="E1210" s="27"/>
      <c r="F1210" s="27"/>
      <c r="G1210" s="27"/>
      <c r="H1210" s="28"/>
      <c r="I1210" s="27"/>
      <c r="J1210" s="29"/>
      <c r="K1210" s="30"/>
      <c r="L1210" s="31"/>
      <c r="M1210" s="32"/>
      <c r="N1210" s="30"/>
      <c r="O1210" s="30"/>
      <c r="P1210" s="39"/>
      <c r="Q1210" s="34"/>
      <c r="R1210" s="35"/>
      <c r="S1210" s="36"/>
      <c r="T1210" s="35"/>
      <c r="U1210" s="36"/>
      <c r="V1210" s="37"/>
    </row>
    <row r="1211" spans="1:22" x14ac:dyDescent="0.25">
      <c r="A1211" s="27"/>
      <c r="B1211" s="27"/>
      <c r="C1211" s="27"/>
      <c r="D1211" s="27"/>
      <c r="E1211" s="27"/>
      <c r="F1211" s="27"/>
      <c r="G1211" s="27"/>
      <c r="H1211" s="28"/>
      <c r="I1211" s="27"/>
      <c r="J1211" s="29"/>
      <c r="K1211" s="30"/>
      <c r="L1211" s="31"/>
      <c r="M1211" s="32"/>
      <c r="N1211" s="30"/>
      <c r="O1211" s="30"/>
      <c r="P1211" s="39"/>
      <c r="Q1211" s="34"/>
      <c r="R1211" s="35"/>
      <c r="S1211" s="36"/>
      <c r="T1211" s="35"/>
      <c r="U1211" s="36"/>
      <c r="V1211" s="37"/>
    </row>
    <row r="1212" spans="1:22" x14ac:dyDescent="0.25">
      <c r="A1212" s="27"/>
      <c r="B1212" s="27"/>
      <c r="C1212" s="27"/>
      <c r="D1212" s="27"/>
      <c r="E1212" s="27"/>
      <c r="F1212" s="27"/>
      <c r="G1212" s="27"/>
      <c r="H1212" s="28"/>
      <c r="I1212" s="27"/>
      <c r="J1212" s="29"/>
      <c r="K1212" s="30"/>
      <c r="L1212" s="31"/>
      <c r="M1212" s="32"/>
      <c r="N1212" s="30"/>
      <c r="O1212" s="30"/>
      <c r="P1212" s="39"/>
      <c r="Q1212" s="34"/>
      <c r="R1212" s="35"/>
      <c r="S1212" s="36"/>
      <c r="T1212" s="35"/>
      <c r="U1212" s="36"/>
      <c r="V1212" s="37"/>
    </row>
    <row r="1213" spans="1:22" x14ac:dyDescent="0.25">
      <c r="A1213" s="27"/>
      <c r="B1213" s="27"/>
      <c r="C1213" s="27"/>
      <c r="D1213" s="27"/>
      <c r="E1213" s="27"/>
      <c r="F1213" s="27"/>
      <c r="G1213" s="27"/>
      <c r="H1213" s="28"/>
      <c r="I1213" s="27"/>
      <c r="J1213" s="29"/>
      <c r="K1213" s="30"/>
      <c r="L1213" s="31"/>
      <c r="M1213" s="32"/>
      <c r="N1213" s="30"/>
      <c r="O1213" s="30"/>
      <c r="P1213" s="39"/>
      <c r="Q1213" s="34"/>
      <c r="R1213" s="35"/>
      <c r="S1213" s="36"/>
      <c r="T1213" s="35"/>
      <c r="U1213" s="36"/>
      <c r="V1213" s="37"/>
    </row>
    <row r="1214" spans="1:22" x14ac:dyDescent="0.25">
      <c r="A1214" s="27"/>
      <c r="B1214" s="27"/>
      <c r="C1214" s="27"/>
      <c r="D1214" s="27"/>
      <c r="E1214" s="27"/>
      <c r="F1214" s="27"/>
      <c r="G1214" s="27"/>
      <c r="H1214" s="28"/>
      <c r="I1214" s="27"/>
      <c r="J1214" s="29"/>
      <c r="K1214" s="30"/>
      <c r="L1214" s="31"/>
      <c r="M1214" s="32"/>
      <c r="N1214" s="30"/>
      <c r="O1214" s="30"/>
      <c r="P1214" s="39"/>
      <c r="Q1214" s="34"/>
      <c r="R1214" s="35"/>
      <c r="S1214" s="36"/>
      <c r="T1214" s="35"/>
      <c r="U1214" s="36"/>
      <c r="V1214" s="37"/>
    </row>
    <row r="1215" spans="1:22" x14ac:dyDescent="0.25">
      <c r="A1215" s="27"/>
      <c r="B1215" s="27"/>
      <c r="C1215" s="27"/>
      <c r="D1215" s="27"/>
      <c r="E1215" s="27"/>
      <c r="F1215" s="27"/>
      <c r="G1215" s="27"/>
      <c r="H1215" s="28"/>
      <c r="I1215" s="27"/>
      <c r="J1215" s="29"/>
      <c r="K1215" s="30"/>
      <c r="L1215" s="31"/>
      <c r="M1215" s="32"/>
      <c r="N1215" s="30"/>
      <c r="O1215" s="30"/>
      <c r="P1215" s="39"/>
      <c r="Q1215" s="34"/>
      <c r="R1215" s="35"/>
      <c r="S1215" s="36"/>
      <c r="T1215" s="35"/>
      <c r="U1215" s="36"/>
      <c r="V1215" s="37"/>
    </row>
    <row r="1216" spans="1:22" x14ac:dyDescent="0.25">
      <c r="A1216" s="27"/>
      <c r="B1216" s="27"/>
      <c r="C1216" s="27"/>
      <c r="D1216" s="27"/>
      <c r="E1216" s="27"/>
      <c r="F1216" s="27"/>
      <c r="G1216" s="27"/>
      <c r="H1216" s="28"/>
      <c r="I1216" s="27"/>
      <c r="J1216" s="29"/>
      <c r="K1216" s="30"/>
      <c r="L1216" s="31"/>
      <c r="M1216" s="32"/>
      <c r="N1216" s="30"/>
      <c r="O1216" s="30"/>
      <c r="P1216" s="39"/>
      <c r="Q1216" s="34"/>
      <c r="R1216" s="35"/>
      <c r="S1216" s="36"/>
      <c r="T1216" s="35"/>
      <c r="U1216" s="36"/>
      <c r="V1216" s="37"/>
    </row>
    <row r="1217" spans="1:22" x14ac:dyDescent="0.25">
      <c r="A1217" s="27"/>
      <c r="B1217" s="27"/>
      <c r="C1217" s="27"/>
      <c r="D1217" s="27"/>
      <c r="E1217" s="27"/>
      <c r="F1217" s="27"/>
      <c r="G1217" s="27"/>
      <c r="H1217" s="28"/>
      <c r="I1217" s="27"/>
      <c r="J1217" s="29"/>
      <c r="K1217" s="30"/>
      <c r="L1217" s="31"/>
      <c r="M1217" s="32"/>
      <c r="N1217" s="30"/>
      <c r="O1217" s="30"/>
      <c r="P1217" s="39"/>
      <c r="Q1217" s="34"/>
      <c r="R1217" s="35"/>
      <c r="S1217" s="36"/>
      <c r="T1217" s="35"/>
      <c r="U1217" s="36"/>
      <c r="V1217" s="37"/>
    </row>
    <row r="1218" spans="1:22" x14ac:dyDescent="0.25">
      <c r="A1218" s="27"/>
      <c r="B1218" s="27"/>
      <c r="C1218" s="27"/>
      <c r="D1218" s="27"/>
      <c r="E1218" s="27"/>
      <c r="F1218" s="27"/>
      <c r="G1218" s="27"/>
      <c r="H1218" s="28"/>
      <c r="I1218" s="27"/>
      <c r="J1218" s="29"/>
      <c r="K1218" s="30"/>
      <c r="L1218" s="31"/>
      <c r="M1218" s="32"/>
      <c r="N1218" s="30"/>
      <c r="O1218" s="30"/>
      <c r="P1218" s="39"/>
      <c r="Q1218" s="34"/>
      <c r="R1218" s="35"/>
      <c r="S1218" s="36"/>
      <c r="T1218" s="35"/>
      <c r="U1218" s="36"/>
      <c r="V1218" s="37"/>
    </row>
    <row r="1219" spans="1:22" x14ac:dyDescent="0.25">
      <c r="A1219" s="27"/>
      <c r="B1219" s="27"/>
      <c r="C1219" s="27"/>
      <c r="D1219" s="27"/>
      <c r="E1219" s="27"/>
      <c r="F1219" s="27"/>
      <c r="G1219" s="27"/>
      <c r="H1219" s="28"/>
      <c r="I1219" s="27"/>
      <c r="J1219" s="29"/>
      <c r="K1219" s="30"/>
      <c r="L1219" s="31"/>
      <c r="M1219" s="32"/>
      <c r="N1219" s="30"/>
      <c r="O1219" s="30"/>
      <c r="P1219" s="39"/>
      <c r="Q1219" s="34"/>
      <c r="R1219" s="35"/>
      <c r="S1219" s="36"/>
      <c r="T1219" s="35"/>
      <c r="U1219" s="36"/>
      <c r="V1219" s="37"/>
    </row>
    <row r="1220" spans="1:22" x14ac:dyDescent="0.25">
      <c r="A1220" s="27"/>
      <c r="B1220" s="27"/>
      <c r="C1220" s="27"/>
      <c r="D1220" s="27"/>
      <c r="E1220" s="27"/>
      <c r="F1220" s="27"/>
      <c r="G1220" s="27"/>
      <c r="H1220" s="28"/>
      <c r="I1220" s="27"/>
      <c r="J1220" s="29"/>
      <c r="K1220" s="30"/>
      <c r="L1220" s="31"/>
      <c r="M1220" s="32"/>
      <c r="N1220" s="30"/>
      <c r="O1220" s="30"/>
      <c r="P1220" s="39"/>
      <c r="Q1220" s="34"/>
      <c r="R1220" s="35"/>
      <c r="S1220" s="36"/>
      <c r="T1220" s="35"/>
      <c r="U1220" s="36"/>
      <c r="V1220" s="37"/>
    </row>
    <row r="1221" spans="1:22" x14ac:dyDescent="0.25">
      <c r="A1221" s="27"/>
      <c r="B1221" s="27"/>
      <c r="C1221" s="27"/>
      <c r="D1221" s="27"/>
      <c r="E1221" s="27"/>
      <c r="F1221" s="27"/>
      <c r="G1221" s="27"/>
      <c r="H1221" s="28"/>
      <c r="I1221" s="27"/>
      <c r="J1221" s="29"/>
      <c r="K1221" s="30"/>
      <c r="L1221" s="31"/>
      <c r="M1221" s="32"/>
      <c r="N1221" s="30"/>
      <c r="O1221" s="30"/>
      <c r="P1221" s="39"/>
      <c r="Q1221" s="34"/>
      <c r="R1221" s="35"/>
      <c r="S1221" s="36"/>
      <c r="T1221" s="35"/>
      <c r="U1221" s="36"/>
      <c r="V1221" s="37"/>
    </row>
    <row r="1222" spans="1:22" x14ac:dyDescent="0.25">
      <c r="A1222" s="27"/>
      <c r="B1222" s="27"/>
      <c r="C1222" s="27"/>
      <c r="D1222" s="27"/>
      <c r="E1222" s="27"/>
      <c r="F1222" s="27"/>
      <c r="G1222" s="27"/>
      <c r="H1222" s="28"/>
      <c r="I1222" s="27"/>
      <c r="J1222" s="29"/>
      <c r="K1222" s="30"/>
      <c r="L1222" s="31"/>
      <c r="M1222" s="32"/>
      <c r="N1222" s="30"/>
      <c r="O1222" s="30"/>
      <c r="P1222" s="39"/>
      <c r="Q1222" s="34"/>
      <c r="R1222" s="35"/>
      <c r="S1222" s="36"/>
      <c r="T1222" s="35"/>
      <c r="U1222" s="36"/>
      <c r="V1222" s="37"/>
    </row>
    <row r="1223" spans="1:22" x14ac:dyDescent="0.25">
      <c r="A1223" s="27"/>
      <c r="B1223" s="27"/>
      <c r="C1223" s="27"/>
      <c r="D1223" s="27"/>
      <c r="E1223" s="27"/>
      <c r="F1223" s="27"/>
      <c r="G1223" s="27"/>
      <c r="H1223" s="28"/>
      <c r="I1223" s="27"/>
      <c r="J1223" s="29"/>
      <c r="K1223" s="30"/>
      <c r="L1223" s="31"/>
      <c r="M1223" s="32"/>
      <c r="N1223" s="30"/>
      <c r="O1223" s="30"/>
      <c r="P1223" s="39"/>
      <c r="Q1223" s="34"/>
      <c r="R1223" s="35"/>
      <c r="S1223" s="36"/>
      <c r="T1223" s="35"/>
      <c r="U1223" s="36"/>
      <c r="V1223" s="37"/>
    </row>
    <row r="1224" spans="1:22" x14ac:dyDescent="0.25">
      <c r="A1224" s="27"/>
      <c r="B1224" s="27"/>
      <c r="C1224" s="27"/>
      <c r="D1224" s="27"/>
      <c r="E1224" s="27"/>
      <c r="F1224" s="27"/>
      <c r="G1224" s="27"/>
      <c r="H1224" s="28"/>
      <c r="I1224" s="27"/>
      <c r="J1224" s="29"/>
      <c r="K1224" s="30"/>
      <c r="L1224" s="31"/>
      <c r="M1224" s="32"/>
      <c r="N1224" s="30"/>
      <c r="O1224" s="30"/>
      <c r="P1224" s="39"/>
      <c r="Q1224" s="34"/>
      <c r="R1224" s="35"/>
      <c r="S1224" s="36"/>
      <c r="T1224" s="35"/>
      <c r="U1224" s="36"/>
      <c r="V1224" s="37"/>
    </row>
    <row r="1225" spans="1:22" x14ac:dyDescent="0.25">
      <c r="A1225" s="27"/>
      <c r="B1225" s="27"/>
      <c r="C1225" s="27"/>
      <c r="D1225" s="27"/>
      <c r="E1225" s="27"/>
      <c r="F1225" s="27"/>
      <c r="G1225" s="27"/>
      <c r="H1225" s="28"/>
      <c r="I1225" s="27"/>
      <c r="J1225" s="29"/>
      <c r="K1225" s="30"/>
      <c r="L1225" s="31"/>
      <c r="M1225" s="32"/>
      <c r="N1225" s="30"/>
      <c r="O1225" s="30"/>
      <c r="P1225" s="39"/>
      <c r="Q1225" s="34"/>
      <c r="R1225" s="35"/>
      <c r="S1225" s="36"/>
      <c r="T1225" s="35"/>
      <c r="U1225" s="36"/>
      <c r="V1225" s="37"/>
    </row>
    <row r="1226" spans="1:22" x14ac:dyDescent="0.25">
      <c r="A1226" s="27"/>
      <c r="B1226" s="27"/>
      <c r="C1226" s="27"/>
      <c r="D1226" s="27"/>
      <c r="E1226" s="27"/>
      <c r="F1226" s="27"/>
      <c r="G1226" s="27"/>
      <c r="H1226" s="28"/>
      <c r="I1226" s="27"/>
      <c r="J1226" s="29"/>
      <c r="K1226" s="30"/>
      <c r="L1226" s="31"/>
      <c r="M1226" s="32"/>
      <c r="N1226" s="30"/>
      <c r="O1226" s="30"/>
      <c r="P1226" s="39"/>
      <c r="Q1226" s="34"/>
      <c r="R1226" s="35"/>
      <c r="S1226" s="36"/>
      <c r="T1226" s="35"/>
      <c r="U1226" s="36"/>
      <c r="V1226" s="37"/>
    </row>
    <row r="1227" spans="1:22" x14ac:dyDescent="0.25">
      <c r="A1227" s="27"/>
      <c r="B1227" s="27"/>
      <c r="C1227" s="27"/>
      <c r="D1227" s="27"/>
      <c r="E1227" s="27"/>
      <c r="F1227" s="27"/>
      <c r="G1227" s="27"/>
      <c r="H1227" s="28"/>
      <c r="I1227" s="27"/>
      <c r="J1227" s="29"/>
      <c r="K1227" s="30"/>
      <c r="L1227" s="31"/>
      <c r="M1227" s="32"/>
      <c r="N1227" s="30"/>
      <c r="O1227" s="30"/>
      <c r="P1227" s="39"/>
      <c r="Q1227" s="34"/>
      <c r="R1227" s="35"/>
      <c r="S1227" s="36"/>
      <c r="T1227" s="35"/>
      <c r="U1227" s="36"/>
      <c r="V1227" s="37"/>
    </row>
    <row r="1228" spans="1:22" x14ac:dyDescent="0.25">
      <c r="A1228" s="27"/>
      <c r="B1228" s="27"/>
      <c r="C1228" s="27"/>
      <c r="D1228" s="27"/>
      <c r="E1228" s="27"/>
      <c r="F1228" s="27"/>
      <c r="G1228" s="27"/>
      <c r="H1228" s="28"/>
      <c r="I1228" s="27"/>
      <c r="J1228" s="29"/>
      <c r="K1228" s="30"/>
      <c r="L1228" s="31"/>
      <c r="M1228" s="32"/>
      <c r="N1228" s="30"/>
      <c r="O1228" s="30"/>
      <c r="P1228" s="39"/>
      <c r="Q1228" s="34"/>
      <c r="R1228" s="35"/>
      <c r="S1228" s="36"/>
      <c r="T1228" s="35"/>
      <c r="U1228" s="36"/>
      <c r="V1228" s="37"/>
    </row>
    <row r="1229" spans="1:22" x14ac:dyDescent="0.25">
      <c r="A1229" s="27"/>
      <c r="B1229" s="27"/>
      <c r="C1229" s="27"/>
      <c r="D1229" s="27"/>
      <c r="E1229" s="27"/>
      <c r="F1229" s="27"/>
      <c r="G1229" s="27"/>
      <c r="H1229" s="28"/>
      <c r="I1229" s="27"/>
      <c r="J1229" s="29"/>
      <c r="K1229" s="30"/>
      <c r="L1229" s="31"/>
      <c r="M1229" s="32"/>
      <c r="N1229" s="30"/>
      <c r="O1229" s="30"/>
      <c r="P1229" s="39"/>
      <c r="Q1229" s="34"/>
      <c r="R1229" s="35"/>
      <c r="S1229" s="36"/>
      <c r="T1229" s="35"/>
      <c r="U1229" s="36"/>
      <c r="V1229" s="37"/>
    </row>
    <row r="1230" spans="1:22" x14ac:dyDescent="0.25">
      <c r="A1230" s="27"/>
      <c r="B1230" s="27"/>
      <c r="C1230" s="27"/>
      <c r="D1230" s="27"/>
      <c r="E1230" s="27"/>
      <c r="F1230" s="27"/>
      <c r="G1230" s="27"/>
      <c r="H1230" s="28"/>
      <c r="I1230" s="27"/>
      <c r="J1230" s="29"/>
      <c r="K1230" s="30"/>
      <c r="L1230" s="31"/>
      <c r="M1230" s="32"/>
      <c r="N1230" s="30"/>
      <c r="O1230" s="30"/>
      <c r="P1230" s="39"/>
      <c r="Q1230" s="34"/>
      <c r="R1230" s="35"/>
      <c r="S1230" s="36"/>
      <c r="T1230" s="35"/>
      <c r="U1230" s="36"/>
      <c r="V1230" s="37"/>
    </row>
    <row r="1231" spans="1:22" x14ac:dyDescent="0.25">
      <c r="A1231" s="27"/>
      <c r="B1231" s="27"/>
      <c r="C1231" s="27"/>
      <c r="D1231" s="27"/>
      <c r="E1231" s="27"/>
      <c r="F1231" s="27"/>
      <c r="G1231" s="27"/>
      <c r="H1231" s="28"/>
      <c r="I1231" s="27"/>
      <c r="J1231" s="29"/>
      <c r="K1231" s="30"/>
      <c r="L1231" s="31"/>
      <c r="M1231" s="32"/>
      <c r="N1231" s="30"/>
      <c r="O1231" s="30"/>
      <c r="P1231" s="39"/>
      <c r="Q1231" s="34"/>
      <c r="R1231" s="35"/>
      <c r="S1231" s="36"/>
      <c r="T1231" s="35"/>
      <c r="U1231" s="36"/>
      <c r="V1231" s="37"/>
    </row>
    <row r="1232" spans="1:22" x14ac:dyDescent="0.25">
      <c r="A1232" s="27"/>
      <c r="B1232" s="27"/>
      <c r="C1232" s="27"/>
      <c r="D1232" s="27"/>
      <c r="E1232" s="27"/>
      <c r="F1232" s="27"/>
      <c r="G1232" s="27"/>
      <c r="H1232" s="28"/>
      <c r="I1232" s="27"/>
      <c r="J1232" s="29"/>
      <c r="K1232" s="30"/>
      <c r="L1232" s="31"/>
      <c r="M1232" s="32"/>
      <c r="N1232" s="30"/>
      <c r="O1232" s="30"/>
      <c r="P1232" s="39"/>
      <c r="Q1232" s="34"/>
      <c r="R1232" s="35"/>
      <c r="S1232" s="36"/>
      <c r="T1232" s="35"/>
      <c r="U1232" s="36"/>
      <c r="V1232" s="37"/>
    </row>
    <row r="1233" spans="1:22" x14ac:dyDescent="0.25">
      <c r="A1233" s="27"/>
      <c r="B1233" s="27"/>
      <c r="C1233" s="27"/>
      <c r="D1233" s="27"/>
      <c r="E1233" s="27"/>
      <c r="F1233" s="27"/>
      <c r="G1233" s="27"/>
      <c r="H1233" s="28"/>
      <c r="I1233" s="27"/>
      <c r="J1233" s="29"/>
      <c r="K1233" s="30"/>
      <c r="L1233" s="31"/>
      <c r="M1233" s="32"/>
      <c r="N1233" s="30"/>
      <c r="O1233" s="30"/>
      <c r="P1233" s="39"/>
      <c r="Q1233" s="34"/>
      <c r="R1233" s="35"/>
      <c r="S1233" s="36"/>
      <c r="T1233" s="35"/>
      <c r="U1233" s="36"/>
      <c r="V1233" s="37"/>
    </row>
    <row r="1234" spans="1:22" x14ac:dyDescent="0.25">
      <c r="A1234" s="27"/>
      <c r="B1234" s="27"/>
      <c r="C1234" s="27"/>
      <c r="D1234" s="27"/>
      <c r="E1234" s="27"/>
      <c r="F1234" s="27"/>
      <c r="G1234" s="27"/>
      <c r="H1234" s="28"/>
      <c r="I1234" s="27"/>
      <c r="J1234" s="29"/>
      <c r="K1234" s="30"/>
      <c r="L1234" s="31"/>
      <c r="M1234" s="32"/>
      <c r="N1234" s="30"/>
      <c r="O1234" s="30"/>
      <c r="P1234" s="39"/>
      <c r="Q1234" s="34"/>
      <c r="R1234" s="35"/>
      <c r="S1234" s="36"/>
      <c r="T1234" s="35"/>
      <c r="U1234" s="36"/>
      <c r="V1234" s="37"/>
    </row>
    <row r="1235" spans="1:22" x14ac:dyDescent="0.25">
      <c r="A1235" s="27"/>
      <c r="B1235" s="27"/>
      <c r="C1235" s="27"/>
      <c r="D1235" s="27"/>
      <c r="E1235" s="27"/>
      <c r="F1235" s="27"/>
      <c r="G1235" s="27"/>
      <c r="H1235" s="28"/>
      <c r="I1235" s="27"/>
      <c r="J1235" s="29"/>
      <c r="K1235" s="30"/>
      <c r="L1235" s="31"/>
      <c r="M1235" s="32"/>
      <c r="N1235" s="30"/>
      <c r="O1235" s="30"/>
      <c r="P1235" s="39"/>
      <c r="Q1235" s="34"/>
      <c r="R1235" s="35"/>
      <c r="S1235" s="36"/>
      <c r="T1235" s="35"/>
      <c r="U1235" s="36"/>
      <c r="V1235" s="37"/>
    </row>
    <row r="1236" spans="1:22" x14ac:dyDescent="0.25">
      <c r="A1236" s="27"/>
      <c r="B1236" s="27"/>
      <c r="C1236" s="27"/>
      <c r="D1236" s="27"/>
      <c r="E1236" s="27"/>
      <c r="F1236" s="27"/>
      <c r="G1236" s="27"/>
      <c r="H1236" s="28"/>
      <c r="I1236" s="27"/>
      <c r="J1236" s="29"/>
      <c r="K1236" s="30"/>
      <c r="L1236" s="31"/>
      <c r="M1236" s="32"/>
      <c r="N1236" s="30"/>
      <c r="O1236" s="30"/>
      <c r="P1236" s="39"/>
      <c r="Q1236" s="34"/>
      <c r="R1236" s="35"/>
      <c r="S1236" s="36"/>
      <c r="T1236" s="35"/>
      <c r="U1236" s="36"/>
      <c r="V1236" s="37"/>
    </row>
    <row r="1237" spans="1:22" x14ac:dyDescent="0.25">
      <c r="A1237" s="27"/>
      <c r="B1237" s="27"/>
      <c r="C1237" s="27"/>
      <c r="D1237" s="27"/>
      <c r="E1237" s="27"/>
      <c r="F1237" s="27"/>
      <c r="G1237" s="27"/>
      <c r="H1237" s="28"/>
      <c r="I1237" s="27"/>
      <c r="J1237" s="29"/>
      <c r="K1237" s="30"/>
      <c r="L1237" s="31"/>
      <c r="M1237" s="32"/>
      <c r="N1237" s="30"/>
      <c r="O1237" s="30"/>
      <c r="P1237" s="39"/>
      <c r="Q1237" s="34"/>
      <c r="R1237" s="35"/>
      <c r="S1237" s="36"/>
      <c r="T1237" s="35"/>
      <c r="U1237" s="36"/>
      <c r="V1237" s="37"/>
    </row>
    <row r="1238" spans="1:22" x14ac:dyDescent="0.25">
      <c r="A1238" s="27"/>
      <c r="B1238" s="27"/>
      <c r="C1238" s="27"/>
      <c r="D1238" s="27"/>
      <c r="E1238" s="27"/>
      <c r="F1238" s="27"/>
      <c r="G1238" s="27"/>
      <c r="H1238" s="28"/>
      <c r="I1238" s="27"/>
      <c r="J1238" s="29"/>
      <c r="K1238" s="30"/>
      <c r="L1238" s="31"/>
      <c r="M1238" s="32"/>
      <c r="N1238" s="30"/>
      <c r="O1238" s="30"/>
      <c r="P1238" s="39"/>
      <c r="Q1238" s="34"/>
      <c r="R1238" s="35"/>
      <c r="S1238" s="36"/>
      <c r="T1238" s="35"/>
      <c r="U1238" s="36"/>
      <c r="V1238" s="37"/>
    </row>
    <row r="1239" spans="1:22" x14ac:dyDescent="0.25">
      <c r="A1239" s="27"/>
      <c r="B1239" s="27"/>
      <c r="C1239" s="27"/>
      <c r="D1239" s="27"/>
      <c r="E1239" s="27"/>
      <c r="F1239" s="27"/>
      <c r="G1239" s="27"/>
      <c r="H1239" s="28"/>
      <c r="I1239" s="27"/>
      <c r="J1239" s="29"/>
      <c r="K1239" s="30"/>
      <c r="L1239" s="31"/>
      <c r="M1239" s="32"/>
      <c r="N1239" s="30"/>
      <c r="O1239" s="30"/>
      <c r="P1239" s="39"/>
      <c r="Q1239" s="34"/>
      <c r="R1239" s="35"/>
      <c r="S1239" s="36"/>
      <c r="T1239" s="35"/>
      <c r="U1239" s="36"/>
      <c r="V1239" s="37"/>
    </row>
    <row r="1240" spans="1:22" x14ac:dyDescent="0.25">
      <c r="A1240" s="27"/>
      <c r="B1240" s="27"/>
      <c r="C1240" s="27"/>
      <c r="D1240" s="27"/>
      <c r="E1240" s="27"/>
      <c r="F1240" s="27"/>
      <c r="G1240" s="27"/>
      <c r="H1240" s="28"/>
      <c r="I1240" s="27"/>
      <c r="J1240" s="29"/>
      <c r="K1240" s="30"/>
      <c r="L1240" s="31"/>
      <c r="M1240" s="32"/>
      <c r="N1240" s="30"/>
      <c r="O1240" s="30"/>
      <c r="P1240" s="39"/>
      <c r="Q1240" s="34"/>
      <c r="R1240" s="35"/>
      <c r="S1240" s="36"/>
      <c r="T1240" s="35"/>
      <c r="U1240" s="36"/>
      <c r="V1240" s="37"/>
    </row>
    <row r="1241" spans="1:22" x14ac:dyDescent="0.25">
      <c r="A1241" s="27"/>
      <c r="B1241" s="27"/>
      <c r="C1241" s="27"/>
      <c r="D1241" s="27"/>
      <c r="E1241" s="27"/>
      <c r="F1241" s="27"/>
      <c r="G1241" s="27"/>
      <c r="H1241" s="28"/>
      <c r="I1241" s="27"/>
      <c r="J1241" s="29"/>
      <c r="K1241" s="30"/>
      <c r="L1241" s="31"/>
      <c r="M1241" s="32"/>
      <c r="N1241" s="30"/>
      <c r="O1241" s="30"/>
      <c r="P1241" s="39"/>
      <c r="Q1241" s="34"/>
      <c r="R1241" s="35"/>
      <c r="S1241" s="36"/>
      <c r="T1241" s="35"/>
      <c r="U1241" s="36"/>
      <c r="V1241" s="37"/>
    </row>
    <row r="1242" spans="1:22" x14ac:dyDescent="0.25">
      <c r="A1242" s="27"/>
      <c r="B1242" s="27"/>
      <c r="C1242" s="27"/>
      <c r="D1242" s="27"/>
      <c r="E1242" s="27"/>
      <c r="F1242" s="27"/>
      <c r="G1242" s="27"/>
      <c r="H1242" s="28"/>
      <c r="I1242" s="27"/>
      <c r="J1242" s="29"/>
      <c r="K1242" s="30"/>
      <c r="L1242" s="31"/>
      <c r="M1242" s="32"/>
      <c r="N1242" s="30"/>
      <c r="O1242" s="30"/>
      <c r="P1242" s="39"/>
      <c r="Q1242" s="34"/>
      <c r="R1242" s="35"/>
      <c r="S1242" s="36"/>
      <c r="T1242" s="35"/>
      <c r="U1242" s="36"/>
      <c r="V1242" s="37"/>
    </row>
    <row r="1243" spans="1:22" x14ac:dyDescent="0.25">
      <c r="A1243" s="27"/>
      <c r="B1243" s="27"/>
      <c r="C1243" s="27"/>
      <c r="D1243" s="27"/>
      <c r="E1243" s="27"/>
      <c r="F1243" s="27"/>
      <c r="G1243" s="27"/>
      <c r="H1243" s="28"/>
      <c r="I1243" s="27"/>
      <c r="J1243" s="29"/>
      <c r="K1243" s="30"/>
      <c r="L1243" s="31"/>
      <c r="M1243" s="32"/>
      <c r="N1243" s="30"/>
      <c r="O1243" s="30"/>
      <c r="P1243" s="39"/>
      <c r="Q1243" s="34"/>
      <c r="R1243" s="35"/>
      <c r="S1243" s="36"/>
      <c r="T1243" s="35"/>
      <c r="U1243" s="36"/>
      <c r="V1243" s="37"/>
    </row>
    <row r="1244" spans="1:22" x14ac:dyDescent="0.25">
      <c r="A1244" s="27"/>
      <c r="B1244" s="27"/>
      <c r="C1244" s="27"/>
      <c r="D1244" s="27"/>
      <c r="E1244" s="27"/>
      <c r="F1244" s="27"/>
      <c r="G1244" s="27"/>
      <c r="H1244" s="28"/>
      <c r="I1244" s="27"/>
      <c r="J1244" s="29"/>
      <c r="K1244" s="30"/>
      <c r="L1244" s="31"/>
      <c r="M1244" s="32"/>
      <c r="N1244" s="30"/>
      <c r="O1244" s="30"/>
      <c r="P1244" s="39"/>
      <c r="Q1244" s="34"/>
      <c r="R1244" s="35"/>
      <c r="S1244" s="36"/>
      <c r="T1244" s="35"/>
      <c r="U1244" s="36"/>
      <c r="V1244" s="37"/>
    </row>
    <row r="1245" spans="1:22" x14ac:dyDescent="0.25">
      <c r="A1245" s="27"/>
      <c r="B1245" s="27"/>
      <c r="C1245" s="27"/>
      <c r="D1245" s="27"/>
      <c r="E1245" s="27"/>
      <c r="F1245" s="27"/>
      <c r="G1245" s="27"/>
      <c r="H1245" s="28"/>
      <c r="I1245" s="27"/>
      <c r="J1245" s="29"/>
      <c r="K1245" s="30"/>
      <c r="L1245" s="31"/>
      <c r="M1245" s="32"/>
      <c r="N1245" s="30"/>
      <c r="O1245" s="30"/>
      <c r="P1245" s="39"/>
      <c r="Q1245" s="34"/>
      <c r="R1245" s="35"/>
      <c r="S1245" s="36"/>
      <c r="T1245" s="35"/>
      <c r="U1245" s="36"/>
      <c r="V1245" s="37"/>
    </row>
    <row r="1246" spans="1:22" x14ac:dyDescent="0.25">
      <c r="A1246" s="27"/>
      <c r="B1246" s="27"/>
      <c r="C1246" s="27"/>
      <c r="D1246" s="27"/>
      <c r="E1246" s="27"/>
      <c r="F1246" s="27"/>
      <c r="G1246" s="27"/>
      <c r="H1246" s="28"/>
      <c r="I1246" s="27"/>
      <c r="J1246" s="29"/>
      <c r="K1246" s="30"/>
      <c r="L1246" s="31"/>
      <c r="M1246" s="32"/>
      <c r="N1246" s="30"/>
      <c r="O1246" s="30"/>
      <c r="P1246" s="39"/>
      <c r="Q1246" s="34"/>
      <c r="R1246" s="35"/>
      <c r="S1246" s="36"/>
      <c r="T1246" s="35"/>
      <c r="U1246" s="36"/>
      <c r="V1246" s="37"/>
    </row>
    <row r="1247" spans="1:22" x14ac:dyDescent="0.25">
      <c r="A1247" s="27"/>
      <c r="B1247" s="27"/>
      <c r="C1247" s="27"/>
      <c r="D1247" s="27"/>
      <c r="E1247" s="27"/>
      <c r="F1247" s="27"/>
      <c r="G1247" s="27"/>
      <c r="H1247" s="28"/>
      <c r="I1247" s="27"/>
      <c r="J1247" s="29"/>
      <c r="K1247" s="30"/>
      <c r="L1247" s="31"/>
      <c r="M1247" s="32"/>
      <c r="N1247" s="30"/>
      <c r="O1247" s="30"/>
      <c r="P1247" s="39"/>
      <c r="Q1247" s="34"/>
      <c r="R1247" s="35"/>
      <c r="S1247" s="36"/>
      <c r="T1247" s="35"/>
      <c r="U1247" s="36"/>
      <c r="V1247" s="37"/>
    </row>
    <row r="1248" spans="1:22" x14ac:dyDescent="0.25">
      <c r="A1248" s="27"/>
      <c r="B1248" s="27"/>
      <c r="C1248" s="27"/>
      <c r="D1248" s="27"/>
      <c r="E1248" s="27"/>
      <c r="F1248" s="27"/>
      <c r="G1248" s="27"/>
      <c r="H1248" s="28"/>
      <c r="I1248" s="27"/>
      <c r="J1248" s="29"/>
      <c r="K1248" s="30"/>
      <c r="L1248" s="31"/>
      <c r="M1248" s="32"/>
      <c r="N1248" s="30"/>
      <c r="O1248" s="30"/>
      <c r="P1248" s="39"/>
      <c r="Q1248" s="34"/>
      <c r="R1248" s="35"/>
      <c r="S1248" s="36"/>
      <c r="T1248" s="35"/>
      <c r="U1248" s="36"/>
      <c r="V1248" s="37"/>
    </row>
    <row r="1249" spans="1:22" x14ac:dyDescent="0.25">
      <c r="A1249" s="27"/>
      <c r="B1249" s="27"/>
      <c r="C1249" s="27"/>
      <c r="D1249" s="27"/>
      <c r="E1249" s="27"/>
      <c r="F1249" s="27"/>
      <c r="G1249" s="27"/>
      <c r="H1249" s="28"/>
      <c r="I1249" s="27"/>
      <c r="J1249" s="29"/>
      <c r="K1249" s="30"/>
      <c r="L1249" s="31"/>
      <c r="M1249" s="32"/>
      <c r="N1249" s="30"/>
      <c r="O1249" s="30"/>
      <c r="P1249" s="39"/>
      <c r="Q1249" s="34"/>
      <c r="R1249" s="35"/>
      <c r="S1249" s="36"/>
      <c r="T1249" s="35"/>
      <c r="U1249" s="36"/>
      <c r="V1249" s="37"/>
    </row>
    <row r="1250" spans="1:22" x14ac:dyDescent="0.25">
      <c r="A1250" s="27"/>
      <c r="B1250" s="27"/>
      <c r="C1250" s="27"/>
      <c r="D1250" s="27"/>
      <c r="E1250" s="27"/>
      <c r="F1250" s="27"/>
      <c r="G1250" s="27"/>
      <c r="H1250" s="28"/>
      <c r="I1250" s="27"/>
      <c r="J1250" s="29"/>
      <c r="K1250" s="30"/>
      <c r="L1250" s="31"/>
      <c r="M1250" s="32"/>
      <c r="N1250" s="30"/>
      <c r="O1250" s="30"/>
      <c r="P1250" s="39"/>
      <c r="Q1250" s="34"/>
      <c r="R1250" s="35"/>
      <c r="S1250" s="36"/>
      <c r="T1250" s="35"/>
      <c r="U1250" s="36"/>
      <c r="V1250" s="37"/>
    </row>
    <row r="1251" spans="1:22" x14ac:dyDescent="0.25">
      <c r="A1251" s="27"/>
      <c r="B1251" s="27"/>
      <c r="C1251" s="27"/>
      <c r="D1251" s="27"/>
      <c r="E1251" s="27"/>
      <c r="F1251" s="27"/>
      <c r="G1251" s="27"/>
      <c r="H1251" s="28"/>
      <c r="I1251" s="27"/>
      <c r="J1251" s="29"/>
      <c r="K1251" s="30"/>
      <c r="L1251" s="31"/>
      <c r="M1251" s="32"/>
      <c r="N1251" s="30"/>
      <c r="O1251" s="30"/>
      <c r="P1251" s="39"/>
      <c r="Q1251" s="34"/>
      <c r="R1251" s="35"/>
      <c r="S1251" s="36"/>
      <c r="T1251" s="35"/>
      <c r="U1251" s="36"/>
      <c r="V1251" s="37"/>
    </row>
    <row r="1252" spans="1:22" x14ac:dyDescent="0.25">
      <c r="A1252" s="27"/>
      <c r="B1252" s="27"/>
      <c r="C1252" s="27"/>
      <c r="D1252" s="27"/>
      <c r="E1252" s="27"/>
      <c r="F1252" s="27"/>
      <c r="G1252" s="27"/>
      <c r="H1252" s="28"/>
      <c r="I1252" s="27"/>
      <c r="J1252" s="29"/>
      <c r="K1252" s="30"/>
      <c r="L1252" s="31"/>
      <c r="M1252" s="32"/>
      <c r="N1252" s="30"/>
      <c r="O1252" s="30"/>
      <c r="P1252" s="39"/>
      <c r="Q1252" s="34"/>
      <c r="R1252" s="35"/>
      <c r="S1252" s="36"/>
      <c r="T1252" s="35"/>
      <c r="U1252" s="36"/>
      <c r="V1252" s="37"/>
    </row>
    <row r="1253" spans="1:22" x14ac:dyDescent="0.25">
      <c r="A1253" s="27"/>
      <c r="B1253" s="27"/>
      <c r="C1253" s="27"/>
      <c r="D1253" s="27"/>
      <c r="E1253" s="27"/>
      <c r="F1253" s="27"/>
      <c r="G1253" s="27"/>
      <c r="H1253" s="28"/>
      <c r="I1253" s="27"/>
      <c r="J1253" s="29"/>
      <c r="K1253" s="30"/>
      <c r="L1253" s="31"/>
      <c r="M1253" s="32"/>
      <c r="N1253" s="30"/>
      <c r="O1253" s="30"/>
      <c r="P1253" s="39"/>
      <c r="Q1253" s="34"/>
      <c r="R1253" s="35"/>
      <c r="S1253" s="36"/>
      <c r="T1253" s="35"/>
      <c r="U1253" s="36"/>
      <c r="V1253" s="37"/>
    </row>
    <row r="1254" spans="1:22" x14ac:dyDescent="0.25">
      <c r="A1254" s="27"/>
      <c r="B1254" s="27"/>
      <c r="C1254" s="27"/>
      <c r="D1254" s="27"/>
      <c r="E1254" s="27"/>
      <c r="F1254" s="27"/>
      <c r="G1254" s="27"/>
      <c r="H1254" s="28"/>
      <c r="I1254" s="27"/>
      <c r="J1254" s="29"/>
      <c r="K1254" s="30"/>
      <c r="L1254" s="31"/>
      <c r="M1254" s="32"/>
      <c r="N1254" s="30"/>
      <c r="O1254" s="30"/>
      <c r="P1254" s="39"/>
      <c r="Q1254" s="34"/>
      <c r="R1254" s="35"/>
      <c r="S1254" s="36"/>
      <c r="T1254" s="35"/>
      <c r="U1254" s="36"/>
      <c r="V1254" s="37"/>
    </row>
    <row r="1255" spans="1:22" x14ac:dyDescent="0.25">
      <c r="A1255" s="27"/>
      <c r="B1255" s="27"/>
      <c r="C1255" s="27"/>
      <c r="D1255" s="27"/>
      <c r="E1255" s="27"/>
      <c r="F1255" s="27"/>
      <c r="G1255" s="27"/>
      <c r="H1255" s="28"/>
      <c r="I1255" s="27"/>
      <c r="J1255" s="29"/>
      <c r="K1255" s="30"/>
      <c r="L1255" s="31"/>
      <c r="M1255" s="32"/>
      <c r="N1255" s="30"/>
      <c r="O1255" s="30"/>
      <c r="P1255" s="39"/>
      <c r="Q1255" s="34"/>
      <c r="R1255" s="35"/>
      <c r="S1255" s="36"/>
      <c r="T1255" s="35"/>
      <c r="U1255" s="36"/>
      <c r="V1255" s="37"/>
    </row>
    <row r="1256" spans="1:22" x14ac:dyDescent="0.25">
      <c r="A1256" s="27"/>
      <c r="B1256" s="27"/>
      <c r="C1256" s="27"/>
      <c r="D1256" s="27"/>
      <c r="E1256" s="27"/>
      <c r="F1256" s="27"/>
      <c r="G1256" s="27"/>
      <c r="H1256" s="28"/>
      <c r="I1256" s="27"/>
      <c r="J1256" s="29"/>
      <c r="K1256" s="30"/>
      <c r="L1256" s="31"/>
      <c r="M1256" s="32"/>
      <c r="N1256" s="30"/>
      <c r="O1256" s="30"/>
      <c r="P1256" s="39"/>
      <c r="Q1256" s="34"/>
      <c r="R1256" s="35"/>
      <c r="S1256" s="36"/>
      <c r="T1256" s="35"/>
      <c r="U1256" s="36"/>
      <c r="V1256" s="37"/>
    </row>
    <row r="1257" spans="1:22" x14ac:dyDescent="0.25">
      <c r="A1257" s="27"/>
      <c r="B1257" s="27"/>
      <c r="C1257" s="27"/>
      <c r="D1257" s="27"/>
      <c r="E1257" s="27"/>
      <c r="F1257" s="27"/>
      <c r="G1257" s="27"/>
      <c r="H1257" s="28"/>
      <c r="I1257" s="27"/>
      <c r="J1257" s="29"/>
      <c r="K1257" s="30"/>
      <c r="L1257" s="31"/>
      <c r="M1257" s="32"/>
      <c r="N1257" s="30"/>
      <c r="O1257" s="30"/>
      <c r="P1257" s="39"/>
      <c r="Q1257" s="34"/>
      <c r="R1257" s="35"/>
      <c r="S1257" s="36"/>
      <c r="T1257" s="35"/>
      <c r="U1257" s="36"/>
      <c r="V1257" s="37"/>
    </row>
    <row r="1258" spans="1:22" x14ac:dyDescent="0.25">
      <c r="A1258" s="27"/>
      <c r="B1258" s="27"/>
      <c r="C1258" s="27"/>
      <c r="D1258" s="27"/>
      <c r="E1258" s="27"/>
      <c r="F1258" s="27"/>
      <c r="G1258" s="27"/>
      <c r="H1258" s="28"/>
      <c r="I1258" s="27"/>
      <c r="J1258" s="29"/>
      <c r="K1258" s="30"/>
      <c r="L1258" s="31"/>
      <c r="M1258" s="32"/>
      <c r="N1258" s="30"/>
      <c r="O1258" s="30"/>
      <c r="P1258" s="39"/>
      <c r="Q1258" s="34"/>
      <c r="R1258" s="35"/>
      <c r="S1258" s="36"/>
      <c r="T1258" s="35"/>
      <c r="U1258" s="36"/>
      <c r="V1258" s="37"/>
    </row>
    <row r="1259" spans="1:22" x14ac:dyDescent="0.25">
      <c r="A1259" s="27"/>
      <c r="B1259" s="27"/>
      <c r="C1259" s="27"/>
      <c r="D1259" s="27"/>
      <c r="E1259" s="27"/>
      <c r="F1259" s="27"/>
      <c r="G1259" s="27"/>
      <c r="H1259" s="28"/>
      <c r="I1259" s="27"/>
      <c r="J1259" s="29"/>
      <c r="K1259" s="30"/>
      <c r="L1259" s="31"/>
      <c r="M1259" s="32"/>
      <c r="N1259" s="30"/>
      <c r="O1259" s="30"/>
      <c r="P1259" s="39"/>
      <c r="Q1259" s="34"/>
      <c r="R1259" s="35"/>
      <c r="S1259" s="36"/>
      <c r="T1259" s="35"/>
      <c r="U1259" s="36"/>
      <c r="V1259" s="37"/>
    </row>
    <row r="1260" spans="1:22" x14ac:dyDescent="0.25">
      <c r="A1260" s="27"/>
      <c r="B1260" s="27"/>
      <c r="C1260" s="27"/>
      <c r="D1260" s="27"/>
      <c r="E1260" s="27"/>
      <c r="F1260" s="27"/>
      <c r="G1260" s="27"/>
      <c r="H1260" s="28"/>
      <c r="I1260" s="27"/>
      <c r="J1260" s="29"/>
      <c r="K1260" s="30"/>
      <c r="L1260" s="31"/>
      <c r="M1260" s="32"/>
      <c r="N1260" s="30"/>
      <c r="O1260" s="30"/>
      <c r="P1260" s="39"/>
      <c r="Q1260" s="34"/>
      <c r="R1260" s="35"/>
      <c r="S1260" s="36"/>
      <c r="T1260" s="35"/>
      <c r="U1260" s="36"/>
      <c r="V1260" s="37"/>
    </row>
    <row r="1261" spans="1:22" x14ac:dyDescent="0.25">
      <c r="A1261" s="27"/>
      <c r="B1261" s="27"/>
      <c r="C1261" s="27"/>
      <c r="D1261" s="27"/>
      <c r="E1261" s="27"/>
      <c r="F1261" s="27"/>
      <c r="G1261" s="27"/>
      <c r="H1261" s="28"/>
      <c r="I1261" s="27"/>
      <c r="J1261" s="29"/>
      <c r="K1261" s="30"/>
      <c r="L1261" s="31"/>
      <c r="M1261" s="32"/>
      <c r="N1261" s="30"/>
      <c r="O1261" s="30"/>
      <c r="P1261" s="39"/>
      <c r="Q1261" s="34"/>
      <c r="R1261" s="35"/>
      <c r="S1261" s="36"/>
      <c r="T1261" s="35"/>
      <c r="U1261" s="36"/>
      <c r="V1261" s="37"/>
    </row>
    <row r="1262" spans="1:22" x14ac:dyDescent="0.25">
      <c r="A1262" s="27"/>
      <c r="B1262" s="27"/>
      <c r="C1262" s="27"/>
      <c r="D1262" s="27"/>
      <c r="E1262" s="27"/>
      <c r="F1262" s="27"/>
      <c r="G1262" s="27"/>
      <c r="H1262" s="28"/>
      <c r="I1262" s="27"/>
      <c r="J1262" s="29"/>
      <c r="K1262" s="30"/>
      <c r="L1262" s="31"/>
      <c r="M1262" s="32"/>
      <c r="N1262" s="30"/>
      <c r="O1262" s="30"/>
      <c r="P1262" s="39"/>
      <c r="Q1262" s="34"/>
      <c r="R1262" s="35"/>
      <c r="S1262" s="36"/>
      <c r="T1262" s="35"/>
      <c r="U1262" s="36"/>
      <c r="V1262" s="37"/>
    </row>
    <row r="1263" spans="1:22" x14ac:dyDescent="0.25">
      <c r="A1263" s="27"/>
      <c r="B1263" s="27"/>
      <c r="C1263" s="27"/>
      <c r="D1263" s="27"/>
      <c r="E1263" s="27"/>
      <c r="F1263" s="27"/>
      <c r="G1263" s="27"/>
      <c r="H1263" s="28"/>
      <c r="I1263" s="27"/>
      <c r="J1263" s="29"/>
      <c r="K1263" s="30"/>
      <c r="L1263" s="31"/>
      <c r="M1263" s="32"/>
      <c r="N1263" s="30"/>
      <c r="O1263" s="30"/>
      <c r="P1263" s="39"/>
      <c r="Q1263" s="34"/>
      <c r="R1263" s="35"/>
      <c r="S1263" s="36"/>
      <c r="T1263" s="35"/>
      <c r="U1263" s="36"/>
      <c r="V1263" s="37"/>
    </row>
    <row r="1264" spans="1:22" x14ac:dyDescent="0.25">
      <c r="A1264" s="27"/>
      <c r="B1264" s="27"/>
      <c r="C1264" s="27"/>
      <c r="D1264" s="27"/>
      <c r="E1264" s="27"/>
      <c r="F1264" s="27"/>
      <c r="G1264" s="27"/>
      <c r="H1264" s="28"/>
      <c r="I1264" s="27"/>
      <c r="J1264" s="29"/>
      <c r="K1264" s="30"/>
      <c r="L1264" s="31"/>
      <c r="M1264" s="32"/>
      <c r="N1264" s="30"/>
      <c r="O1264" s="30"/>
      <c r="P1264" s="39"/>
      <c r="Q1264" s="34"/>
      <c r="R1264" s="35"/>
      <c r="S1264" s="36"/>
      <c r="T1264" s="35"/>
      <c r="U1264" s="36"/>
      <c r="V1264" s="37"/>
    </row>
    <row r="1265" spans="1:22" x14ac:dyDescent="0.25">
      <c r="A1265" s="27"/>
      <c r="B1265" s="27"/>
      <c r="C1265" s="27"/>
      <c r="D1265" s="27"/>
      <c r="E1265" s="27"/>
      <c r="F1265" s="27"/>
      <c r="G1265" s="27"/>
      <c r="H1265" s="28"/>
      <c r="I1265" s="27"/>
      <c r="J1265" s="29"/>
      <c r="K1265" s="30"/>
      <c r="L1265" s="31"/>
      <c r="M1265" s="32"/>
      <c r="N1265" s="30"/>
      <c r="O1265" s="30"/>
      <c r="P1265" s="39"/>
      <c r="Q1265" s="34"/>
      <c r="R1265" s="35"/>
      <c r="S1265" s="36"/>
      <c r="T1265" s="35"/>
      <c r="U1265" s="36"/>
      <c r="V1265" s="37"/>
    </row>
    <row r="1266" spans="1:22" x14ac:dyDescent="0.25">
      <c r="A1266" s="27"/>
      <c r="B1266" s="27"/>
      <c r="C1266" s="27"/>
      <c r="D1266" s="27"/>
      <c r="E1266" s="27"/>
      <c r="F1266" s="27"/>
      <c r="G1266" s="27"/>
      <c r="H1266" s="28"/>
      <c r="I1266" s="27"/>
      <c r="J1266" s="29"/>
      <c r="K1266" s="30"/>
      <c r="L1266" s="31"/>
      <c r="M1266" s="32"/>
      <c r="N1266" s="30"/>
      <c r="O1266" s="30"/>
      <c r="P1266" s="39"/>
      <c r="Q1266" s="34"/>
      <c r="R1266" s="35"/>
      <c r="S1266" s="36"/>
      <c r="T1266" s="35"/>
      <c r="U1266" s="36"/>
      <c r="V1266" s="37"/>
    </row>
    <row r="1267" spans="1:22" x14ac:dyDescent="0.25">
      <c r="A1267" s="27"/>
      <c r="B1267" s="27"/>
      <c r="C1267" s="27"/>
      <c r="D1267" s="27"/>
      <c r="E1267" s="27"/>
      <c r="F1267" s="27"/>
      <c r="G1267" s="27"/>
      <c r="H1267" s="28"/>
      <c r="I1267" s="27"/>
      <c r="J1267" s="29"/>
      <c r="K1267" s="30"/>
      <c r="L1267" s="31"/>
      <c r="M1267" s="32"/>
      <c r="N1267" s="30"/>
      <c r="O1267" s="30"/>
      <c r="P1267" s="39"/>
      <c r="Q1267" s="34"/>
      <c r="R1267" s="35"/>
      <c r="S1267" s="36"/>
      <c r="T1267" s="35"/>
      <c r="U1267" s="36"/>
      <c r="V1267" s="37"/>
    </row>
    <row r="1268" spans="1:22" x14ac:dyDescent="0.25">
      <c r="A1268" s="27"/>
      <c r="B1268" s="27"/>
      <c r="C1268" s="27"/>
      <c r="D1268" s="27"/>
      <c r="E1268" s="27"/>
      <c r="F1268" s="27"/>
      <c r="G1268" s="27"/>
      <c r="H1268" s="28"/>
      <c r="I1268" s="27"/>
      <c r="J1268" s="29"/>
      <c r="K1268" s="30"/>
      <c r="L1268" s="31"/>
      <c r="M1268" s="32"/>
      <c r="N1268" s="30"/>
      <c r="O1268" s="30"/>
      <c r="P1268" s="39"/>
      <c r="Q1268" s="34"/>
      <c r="R1268" s="35"/>
      <c r="S1268" s="36"/>
      <c r="T1268" s="35"/>
      <c r="U1268" s="36"/>
      <c r="V1268" s="37"/>
    </row>
    <row r="1269" spans="1:22" x14ac:dyDescent="0.25">
      <c r="A1269" s="27"/>
      <c r="B1269" s="27"/>
      <c r="C1269" s="27"/>
      <c r="D1269" s="27"/>
      <c r="E1269" s="27"/>
      <c r="F1269" s="27"/>
      <c r="G1269" s="27"/>
      <c r="H1269" s="28"/>
      <c r="I1269" s="27"/>
      <c r="J1269" s="29"/>
      <c r="K1269" s="30"/>
      <c r="L1269" s="31"/>
      <c r="M1269" s="32"/>
      <c r="N1269" s="30"/>
      <c r="O1269" s="30"/>
      <c r="P1269" s="39"/>
      <c r="Q1269" s="34"/>
      <c r="R1269" s="35"/>
      <c r="S1269" s="36"/>
      <c r="T1269" s="35"/>
      <c r="U1269" s="36"/>
      <c r="V1269" s="37"/>
    </row>
    <row r="1270" spans="1:22" x14ac:dyDescent="0.25">
      <c r="A1270" s="27"/>
      <c r="B1270" s="27"/>
      <c r="C1270" s="27"/>
      <c r="D1270" s="27"/>
      <c r="E1270" s="27"/>
      <c r="F1270" s="27"/>
      <c r="G1270" s="27"/>
      <c r="H1270" s="28"/>
      <c r="I1270" s="27"/>
      <c r="J1270" s="29"/>
      <c r="K1270" s="30"/>
      <c r="L1270" s="31"/>
      <c r="M1270" s="32"/>
      <c r="N1270" s="30"/>
      <c r="O1270" s="30"/>
      <c r="P1270" s="39"/>
      <c r="Q1270" s="34"/>
      <c r="R1270" s="35"/>
      <c r="S1270" s="36"/>
      <c r="T1270" s="35"/>
      <c r="U1270" s="36"/>
      <c r="V1270" s="37"/>
    </row>
    <row r="1271" spans="1:22" x14ac:dyDescent="0.25">
      <c r="A1271" s="27"/>
      <c r="B1271" s="27"/>
      <c r="C1271" s="27"/>
      <c r="D1271" s="27"/>
      <c r="E1271" s="27"/>
      <c r="F1271" s="27"/>
      <c r="G1271" s="27"/>
      <c r="H1271" s="28"/>
      <c r="I1271" s="27"/>
      <c r="J1271" s="29"/>
      <c r="K1271" s="30"/>
      <c r="L1271" s="31"/>
      <c r="M1271" s="32"/>
      <c r="N1271" s="30"/>
      <c r="O1271" s="30"/>
      <c r="P1271" s="39"/>
      <c r="Q1271" s="34"/>
      <c r="R1271" s="35"/>
      <c r="S1271" s="36"/>
      <c r="T1271" s="35"/>
      <c r="U1271" s="36"/>
      <c r="V1271" s="37"/>
    </row>
    <row r="1272" spans="1:22" x14ac:dyDescent="0.25">
      <c r="A1272" s="27"/>
      <c r="B1272" s="27"/>
      <c r="C1272" s="27"/>
      <c r="D1272" s="27"/>
      <c r="E1272" s="27"/>
      <c r="F1272" s="27"/>
      <c r="G1272" s="27"/>
      <c r="H1272" s="28"/>
      <c r="I1272" s="27"/>
      <c r="J1272" s="29"/>
      <c r="K1272" s="30"/>
      <c r="L1272" s="31"/>
      <c r="M1272" s="32"/>
      <c r="N1272" s="30"/>
      <c r="O1272" s="30"/>
      <c r="P1272" s="39"/>
      <c r="Q1272" s="34"/>
      <c r="R1272" s="35"/>
      <c r="S1272" s="36"/>
      <c r="T1272" s="35"/>
      <c r="U1272" s="36"/>
      <c r="V1272" s="37"/>
    </row>
    <row r="1273" spans="1:22" x14ac:dyDescent="0.25">
      <c r="A1273" s="27"/>
      <c r="B1273" s="27"/>
      <c r="C1273" s="27"/>
      <c r="D1273" s="27"/>
      <c r="E1273" s="27"/>
      <c r="F1273" s="27"/>
      <c r="G1273" s="27"/>
      <c r="H1273" s="28"/>
      <c r="I1273" s="27"/>
      <c r="J1273" s="29"/>
      <c r="K1273" s="30"/>
      <c r="L1273" s="31"/>
      <c r="M1273" s="32"/>
      <c r="N1273" s="30"/>
      <c r="O1273" s="30"/>
      <c r="P1273" s="39"/>
      <c r="Q1273" s="34"/>
      <c r="R1273" s="35"/>
      <c r="S1273" s="36"/>
      <c r="T1273" s="35"/>
      <c r="U1273" s="36"/>
      <c r="V1273" s="37"/>
    </row>
    <row r="1274" spans="1:22" x14ac:dyDescent="0.25">
      <c r="A1274" s="27"/>
      <c r="B1274" s="27"/>
      <c r="C1274" s="27"/>
      <c r="D1274" s="27"/>
      <c r="E1274" s="27"/>
      <c r="F1274" s="27"/>
      <c r="G1274" s="27"/>
      <c r="H1274" s="28"/>
      <c r="I1274" s="27"/>
      <c r="J1274" s="29"/>
      <c r="K1274" s="30"/>
      <c r="L1274" s="31"/>
      <c r="M1274" s="32"/>
      <c r="N1274" s="30"/>
      <c r="O1274" s="30"/>
      <c r="P1274" s="39"/>
      <c r="Q1274" s="34"/>
      <c r="R1274" s="35"/>
      <c r="S1274" s="36"/>
      <c r="T1274" s="35"/>
      <c r="U1274" s="36"/>
      <c r="V1274" s="37"/>
    </row>
    <row r="1275" spans="1:22" x14ac:dyDescent="0.25">
      <c r="A1275" s="27"/>
      <c r="B1275" s="27"/>
      <c r="C1275" s="27"/>
      <c r="D1275" s="27"/>
      <c r="E1275" s="27"/>
      <c r="F1275" s="27"/>
      <c r="G1275" s="27"/>
      <c r="H1275" s="28"/>
      <c r="I1275" s="27"/>
      <c r="J1275" s="29"/>
      <c r="K1275" s="30"/>
      <c r="L1275" s="31"/>
      <c r="M1275" s="32"/>
      <c r="N1275" s="30"/>
      <c r="O1275" s="30"/>
      <c r="P1275" s="39"/>
      <c r="Q1275" s="34"/>
      <c r="R1275" s="35"/>
      <c r="S1275" s="36"/>
      <c r="T1275" s="35"/>
      <c r="U1275" s="36"/>
      <c r="V1275" s="37"/>
    </row>
    <row r="1276" spans="1:22" x14ac:dyDescent="0.25">
      <c r="A1276" s="27"/>
      <c r="B1276" s="27"/>
      <c r="C1276" s="27"/>
      <c r="D1276" s="27"/>
      <c r="E1276" s="27"/>
      <c r="F1276" s="27"/>
      <c r="G1276" s="27"/>
      <c r="H1276" s="28"/>
      <c r="I1276" s="27"/>
      <c r="J1276" s="29"/>
      <c r="K1276" s="30"/>
      <c r="L1276" s="31"/>
      <c r="M1276" s="32"/>
      <c r="N1276" s="30"/>
      <c r="O1276" s="30"/>
      <c r="P1276" s="39"/>
      <c r="Q1276" s="34"/>
      <c r="R1276" s="35"/>
      <c r="S1276" s="36"/>
      <c r="T1276" s="35"/>
      <c r="U1276" s="36"/>
      <c r="V1276" s="37"/>
    </row>
    <row r="1277" spans="1:22" x14ac:dyDescent="0.25">
      <c r="A1277" s="27"/>
      <c r="B1277" s="27"/>
      <c r="C1277" s="27"/>
      <c r="D1277" s="27"/>
      <c r="E1277" s="27"/>
      <c r="F1277" s="27"/>
      <c r="G1277" s="27"/>
      <c r="H1277" s="28"/>
      <c r="I1277" s="27"/>
      <c r="J1277" s="29"/>
      <c r="K1277" s="30"/>
      <c r="L1277" s="31"/>
      <c r="M1277" s="32"/>
      <c r="N1277" s="30"/>
      <c r="O1277" s="30"/>
      <c r="P1277" s="39"/>
      <c r="Q1277" s="34"/>
      <c r="R1277" s="35"/>
      <c r="S1277" s="36"/>
      <c r="T1277" s="35"/>
      <c r="U1277" s="36"/>
      <c r="V1277" s="37"/>
    </row>
    <row r="1278" spans="1:22" x14ac:dyDescent="0.25">
      <c r="A1278" s="27"/>
      <c r="B1278" s="27"/>
      <c r="C1278" s="27"/>
      <c r="D1278" s="27"/>
      <c r="E1278" s="27"/>
      <c r="F1278" s="27"/>
      <c r="G1278" s="27"/>
      <c r="H1278" s="28"/>
      <c r="I1278" s="27"/>
      <c r="J1278" s="29"/>
      <c r="K1278" s="30"/>
      <c r="L1278" s="31"/>
      <c r="M1278" s="32"/>
      <c r="N1278" s="30"/>
      <c r="O1278" s="30"/>
      <c r="P1278" s="39"/>
      <c r="Q1278" s="34"/>
      <c r="R1278" s="35"/>
      <c r="S1278" s="36"/>
      <c r="T1278" s="35"/>
      <c r="U1278" s="36"/>
      <c r="V1278" s="37"/>
    </row>
    <row r="1279" spans="1:22" x14ac:dyDescent="0.25">
      <c r="A1279" s="27"/>
      <c r="B1279" s="27"/>
      <c r="C1279" s="27"/>
      <c r="D1279" s="27"/>
      <c r="E1279" s="27"/>
      <c r="F1279" s="27"/>
      <c r="G1279" s="27"/>
      <c r="H1279" s="28"/>
      <c r="I1279" s="27"/>
      <c r="J1279" s="29"/>
      <c r="K1279" s="30"/>
      <c r="L1279" s="31"/>
      <c r="M1279" s="32"/>
      <c r="N1279" s="30"/>
      <c r="O1279" s="30"/>
      <c r="P1279" s="39"/>
      <c r="Q1279" s="34"/>
      <c r="R1279" s="35"/>
      <c r="S1279" s="36"/>
      <c r="T1279" s="35"/>
      <c r="U1279" s="36"/>
      <c r="V1279" s="37"/>
    </row>
    <row r="1280" spans="1:22" x14ac:dyDescent="0.25">
      <c r="A1280" s="27"/>
      <c r="B1280" s="27"/>
      <c r="C1280" s="27"/>
      <c r="D1280" s="27"/>
      <c r="E1280" s="27"/>
      <c r="F1280" s="27"/>
      <c r="G1280" s="27"/>
      <c r="H1280" s="28"/>
      <c r="I1280" s="27"/>
      <c r="J1280" s="29"/>
      <c r="K1280" s="30"/>
      <c r="L1280" s="31"/>
      <c r="M1280" s="32"/>
      <c r="N1280" s="30"/>
      <c r="O1280" s="30"/>
      <c r="P1280" s="39"/>
      <c r="Q1280" s="34"/>
      <c r="R1280" s="35"/>
      <c r="S1280" s="36"/>
      <c r="T1280" s="35"/>
      <c r="U1280" s="36"/>
      <c r="V1280" s="37"/>
    </row>
    <row r="1281" spans="1:22" x14ac:dyDescent="0.25">
      <c r="A1281" s="27"/>
      <c r="B1281" s="27"/>
      <c r="C1281" s="27"/>
      <c r="D1281" s="27"/>
      <c r="E1281" s="27"/>
      <c r="F1281" s="27"/>
      <c r="G1281" s="27"/>
      <c r="H1281" s="28"/>
      <c r="I1281" s="27"/>
      <c r="J1281" s="29"/>
      <c r="K1281" s="30"/>
      <c r="L1281" s="31"/>
      <c r="M1281" s="32"/>
      <c r="N1281" s="30"/>
      <c r="O1281" s="30"/>
      <c r="P1281" s="39"/>
      <c r="Q1281" s="34"/>
      <c r="R1281" s="35"/>
      <c r="S1281" s="36"/>
      <c r="T1281" s="35"/>
      <c r="U1281" s="36"/>
      <c r="V1281" s="37"/>
    </row>
    <row r="1282" spans="1:22" x14ac:dyDescent="0.25">
      <c r="A1282" s="27"/>
      <c r="B1282" s="27"/>
      <c r="C1282" s="27"/>
      <c r="D1282" s="27"/>
      <c r="E1282" s="27"/>
      <c r="F1282" s="27"/>
      <c r="G1282" s="27"/>
      <c r="H1282" s="28"/>
      <c r="I1282" s="27"/>
      <c r="J1282" s="29"/>
      <c r="K1282" s="30"/>
      <c r="L1282" s="31"/>
      <c r="M1282" s="32"/>
      <c r="N1282" s="30"/>
      <c r="O1282" s="30"/>
      <c r="P1282" s="39"/>
      <c r="Q1282" s="34"/>
      <c r="R1282" s="35"/>
      <c r="S1282" s="36"/>
      <c r="T1282" s="35"/>
      <c r="U1282" s="36"/>
      <c r="V1282" s="37"/>
    </row>
    <row r="1283" spans="1:22" x14ac:dyDescent="0.25">
      <c r="A1283" s="27"/>
      <c r="B1283" s="27"/>
      <c r="C1283" s="27"/>
      <c r="D1283" s="27"/>
      <c r="E1283" s="27"/>
      <c r="F1283" s="27"/>
      <c r="G1283" s="27"/>
      <c r="H1283" s="28"/>
      <c r="I1283" s="27"/>
      <c r="J1283" s="29"/>
      <c r="K1283" s="30"/>
      <c r="L1283" s="31"/>
      <c r="M1283" s="32"/>
      <c r="N1283" s="30"/>
      <c r="O1283" s="30"/>
      <c r="P1283" s="39"/>
      <c r="Q1283" s="34"/>
      <c r="R1283" s="35"/>
      <c r="S1283" s="36"/>
      <c r="T1283" s="35"/>
      <c r="U1283" s="36"/>
      <c r="V1283" s="37"/>
    </row>
    <row r="1284" spans="1:22" x14ac:dyDescent="0.25">
      <c r="A1284" s="27"/>
      <c r="B1284" s="27"/>
      <c r="C1284" s="27"/>
      <c r="D1284" s="27"/>
      <c r="E1284" s="27"/>
      <c r="F1284" s="27"/>
      <c r="G1284" s="27"/>
      <c r="H1284" s="28"/>
      <c r="I1284" s="27"/>
      <c r="J1284" s="29"/>
      <c r="K1284" s="30"/>
      <c r="L1284" s="31"/>
      <c r="M1284" s="32"/>
      <c r="N1284" s="30"/>
      <c r="O1284" s="30"/>
      <c r="P1284" s="39"/>
      <c r="Q1284" s="34"/>
      <c r="R1284" s="35"/>
      <c r="S1284" s="36"/>
      <c r="T1284" s="35"/>
      <c r="U1284" s="36"/>
      <c r="V1284" s="37"/>
    </row>
    <row r="1285" spans="1:22" x14ac:dyDescent="0.25">
      <c r="A1285" s="27"/>
      <c r="B1285" s="27"/>
      <c r="C1285" s="27"/>
      <c r="D1285" s="27"/>
      <c r="E1285" s="27"/>
      <c r="F1285" s="27"/>
      <c r="G1285" s="27"/>
      <c r="H1285" s="28"/>
      <c r="I1285" s="27"/>
      <c r="J1285" s="29"/>
      <c r="K1285" s="30"/>
      <c r="L1285" s="31"/>
      <c r="M1285" s="32"/>
      <c r="N1285" s="30"/>
      <c r="O1285" s="30"/>
      <c r="P1285" s="39"/>
      <c r="Q1285" s="34"/>
      <c r="R1285" s="35"/>
      <c r="S1285" s="36"/>
      <c r="T1285" s="35"/>
      <c r="U1285" s="36"/>
      <c r="V1285" s="37"/>
    </row>
    <row r="1286" spans="1:22" x14ac:dyDescent="0.25">
      <c r="A1286" s="27"/>
      <c r="B1286" s="27"/>
      <c r="C1286" s="27"/>
      <c r="D1286" s="27"/>
      <c r="E1286" s="27"/>
      <c r="F1286" s="27"/>
      <c r="G1286" s="27"/>
      <c r="H1286" s="28"/>
      <c r="I1286" s="27"/>
      <c r="J1286" s="29"/>
      <c r="K1286" s="30"/>
      <c r="L1286" s="31"/>
      <c r="M1286" s="32"/>
      <c r="N1286" s="30"/>
      <c r="O1286" s="30"/>
      <c r="P1286" s="39"/>
      <c r="Q1286" s="34"/>
      <c r="R1286" s="35"/>
      <c r="S1286" s="36"/>
      <c r="T1286" s="35"/>
      <c r="U1286" s="36"/>
      <c r="V1286" s="37"/>
    </row>
    <row r="1287" spans="1:22" x14ac:dyDescent="0.25">
      <c r="A1287" s="27"/>
      <c r="B1287" s="27"/>
      <c r="C1287" s="27"/>
      <c r="D1287" s="27"/>
      <c r="E1287" s="27"/>
      <c r="F1287" s="27"/>
      <c r="G1287" s="27"/>
      <c r="H1287" s="28"/>
      <c r="I1287" s="27"/>
      <c r="J1287" s="29"/>
      <c r="K1287" s="30"/>
      <c r="L1287" s="31"/>
      <c r="M1287" s="32"/>
      <c r="N1287" s="30"/>
      <c r="O1287" s="30"/>
      <c r="P1287" s="39"/>
      <c r="Q1287" s="34"/>
      <c r="R1287" s="35"/>
      <c r="S1287" s="36"/>
      <c r="T1287" s="35"/>
      <c r="U1287" s="36"/>
      <c r="V1287" s="37"/>
    </row>
    <row r="1288" spans="1:22" x14ac:dyDescent="0.25">
      <c r="A1288" s="27"/>
      <c r="B1288" s="27"/>
      <c r="C1288" s="27"/>
      <c r="D1288" s="27"/>
      <c r="E1288" s="27"/>
      <c r="F1288" s="27"/>
      <c r="G1288" s="27"/>
      <c r="H1288" s="28"/>
      <c r="I1288" s="27"/>
      <c r="J1288" s="29"/>
      <c r="K1288" s="30"/>
      <c r="L1288" s="31"/>
      <c r="M1288" s="32"/>
      <c r="N1288" s="30"/>
      <c r="O1288" s="30"/>
      <c r="P1288" s="39"/>
      <c r="Q1288" s="34"/>
      <c r="R1288" s="35"/>
      <c r="S1288" s="36"/>
      <c r="T1288" s="35"/>
      <c r="U1288" s="36"/>
      <c r="V1288" s="37"/>
    </row>
    <row r="1289" spans="1:22" x14ac:dyDescent="0.25">
      <c r="A1289" s="27"/>
      <c r="B1289" s="27"/>
      <c r="C1289" s="27"/>
      <c r="D1289" s="27"/>
      <c r="E1289" s="27"/>
      <c r="F1289" s="27"/>
      <c r="G1289" s="27"/>
      <c r="H1289" s="28"/>
      <c r="I1289" s="27"/>
      <c r="J1289" s="29"/>
      <c r="K1289" s="30"/>
      <c r="L1289" s="31"/>
      <c r="M1289" s="32"/>
      <c r="N1289" s="30"/>
      <c r="O1289" s="30"/>
      <c r="P1289" s="39"/>
      <c r="Q1289" s="34"/>
      <c r="R1289" s="35"/>
      <c r="S1289" s="36"/>
      <c r="T1289" s="35"/>
      <c r="U1289" s="36"/>
      <c r="V1289" s="37"/>
    </row>
    <row r="1290" spans="1:22" x14ac:dyDescent="0.25">
      <c r="A1290" s="27"/>
      <c r="B1290" s="27"/>
      <c r="C1290" s="27"/>
      <c r="D1290" s="27"/>
      <c r="E1290" s="27"/>
      <c r="F1290" s="27"/>
      <c r="G1290" s="27"/>
      <c r="H1290" s="28"/>
      <c r="I1290" s="27"/>
      <c r="J1290" s="29"/>
      <c r="K1290" s="30"/>
      <c r="L1290" s="31"/>
      <c r="M1290" s="32"/>
      <c r="N1290" s="30"/>
      <c r="O1290" s="30"/>
      <c r="P1290" s="39"/>
      <c r="Q1290" s="34"/>
      <c r="R1290" s="35"/>
      <c r="S1290" s="36"/>
      <c r="T1290" s="35"/>
      <c r="U1290" s="36"/>
      <c r="V1290" s="37"/>
    </row>
    <row r="1291" spans="1:22" x14ac:dyDescent="0.25">
      <c r="A1291" s="27"/>
      <c r="B1291" s="27"/>
      <c r="C1291" s="27"/>
      <c r="D1291" s="27"/>
      <c r="E1291" s="27"/>
      <c r="F1291" s="27"/>
      <c r="G1291" s="27"/>
      <c r="H1291" s="28"/>
      <c r="I1291" s="27"/>
      <c r="J1291" s="29"/>
      <c r="K1291" s="30"/>
      <c r="L1291" s="31"/>
      <c r="M1291" s="32"/>
      <c r="N1291" s="30"/>
      <c r="O1291" s="30"/>
      <c r="P1291" s="39"/>
      <c r="Q1291" s="34"/>
      <c r="R1291" s="35"/>
      <c r="S1291" s="36"/>
      <c r="T1291" s="35"/>
      <c r="U1291" s="36"/>
      <c r="V1291" s="37"/>
    </row>
    <row r="1292" spans="1:22" x14ac:dyDescent="0.25">
      <c r="A1292" s="27"/>
      <c r="B1292" s="27"/>
      <c r="C1292" s="27"/>
      <c r="D1292" s="27"/>
      <c r="E1292" s="27"/>
      <c r="F1292" s="27"/>
      <c r="G1292" s="27"/>
      <c r="H1292" s="28"/>
      <c r="I1292" s="27"/>
      <c r="J1292" s="29"/>
      <c r="K1292" s="30"/>
      <c r="L1292" s="31"/>
      <c r="M1292" s="32"/>
      <c r="N1292" s="30"/>
      <c r="O1292" s="30"/>
      <c r="P1292" s="39"/>
      <c r="Q1292" s="34"/>
      <c r="R1292" s="35"/>
      <c r="S1292" s="36"/>
      <c r="T1292" s="35"/>
      <c r="U1292" s="36"/>
      <c r="V1292" s="37"/>
    </row>
    <row r="1293" spans="1:22" x14ac:dyDescent="0.25">
      <c r="A1293" s="27"/>
      <c r="B1293" s="27"/>
      <c r="C1293" s="27"/>
      <c r="D1293" s="27"/>
      <c r="E1293" s="27"/>
      <c r="F1293" s="27"/>
      <c r="G1293" s="27"/>
      <c r="H1293" s="28"/>
      <c r="I1293" s="27"/>
      <c r="J1293" s="29"/>
      <c r="K1293" s="30"/>
      <c r="L1293" s="31"/>
      <c r="M1293" s="32"/>
      <c r="N1293" s="30"/>
      <c r="O1293" s="30"/>
      <c r="P1293" s="39"/>
      <c r="Q1293" s="34"/>
      <c r="R1293" s="35"/>
      <c r="S1293" s="36"/>
      <c r="T1293" s="35"/>
      <c r="U1293" s="36"/>
      <c r="V1293" s="37"/>
    </row>
    <row r="1294" spans="1:22" x14ac:dyDescent="0.25">
      <c r="A1294" s="27"/>
      <c r="B1294" s="27"/>
      <c r="C1294" s="27"/>
      <c r="D1294" s="27"/>
      <c r="E1294" s="27"/>
      <c r="F1294" s="27"/>
      <c r="G1294" s="27"/>
      <c r="H1294" s="28"/>
      <c r="I1294" s="27"/>
      <c r="J1294" s="29"/>
      <c r="K1294" s="30"/>
      <c r="L1294" s="31"/>
      <c r="M1294" s="32"/>
      <c r="N1294" s="30"/>
      <c r="O1294" s="30"/>
      <c r="P1294" s="39"/>
      <c r="Q1294" s="34"/>
      <c r="R1294" s="35"/>
      <c r="S1294" s="36"/>
      <c r="T1294" s="35"/>
      <c r="U1294" s="36"/>
      <c r="V1294" s="37"/>
    </row>
    <row r="1295" spans="1:22" x14ac:dyDescent="0.25">
      <c r="A1295" s="27"/>
      <c r="B1295" s="27"/>
      <c r="C1295" s="27"/>
      <c r="D1295" s="27"/>
      <c r="E1295" s="27"/>
      <c r="F1295" s="27"/>
      <c r="G1295" s="27"/>
      <c r="H1295" s="28"/>
      <c r="I1295" s="27"/>
      <c r="J1295" s="29"/>
      <c r="K1295" s="30"/>
      <c r="L1295" s="31"/>
      <c r="M1295" s="32"/>
      <c r="N1295" s="30"/>
      <c r="O1295" s="30"/>
      <c r="P1295" s="39"/>
      <c r="Q1295" s="34"/>
      <c r="R1295" s="35"/>
      <c r="S1295" s="36"/>
      <c r="T1295" s="35"/>
      <c r="U1295" s="36"/>
      <c r="V1295" s="37"/>
    </row>
    <row r="1296" spans="1:22" x14ac:dyDescent="0.25">
      <c r="A1296" s="27"/>
      <c r="B1296" s="27"/>
      <c r="C1296" s="27"/>
      <c r="D1296" s="27"/>
      <c r="E1296" s="27"/>
      <c r="F1296" s="27"/>
      <c r="G1296" s="27"/>
      <c r="H1296" s="28"/>
      <c r="I1296" s="27"/>
      <c r="J1296" s="29"/>
      <c r="K1296" s="30"/>
      <c r="L1296" s="31"/>
      <c r="M1296" s="32"/>
      <c r="N1296" s="30"/>
      <c r="O1296" s="30"/>
      <c r="P1296" s="39"/>
      <c r="Q1296" s="34"/>
      <c r="R1296" s="35"/>
      <c r="S1296" s="36"/>
      <c r="T1296" s="35"/>
      <c r="U1296" s="36"/>
      <c r="V1296" s="37"/>
    </row>
    <row r="1297" spans="1:22" x14ac:dyDescent="0.25">
      <c r="A1297" s="27"/>
      <c r="B1297" s="27"/>
      <c r="C1297" s="27"/>
      <c r="D1297" s="27"/>
      <c r="E1297" s="27"/>
      <c r="F1297" s="27"/>
      <c r="G1297" s="27"/>
      <c r="H1297" s="28"/>
      <c r="I1297" s="27"/>
      <c r="J1297" s="29"/>
      <c r="K1297" s="30"/>
      <c r="L1297" s="31"/>
      <c r="M1297" s="32"/>
      <c r="N1297" s="30"/>
      <c r="O1297" s="30"/>
      <c r="P1297" s="39"/>
      <c r="Q1297" s="34"/>
      <c r="R1297" s="35"/>
      <c r="S1297" s="36"/>
      <c r="T1297" s="35"/>
      <c r="U1297" s="36"/>
      <c r="V1297" s="37"/>
    </row>
    <row r="1298" spans="1:22" x14ac:dyDescent="0.25">
      <c r="A1298" s="27"/>
      <c r="B1298" s="27"/>
      <c r="C1298" s="27"/>
      <c r="D1298" s="27"/>
      <c r="E1298" s="27"/>
      <c r="F1298" s="27"/>
      <c r="G1298" s="27"/>
      <c r="H1298" s="28"/>
      <c r="I1298" s="27"/>
      <c r="J1298" s="29"/>
      <c r="K1298" s="30"/>
      <c r="L1298" s="31"/>
      <c r="M1298" s="32"/>
      <c r="N1298" s="30"/>
      <c r="O1298" s="30"/>
      <c r="P1298" s="39"/>
      <c r="Q1298" s="34"/>
      <c r="R1298" s="35"/>
      <c r="S1298" s="36"/>
      <c r="T1298" s="35"/>
      <c r="U1298" s="36"/>
      <c r="V1298" s="37"/>
    </row>
    <row r="1299" spans="1:22" x14ac:dyDescent="0.25">
      <c r="A1299" s="27"/>
      <c r="B1299" s="27"/>
      <c r="C1299" s="27"/>
      <c r="D1299" s="27"/>
      <c r="E1299" s="27"/>
      <c r="F1299" s="27"/>
      <c r="G1299" s="27"/>
      <c r="H1299" s="28"/>
      <c r="I1299" s="27"/>
      <c r="J1299" s="29"/>
      <c r="K1299" s="30"/>
      <c r="L1299" s="31"/>
      <c r="M1299" s="32"/>
      <c r="N1299" s="30"/>
      <c r="O1299" s="30"/>
      <c r="P1299" s="39"/>
      <c r="Q1299" s="34"/>
      <c r="R1299" s="35"/>
      <c r="S1299" s="36"/>
      <c r="T1299" s="35"/>
      <c r="U1299" s="36"/>
      <c r="V1299" s="37"/>
    </row>
    <row r="1300" spans="1:22" x14ac:dyDescent="0.25">
      <c r="A1300" s="27"/>
      <c r="B1300" s="27"/>
      <c r="C1300" s="27"/>
      <c r="D1300" s="27"/>
      <c r="E1300" s="27"/>
      <c r="F1300" s="27"/>
      <c r="G1300" s="27"/>
      <c r="H1300" s="28"/>
      <c r="I1300" s="27"/>
      <c r="J1300" s="29"/>
      <c r="K1300" s="30"/>
      <c r="L1300" s="31"/>
      <c r="M1300" s="32"/>
      <c r="N1300" s="30"/>
      <c r="O1300" s="30"/>
      <c r="P1300" s="39"/>
      <c r="Q1300" s="34"/>
      <c r="R1300" s="35"/>
      <c r="S1300" s="36"/>
      <c r="T1300" s="35"/>
      <c r="U1300" s="36"/>
      <c r="V1300" s="37"/>
    </row>
    <row r="1301" spans="1:22" x14ac:dyDescent="0.25">
      <c r="A1301" s="27"/>
      <c r="B1301" s="27"/>
      <c r="C1301" s="27"/>
      <c r="D1301" s="27"/>
      <c r="E1301" s="27"/>
      <c r="F1301" s="27"/>
      <c r="G1301" s="27"/>
      <c r="H1301" s="28"/>
      <c r="I1301" s="27"/>
      <c r="J1301" s="29"/>
      <c r="K1301" s="30"/>
      <c r="L1301" s="31"/>
      <c r="M1301" s="32"/>
      <c r="N1301" s="30"/>
      <c r="O1301" s="30"/>
      <c r="P1301" s="39"/>
      <c r="Q1301" s="34"/>
      <c r="R1301" s="35"/>
      <c r="S1301" s="36"/>
      <c r="T1301" s="35"/>
      <c r="U1301" s="36"/>
      <c r="V1301" s="37"/>
    </row>
    <row r="1302" spans="1:22" x14ac:dyDescent="0.25">
      <c r="A1302" s="27"/>
      <c r="B1302" s="27"/>
      <c r="C1302" s="27"/>
      <c r="D1302" s="27"/>
      <c r="E1302" s="27"/>
      <c r="F1302" s="27"/>
      <c r="G1302" s="27"/>
      <c r="H1302" s="28"/>
      <c r="I1302" s="27"/>
      <c r="J1302" s="29"/>
      <c r="K1302" s="30"/>
      <c r="L1302" s="31"/>
      <c r="M1302" s="32"/>
      <c r="N1302" s="30"/>
      <c r="O1302" s="30"/>
      <c r="P1302" s="39"/>
      <c r="Q1302" s="34"/>
      <c r="R1302" s="35"/>
      <c r="S1302" s="36"/>
      <c r="T1302" s="35"/>
      <c r="U1302" s="36"/>
      <c r="V1302" s="37"/>
    </row>
    <row r="1303" spans="1:22" x14ac:dyDescent="0.25">
      <c r="A1303" s="27"/>
      <c r="B1303" s="27"/>
      <c r="C1303" s="27"/>
      <c r="D1303" s="27"/>
      <c r="E1303" s="27"/>
      <c r="F1303" s="27"/>
      <c r="G1303" s="27"/>
      <c r="H1303" s="28"/>
      <c r="I1303" s="27"/>
      <c r="J1303" s="29"/>
      <c r="K1303" s="30"/>
      <c r="L1303" s="31"/>
      <c r="M1303" s="32"/>
      <c r="N1303" s="30"/>
      <c r="O1303" s="30"/>
      <c r="P1303" s="39"/>
      <c r="Q1303" s="34"/>
      <c r="R1303" s="35"/>
      <c r="S1303" s="36"/>
      <c r="T1303" s="35"/>
      <c r="U1303" s="36"/>
      <c r="V1303" s="37"/>
    </row>
    <row r="1304" spans="1:22" x14ac:dyDescent="0.25">
      <c r="A1304" s="27"/>
      <c r="B1304" s="27"/>
      <c r="C1304" s="27"/>
      <c r="D1304" s="27"/>
      <c r="E1304" s="27"/>
      <c r="F1304" s="27"/>
      <c r="G1304" s="27"/>
      <c r="H1304" s="28"/>
      <c r="I1304" s="27"/>
      <c r="J1304" s="29"/>
      <c r="K1304" s="30"/>
      <c r="L1304" s="31"/>
      <c r="M1304" s="32"/>
      <c r="N1304" s="30"/>
      <c r="O1304" s="30"/>
      <c r="P1304" s="39"/>
      <c r="Q1304" s="34"/>
      <c r="R1304" s="35"/>
      <c r="S1304" s="36"/>
      <c r="T1304" s="35"/>
      <c r="U1304" s="36"/>
      <c r="V1304" s="37"/>
    </row>
    <row r="1305" spans="1:22" x14ac:dyDescent="0.25">
      <c r="A1305" s="27"/>
      <c r="B1305" s="27"/>
      <c r="C1305" s="27"/>
      <c r="D1305" s="27"/>
      <c r="E1305" s="27"/>
      <c r="F1305" s="27"/>
      <c r="G1305" s="27"/>
      <c r="H1305" s="28"/>
      <c r="I1305" s="27"/>
      <c r="J1305" s="29"/>
      <c r="K1305" s="30"/>
      <c r="L1305" s="31"/>
      <c r="M1305" s="32"/>
      <c r="N1305" s="30"/>
      <c r="O1305" s="30"/>
      <c r="P1305" s="39"/>
      <c r="Q1305" s="34"/>
      <c r="R1305" s="35"/>
      <c r="S1305" s="36"/>
      <c r="T1305" s="35"/>
      <c r="U1305" s="36"/>
      <c r="V1305" s="37"/>
    </row>
    <row r="1306" spans="1:22" x14ac:dyDescent="0.25">
      <c r="A1306" s="27"/>
      <c r="B1306" s="27"/>
      <c r="C1306" s="27"/>
      <c r="D1306" s="27"/>
      <c r="E1306" s="27"/>
      <c r="F1306" s="27"/>
      <c r="G1306" s="27"/>
      <c r="H1306" s="28"/>
      <c r="I1306" s="27"/>
      <c r="J1306" s="29"/>
      <c r="K1306" s="30"/>
      <c r="L1306" s="31"/>
      <c r="M1306" s="32"/>
      <c r="N1306" s="30"/>
      <c r="O1306" s="30"/>
      <c r="P1306" s="39"/>
      <c r="Q1306" s="34"/>
      <c r="R1306" s="35"/>
      <c r="S1306" s="36"/>
      <c r="T1306" s="35"/>
      <c r="U1306" s="36"/>
      <c r="V1306" s="37"/>
    </row>
    <row r="1307" spans="1:22" x14ac:dyDescent="0.25">
      <c r="A1307" s="27"/>
      <c r="B1307" s="27"/>
      <c r="C1307" s="27"/>
      <c r="D1307" s="27"/>
      <c r="E1307" s="27"/>
      <c r="F1307" s="27"/>
      <c r="G1307" s="27"/>
      <c r="H1307" s="28"/>
      <c r="I1307" s="27"/>
      <c r="J1307" s="29"/>
      <c r="K1307" s="30"/>
      <c r="L1307" s="31"/>
      <c r="M1307" s="32"/>
      <c r="N1307" s="30"/>
      <c r="O1307" s="30"/>
      <c r="P1307" s="39"/>
      <c r="Q1307" s="34"/>
      <c r="R1307" s="35"/>
      <c r="S1307" s="36"/>
      <c r="T1307" s="35"/>
      <c r="U1307" s="36"/>
      <c r="V1307" s="37"/>
    </row>
    <row r="1308" spans="1:22" x14ac:dyDescent="0.25">
      <c r="A1308" s="27"/>
      <c r="B1308" s="27"/>
      <c r="C1308" s="27"/>
      <c r="D1308" s="27"/>
      <c r="E1308" s="27"/>
      <c r="F1308" s="27"/>
      <c r="G1308" s="27"/>
      <c r="H1308" s="28"/>
      <c r="I1308" s="27"/>
      <c r="J1308" s="29"/>
      <c r="K1308" s="30"/>
      <c r="L1308" s="31"/>
      <c r="M1308" s="32"/>
      <c r="N1308" s="30"/>
      <c r="O1308" s="30"/>
      <c r="P1308" s="39"/>
      <c r="Q1308" s="34"/>
      <c r="R1308" s="35"/>
      <c r="S1308" s="36"/>
      <c r="T1308" s="35"/>
      <c r="U1308" s="36"/>
      <c r="V1308" s="37"/>
    </row>
    <row r="1309" spans="1:22" x14ac:dyDescent="0.25">
      <c r="A1309" s="27"/>
      <c r="B1309" s="27"/>
      <c r="C1309" s="27"/>
      <c r="D1309" s="27"/>
      <c r="E1309" s="27"/>
      <c r="F1309" s="27"/>
      <c r="G1309" s="27"/>
      <c r="H1309" s="28"/>
      <c r="I1309" s="27"/>
      <c r="J1309" s="29"/>
      <c r="K1309" s="30"/>
      <c r="L1309" s="31"/>
      <c r="M1309" s="32"/>
      <c r="N1309" s="30"/>
      <c r="O1309" s="30"/>
      <c r="P1309" s="39"/>
      <c r="Q1309" s="34"/>
      <c r="R1309" s="35"/>
      <c r="S1309" s="36"/>
      <c r="T1309" s="35"/>
      <c r="U1309" s="36"/>
      <c r="V1309" s="37"/>
    </row>
    <row r="1310" spans="1:22" x14ac:dyDescent="0.25">
      <c r="A1310" s="27"/>
      <c r="B1310" s="27"/>
      <c r="C1310" s="27"/>
      <c r="D1310" s="27"/>
      <c r="E1310" s="27"/>
      <c r="F1310" s="27"/>
      <c r="G1310" s="27"/>
      <c r="H1310" s="28"/>
      <c r="I1310" s="27"/>
      <c r="J1310" s="29"/>
      <c r="K1310" s="30"/>
      <c r="L1310" s="31"/>
      <c r="M1310" s="32"/>
      <c r="N1310" s="30"/>
      <c r="O1310" s="30"/>
      <c r="P1310" s="39"/>
      <c r="Q1310" s="34"/>
      <c r="R1310" s="35"/>
      <c r="S1310" s="36"/>
      <c r="T1310" s="35"/>
      <c r="U1310" s="36"/>
      <c r="V1310" s="37"/>
    </row>
    <row r="1311" spans="1:22" x14ac:dyDescent="0.25">
      <c r="A1311" s="27"/>
      <c r="B1311" s="27"/>
      <c r="C1311" s="27"/>
      <c r="D1311" s="27"/>
      <c r="E1311" s="27"/>
      <c r="F1311" s="27"/>
      <c r="G1311" s="27"/>
      <c r="H1311" s="28"/>
      <c r="I1311" s="27"/>
      <c r="J1311" s="29"/>
      <c r="K1311" s="30"/>
      <c r="L1311" s="31"/>
      <c r="M1311" s="32"/>
      <c r="N1311" s="30"/>
      <c r="O1311" s="30"/>
      <c r="P1311" s="39"/>
      <c r="Q1311" s="34"/>
      <c r="R1311" s="35"/>
      <c r="S1311" s="36"/>
      <c r="T1311" s="35"/>
      <c r="U1311" s="36"/>
      <c r="V1311" s="37"/>
    </row>
    <row r="1312" spans="1:22" x14ac:dyDescent="0.25">
      <c r="A1312" s="27"/>
      <c r="B1312" s="27"/>
      <c r="C1312" s="27"/>
      <c r="D1312" s="27"/>
      <c r="E1312" s="27"/>
      <c r="F1312" s="27"/>
      <c r="G1312" s="27"/>
      <c r="H1312" s="28"/>
      <c r="I1312" s="27"/>
      <c r="J1312" s="29"/>
      <c r="K1312" s="30"/>
      <c r="L1312" s="31"/>
      <c r="M1312" s="32"/>
      <c r="N1312" s="30"/>
      <c r="O1312" s="30"/>
      <c r="P1312" s="39"/>
      <c r="Q1312" s="34"/>
      <c r="R1312" s="35"/>
      <c r="S1312" s="36"/>
      <c r="T1312" s="35"/>
      <c r="U1312" s="36"/>
      <c r="V1312" s="37"/>
    </row>
    <row r="1313" spans="1:22" x14ac:dyDescent="0.25">
      <c r="A1313" s="27"/>
      <c r="B1313" s="27"/>
      <c r="C1313" s="27"/>
      <c r="D1313" s="27"/>
      <c r="E1313" s="27"/>
      <c r="F1313" s="27"/>
      <c r="G1313" s="27"/>
      <c r="H1313" s="28"/>
      <c r="I1313" s="27"/>
      <c r="J1313" s="29"/>
      <c r="K1313" s="30"/>
      <c r="L1313" s="31"/>
      <c r="M1313" s="32"/>
      <c r="N1313" s="30"/>
      <c r="O1313" s="30"/>
      <c r="P1313" s="39"/>
      <c r="Q1313" s="34"/>
      <c r="R1313" s="35"/>
      <c r="S1313" s="36"/>
      <c r="T1313" s="35"/>
      <c r="U1313" s="36"/>
      <c r="V1313" s="37"/>
    </row>
    <row r="1314" spans="1:22" x14ac:dyDescent="0.25">
      <c r="A1314" s="27"/>
      <c r="B1314" s="27"/>
      <c r="C1314" s="27"/>
      <c r="D1314" s="27"/>
      <c r="E1314" s="27"/>
      <c r="F1314" s="27"/>
      <c r="G1314" s="27"/>
      <c r="H1314" s="28"/>
      <c r="I1314" s="27"/>
      <c r="J1314" s="29"/>
      <c r="K1314" s="30"/>
      <c r="L1314" s="31"/>
      <c r="M1314" s="32"/>
      <c r="N1314" s="30"/>
      <c r="O1314" s="30"/>
      <c r="P1314" s="39"/>
      <c r="Q1314" s="34"/>
      <c r="R1314" s="35"/>
      <c r="S1314" s="36"/>
      <c r="T1314" s="35"/>
      <c r="U1314" s="36"/>
      <c r="V1314" s="37"/>
    </row>
    <row r="1315" spans="1:22" x14ac:dyDescent="0.25">
      <c r="A1315" s="27"/>
      <c r="B1315" s="27"/>
      <c r="C1315" s="27"/>
      <c r="D1315" s="27"/>
      <c r="E1315" s="27"/>
      <c r="F1315" s="27"/>
      <c r="G1315" s="27"/>
      <c r="H1315" s="28"/>
      <c r="I1315" s="27"/>
      <c r="J1315" s="29"/>
      <c r="K1315" s="30"/>
      <c r="L1315" s="31"/>
      <c r="M1315" s="32"/>
      <c r="N1315" s="30"/>
      <c r="O1315" s="30"/>
      <c r="P1315" s="39"/>
      <c r="Q1315" s="34"/>
      <c r="R1315" s="35"/>
      <c r="S1315" s="36"/>
      <c r="T1315" s="35"/>
      <c r="U1315" s="36"/>
      <c r="V1315" s="37"/>
    </row>
    <row r="1316" spans="1:22" x14ac:dyDescent="0.25">
      <c r="A1316" s="27"/>
      <c r="B1316" s="27"/>
      <c r="C1316" s="27"/>
      <c r="D1316" s="27"/>
      <c r="E1316" s="27"/>
      <c r="F1316" s="27"/>
      <c r="G1316" s="27"/>
      <c r="H1316" s="28"/>
      <c r="I1316" s="27"/>
      <c r="J1316" s="29"/>
      <c r="K1316" s="30"/>
      <c r="L1316" s="31"/>
      <c r="M1316" s="32"/>
      <c r="N1316" s="30"/>
      <c r="O1316" s="30"/>
      <c r="P1316" s="39"/>
      <c r="Q1316" s="34"/>
      <c r="R1316" s="35"/>
      <c r="S1316" s="36"/>
      <c r="T1316" s="35"/>
      <c r="U1316" s="36"/>
      <c r="V1316" s="37"/>
    </row>
    <row r="1317" spans="1:22" x14ac:dyDescent="0.25">
      <c r="A1317" s="27"/>
      <c r="B1317" s="27"/>
      <c r="C1317" s="27"/>
      <c r="D1317" s="27"/>
      <c r="E1317" s="27"/>
      <c r="F1317" s="27"/>
      <c r="G1317" s="27"/>
      <c r="H1317" s="28"/>
      <c r="I1317" s="27"/>
      <c r="J1317" s="29"/>
      <c r="K1317" s="30"/>
      <c r="L1317" s="31"/>
      <c r="M1317" s="32"/>
      <c r="N1317" s="30"/>
      <c r="O1317" s="30"/>
      <c r="P1317" s="39"/>
      <c r="Q1317" s="34"/>
      <c r="R1317" s="35"/>
      <c r="S1317" s="36"/>
      <c r="T1317" s="35"/>
      <c r="U1317" s="36"/>
      <c r="V1317" s="37"/>
    </row>
    <row r="1318" spans="1:22" x14ac:dyDescent="0.25">
      <c r="A1318" s="27"/>
      <c r="B1318" s="27"/>
      <c r="C1318" s="27"/>
      <c r="D1318" s="27"/>
      <c r="E1318" s="27"/>
      <c r="F1318" s="27"/>
      <c r="G1318" s="27"/>
      <c r="H1318" s="28"/>
      <c r="I1318" s="27"/>
      <c r="J1318" s="29"/>
      <c r="K1318" s="30"/>
      <c r="L1318" s="31"/>
      <c r="M1318" s="32"/>
      <c r="N1318" s="30"/>
      <c r="O1318" s="30"/>
      <c r="P1318" s="39"/>
      <c r="Q1318" s="34"/>
      <c r="R1318" s="35"/>
      <c r="S1318" s="36"/>
      <c r="T1318" s="35"/>
      <c r="U1318" s="36"/>
      <c r="V1318" s="37"/>
    </row>
    <row r="1319" spans="1:22" x14ac:dyDescent="0.25">
      <c r="A1319" s="27"/>
      <c r="B1319" s="27"/>
      <c r="C1319" s="27"/>
      <c r="D1319" s="27"/>
      <c r="E1319" s="27"/>
      <c r="F1319" s="27"/>
      <c r="G1319" s="27"/>
      <c r="H1319" s="28"/>
      <c r="I1319" s="27"/>
      <c r="J1319" s="29"/>
      <c r="K1319" s="30"/>
      <c r="L1319" s="31"/>
      <c r="M1319" s="32"/>
      <c r="N1319" s="30"/>
      <c r="O1319" s="30"/>
      <c r="P1319" s="39"/>
      <c r="Q1319" s="34"/>
      <c r="R1319" s="35"/>
      <c r="S1319" s="36"/>
      <c r="T1319" s="35"/>
      <c r="U1319" s="36"/>
      <c r="V1319" s="37"/>
    </row>
    <row r="1320" spans="1:22" x14ac:dyDescent="0.25">
      <c r="A1320" s="27"/>
      <c r="B1320" s="27"/>
      <c r="C1320" s="27"/>
      <c r="D1320" s="27"/>
      <c r="E1320" s="27"/>
      <c r="F1320" s="27"/>
      <c r="G1320" s="27"/>
      <c r="H1320" s="28"/>
      <c r="I1320" s="27"/>
      <c r="J1320" s="29"/>
      <c r="K1320" s="30"/>
      <c r="L1320" s="31"/>
      <c r="M1320" s="32"/>
      <c r="N1320" s="30"/>
      <c r="O1320" s="30"/>
      <c r="P1320" s="39"/>
      <c r="Q1320" s="34"/>
      <c r="R1320" s="35"/>
      <c r="S1320" s="36"/>
      <c r="T1320" s="35"/>
      <c r="U1320" s="36"/>
      <c r="V1320" s="37"/>
    </row>
    <row r="1321" spans="1:22" x14ac:dyDescent="0.25">
      <c r="A1321" s="27"/>
      <c r="B1321" s="27"/>
      <c r="C1321" s="27"/>
      <c r="D1321" s="27"/>
      <c r="E1321" s="27"/>
      <c r="F1321" s="27"/>
      <c r="G1321" s="27"/>
      <c r="H1321" s="28"/>
      <c r="I1321" s="27"/>
      <c r="J1321" s="29"/>
      <c r="K1321" s="30"/>
      <c r="L1321" s="31"/>
      <c r="M1321" s="32"/>
      <c r="N1321" s="30"/>
      <c r="O1321" s="30"/>
      <c r="P1321" s="39"/>
      <c r="Q1321" s="34"/>
      <c r="R1321" s="35"/>
      <c r="S1321" s="36"/>
      <c r="T1321" s="35"/>
      <c r="U1321" s="36"/>
      <c r="V1321" s="37"/>
    </row>
    <row r="1322" spans="1:22" x14ac:dyDescent="0.25">
      <c r="A1322" s="27"/>
      <c r="B1322" s="27"/>
      <c r="C1322" s="27"/>
      <c r="D1322" s="27"/>
      <c r="E1322" s="27"/>
      <c r="F1322" s="27"/>
      <c r="G1322" s="27"/>
      <c r="H1322" s="28"/>
      <c r="I1322" s="27"/>
      <c r="J1322" s="29"/>
      <c r="K1322" s="30"/>
      <c r="L1322" s="31"/>
      <c r="M1322" s="32"/>
      <c r="N1322" s="30"/>
      <c r="O1322" s="30"/>
      <c r="P1322" s="39"/>
      <c r="Q1322" s="34"/>
      <c r="R1322" s="35"/>
      <c r="S1322" s="36"/>
      <c r="T1322" s="35"/>
      <c r="U1322" s="36"/>
      <c r="V1322" s="37"/>
    </row>
    <row r="1323" spans="1:22" x14ac:dyDescent="0.25">
      <c r="A1323" s="27"/>
      <c r="B1323" s="27"/>
      <c r="C1323" s="27"/>
      <c r="D1323" s="27"/>
      <c r="E1323" s="27"/>
      <c r="F1323" s="27"/>
      <c r="G1323" s="27"/>
      <c r="H1323" s="28"/>
      <c r="I1323" s="27"/>
      <c r="J1323" s="29"/>
      <c r="K1323" s="30"/>
      <c r="L1323" s="31"/>
      <c r="M1323" s="32"/>
      <c r="N1323" s="30"/>
      <c r="O1323" s="30"/>
      <c r="P1323" s="39"/>
      <c r="Q1323" s="34"/>
      <c r="R1323" s="35"/>
      <c r="S1323" s="36"/>
      <c r="T1323" s="35"/>
      <c r="U1323" s="36"/>
      <c r="V1323" s="37"/>
    </row>
    <row r="1324" spans="1:22" x14ac:dyDescent="0.25">
      <c r="A1324" s="27"/>
      <c r="B1324" s="27"/>
      <c r="C1324" s="27"/>
      <c r="D1324" s="27"/>
      <c r="E1324" s="27"/>
      <c r="F1324" s="27"/>
      <c r="G1324" s="27"/>
      <c r="H1324" s="28"/>
      <c r="I1324" s="27"/>
      <c r="J1324" s="29"/>
      <c r="K1324" s="30"/>
      <c r="L1324" s="31"/>
      <c r="M1324" s="32"/>
      <c r="N1324" s="30"/>
      <c r="O1324" s="30"/>
      <c r="P1324" s="39"/>
      <c r="Q1324" s="34"/>
      <c r="R1324" s="35"/>
      <c r="S1324" s="36"/>
      <c r="T1324" s="35"/>
      <c r="U1324" s="36"/>
      <c r="V1324" s="37"/>
    </row>
    <row r="1325" spans="1:22" x14ac:dyDescent="0.25">
      <c r="A1325" s="27"/>
      <c r="B1325" s="27"/>
      <c r="C1325" s="27"/>
      <c r="D1325" s="27"/>
      <c r="E1325" s="27"/>
      <c r="F1325" s="27"/>
      <c r="G1325" s="27"/>
      <c r="H1325" s="28"/>
      <c r="I1325" s="27"/>
      <c r="J1325" s="29"/>
      <c r="K1325" s="30"/>
      <c r="L1325" s="31"/>
      <c r="M1325" s="32"/>
      <c r="N1325" s="30"/>
      <c r="O1325" s="30"/>
      <c r="P1325" s="39"/>
      <c r="Q1325" s="34"/>
      <c r="R1325" s="35"/>
      <c r="S1325" s="36"/>
      <c r="T1325" s="35"/>
      <c r="U1325" s="36"/>
      <c r="V1325" s="37"/>
    </row>
    <row r="1326" spans="1:22" x14ac:dyDescent="0.25">
      <c r="A1326" s="27"/>
      <c r="B1326" s="27"/>
      <c r="C1326" s="27"/>
      <c r="D1326" s="27"/>
      <c r="E1326" s="27"/>
      <c r="F1326" s="27"/>
      <c r="G1326" s="27"/>
      <c r="H1326" s="28"/>
      <c r="I1326" s="27"/>
      <c r="J1326" s="29"/>
      <c r="K1326" s="30"/>
      <c r="L1326" s="31"/>
      <c r="M1326" s="32"/>
      <c r="N1326" s="30"/>
      <c r="O1326" s="30"/>
      <c r="P1326" s="39"/>
      <c r="Q1326" s="34"/>
      <c r="R1326" s="35"/>
      <c r="S1326" s="36"/>
      <c r="T1326" s="35"/>
      <c r="U1326" s="36"/>
      <c r="V1326" s="37"/>
    </row>
    <row r="1327" spans="1:22" x14ac:dyDescent="0.25">
      <c r="A1327" s="27"/>
      <c r="B1327" s="27"/>
      <c r="C1327" s="27"/>
      <c r="D1327" s="27"/>
      <c r="E1327" s="27"/>
      <c r="F1327" s="27"/>
      <c r="G1327" s="27"/>
      <c r="H1327" s="28"/>
      <c r="I1327" s="27"/>
      <c r="J1327" s="29"/>
      <c r="K1327" s="30"/>
      <c r="L1327" s="31"/>
      <c r="M1327" s="32"/>
      <c r="N1327" s="30"/>
      <c r="O1327" s="30"/>
      <c r="P1327" s="39"/>
      <c r="Q1327" s="34"/>
      <c r="R1327" s="35"/>
      <c r="S1327" s="36"/>
      <c r="T1327" s="35"/>
      <c r="U1327" s="36"/>
      <c r="V1327" s="37"/>
    </row>
    <row r="1328" spans="1:22" x14ac:dyDescent="0.25">
      <c r="A1328" s="27"/>
      <c r="B1328" s="27"/>
      <c r="C1328" s="27"/>
      <c r="D1328" s="27"/>
      <c r="E1328" s="27"/>
      <c r="F1328" s="27"/>
      <c r="G1328" s="27"/>
      <c r="H1328" s="28"/>
      <c r="I1328" s="27"/>
      <c r="J1328" s="29"/>
      <c r="K1328" s="30"/>
      <c r="L1328" s="31"/>
      <c r="M1328" s="32"/>
      <c r="N1328" s="30"/>
      <c r="O1328" s="30"/>
      <c r="P1328" s="39"/>
      <c r="Q1328" s="34"/>
      <c r="R1328" s="35"/>
      <c r="S1328" s="36"/>
      <c r="T1328" s="35"/>
      <c r="U1328" s="36"/>
      <c r="V1328" s="37"/>
    </row>
    <row r="1329" spans="1:22" x14ac:dyDescent="0.25">
      <c r="A1329" s="27"/>
      <c r="B1329" s="27"/>
      <c r="C1329" s="27"/>
      <c r="D1329" s="27"/>
      <c r="E1329" s="27"/>
      <c r="F1329" s="27"/>
      <c r="G1329" s="27"/>
      <c r="H1329" s="28"/>
      <c r="I1329" s="27"/>
      <c r="J1329" s="29"/>
      <c r="K1329" s="30"/>
      <c r="L1329" s="31"/>
      <c r="M1329" s="32"/>
      <c r="N1329" s="30"/>
      <c r="O1329" s="30"/>
      <c r="P1329" s="39"/>
      <c r="Q1329" s="34"/>
      <c r="R1329" s="35"/>
      <c r="S1329" s="36"/>
      <c r="T1329" s="35"/>
      <c r="U1329" s="36"/>
      <c r="V1329" s="37"/>
    </row>
    <row r="1330" spans="1:22" x14ac:dyDescent="0.25">
      <c r="A1330" s="27"/>
      <c r="B1330" s="27"/>
      <c r="C1330" s="27"/>
      <c r="D1330" s="27"/>
      <c r="E1330" s="27"/>
      <c r="F1330" s="27"/>
      <c r="G1330" s="27"/>
      <c r="H1330" s="28"/>
      <c r="I1330" s="27"/>
      <c r="J1330" s="29"/>
      <c r="K1330" s="30"/>
      <c r="L1330" s="31"/>
      <c r="M1330" s="32"/>
      <c r="N1330" s="30"/>
      <c r="O1330" s="30"/>
      <c r="P1330" s="39"/>
      <c r="Q1330" s="34"/>
      <c r="R1330" s="35"/>
      <c r="S1330" s="36"/>
      <c r="T1330" s="35"/>
      <c r="U1330" s="36"/>
      <c r="V1330" s="37"/>
    </row>
    <row r="1331" spans="1:22" x14ac:dyDescent="0.25">
      <c r="A1331" s="27"/>
      <c r="B1331" s="27"/>
      <c r="C1331" s="27"/>
      <c r="D1331" s="27"/>
      <c r="E1331" s="27"/>
      <c r="F1331" s="27"/>
      <c r="G1331" s="27"/>
      <c r="H1331" s="28"/>
      <c r="I1331" s="27"/>
      <c r="J1331" s="29"/>
      <c r="K1331" s="30"/>
      <c r="L1331" s="31"/>
      <c r="M1331" s="32"/>
      <c r="N1331" s="30"/>
      <c r="O1331" s="30"/>
      <c r="P1331" s="39"/>
      <c r="Q1331" s="34"/>
      <c r="R1331" s="35"/>
      <c r="S1331" s="36"/>
      <c r="T1331" s="35"/>
      <c r="U1331" s="36"/>
      <c r="V1331" s="37"/>
    </row>
    <row r="1332" spans="1:22" x14ac:dyDescent="0.25">
      <c r="A1332" s="27"/>
      <c r="B1332" s="27"/>
      <c r="C1332" s="27"/>
      <c r="D1332" s="27"/>
      <c r="E1332" s="27"/>
      <c r="F1332" s="27"/>
      <c r="G1332" s="27"/>
      <c r="H1332" s="28"/>
      <c r="I1332" s="27"/>
      <c r="J1332" s="29"/>
      <c r="K1332" s="30"/>
      <c r="L1332" s="31"/>
      <c r="M1332" s="32"/>
      <c r="N1332" s="30"/>
      <c r="O1332" s="30"/>
      <c r="P1332" s="39"/>
      <c r="Q1332" s="34"/>
      <c r="R1332" s="35"/>
      <c r="S1332" s="36"/>
      <c r="T1332" s="35"/>
      <c r="U1332" s="36"/>
      <c r="V1332" s="37"/>
    </row>
    <row r="1333" spans="1:22" x14ac:dyDescent="0.25">
      <c r="A1333" s="27"/>
      <c r="B1333" s="27"/>
      <c r="C1333" s="27"/>
      <c r="D1333" s="27"/>
      <c r="E1333" s="27"/>
      <c r="F1333" s="27"/>
      <c r="G1333" s="27"/>
      <c r="H1333" s="28"/>
      <c r="I1333" s="27"/>
      <c r="J1333" s="29"/>
      <c r="K1333" s="30"/>
      <c r="L1333" s="31"/>
      <c r="M1333" s="32"/>
      <c r="N1333" s="30"/>
      <c r="O1333" s="30"/>
      <c r="P1333" s="39"/>
      <c r="Q1333" s="34"/>
      <c r="R1333" s="35"/>
      <c r="S1333" s="36"/>
      <c r="T1333" s="35"/>
      <c r="U1333" s="36"/>
      <c r="V1333" s="37"/>
    </row>
    <row r="1334" spans="1:22" x14ac:dyDescent="0.25">
      <c r="A1334" s="27"/>
      <c r="B1334" s="27"/>
      <c r="C1334" s="27"/>
      <c r="D1334" s="27"/>
      <c r="E1334" s="27"/>
      <c r="F1334" s="27"/>
      <c r="G1334" s="27"/>
      <c r="H1334" s="28"/>
      <c r="I1334" s="27"/>
      <c r="J1334" s="29"/>
      <c r="K1334" s="30"/>
      <c r="L1334" s="31"/>
      <c r="M1334" s="32"/>
      <c r="N1334" s="30"/>
      <c r="O1334" s="30"/>
      <c r="P1334" s="39"/>
      <c r="Q1334" s="34"/>
      <c r="R1334" s="35"/>
      <c r="S1334" s="36"/>
      <c r="T1334" s="35"/>
      <c r="U1334" s="36"/>
      <c r="V1334" s="37"/>
    </row>
    <row r="1335" spans="1:22" x14ac:dyDescent="0.25">
      <c r="A1335" s="27"/>
      <c r="B1335" s="27"/>
      <c r="C1335" s="27"/>
      <c r="D1335" s="27"/>
      <c r="E1335" s="27"/>
      <c r="F1335" s="27"/>
      <c r="G1335" s="27"/>
      <c r="H1335" s="28"/>
      <c r="I1335" s="27"/>
      <c r="J1335" s="29"/>
      <c r="K1335" s="30"/>
      <c r="L1335" s="31"/>
      <c r="M1335" s="32"/>
      <c r="N1335" s="30"/>
      <c r="O1335" s="30"/>
      <c r="P1335" s="39"/>
      <c r="Q1335" s="34"/>
      <c r="R1335" s="35"/>
      <c r="S1335" s="36"/>
      <c r="T1335" s="35"/>
      <c r="U1335" s="36"/>
      <c r="V1335" s="37"/>
    </row>
    <row r="1336" spans="1:22" x14ac:dyDescent="0.25">
      <c r="A1336" s="27"/>
      <c r="B1336" s="27"/>
      <c r="C1336" s="27"/>
      <c r="D1336" s="27"/>
      <c r="E1336" s="27"/>
      <c r="F1336" s="27"/>
      <c r="G1336" s="27"/>
      <c r="H1336" s="28"/>
      <c r="I1336" s="27"/>
      <c r="J1336" s="29"/>
      <c r="K1336" s="30"/>
      <c r="L1336" s="31"/>
      <c r="M1336" s="32"/>
      <c r="N1336" s="30"/>
      <c r="O1336" s="30"/>
      <c r="P1336" s="39"/>
      <c r="Q1336" s="34"/>
      <c r="R1336" s="35"/>
      <c r="S1336" s="36"/>
      <c r="T1336" s="35"/>
      <c r="U1336" s="36"/>
      <c r="V1336" s="37"/>
    </row>
    <row r="1337" spans="1:22" x14ac:dyDescent="0.25">
      <c r="A1337" s="27"/>
      <c r="B1337" s="27"/>
      <c r="C1337" s="27"/>
      <c r="D1337" s="27"/>
      <c r="E1337" s="27"/>
      <c r="F1337" s="27"/>
      <c r="G1337" s="27"/>
      <c r="H1337" s="28"/>
      <c r="I1337" s="27"/>
      <c r="J1337" s="29"/>
      <c r="K1337" s="30"/>
      <c r="L1337" s="31"/>
      <c r="M1337" s="32"/>
      <c r="N1337" s="30"/>
      <c r="O1337" s="30"/>
      <c r="P1337" s="39"/>
      <c r="Q1337" s="34"/>
      <c r="R1337" s="35"/>
      <c r="S1337" s="36"/>
      <c r="T1337" s="35"/>
      <c r="U1337" s="36"/>
      <c r="V1337" s="37"/>
    </row>
    <row r="1338" spans="1:22" x14ac:dyDescent="0.25">
      <c r="A1338" s="27"/>
      <c r="B1338" s="27"/>
      <c r="C1338" s="27"/>
      <c r="D1338" s="27"/>
      <c r="E1338" s="27"/>
      <c r="F1338" s="27"/>
      <c r="G1338" s="27"/>
      <c r="H1338" s="28"/>
      <c r="I1338" s="27"/>
      <c r="J1338" s="29"/>
      <c r="K1338" s="30"/>
      <c r="L1338" s="31"/>
      <c r="M1338" s="32"/>
      <c r="N1338" s="30"/>
      <c r="O1338" s="30"/>
      <c r="P1338" s="39"/>
      <c r="Q1338" s="34"/>
      <c r="R1338" s="35"/>
      <c r="S1338" s="36"/>
      <c r="T1338" s="35"/>
      <c r="U1338" s="36"/>
      <c r="V1338" s="37"/>
    </row>
    <row r="1339" spans="1:22" x14ac:dyDescent="0.25">
      <c r="A1339" s="27"/>
      <c r="B1339" s="27"/>
      <c r="C1339" s="27"/>
      <c r="D1339" s="27"/>
      <c r="E1339" s="27"/>
      <c r="F1339" s="27"/>
      <c r="G1339" s="27"/>
      <c r="H1339" s="28"/>
      <c r="I1339" s="27"/>
      <c r="J1339" s="29"/>
      <c r="K1339" s="30"/>
      <c r="L1339" s="31"/>
      <c r="M1339" s="32"/>
      <c r="N1339" s="30"/>
      <c r="O1339" s="30"/>
      <c r="P1339" s="39"/>
      <c r="Q1339" s="34"/>
      <c r="R1339" s="35"/>
      <c r="S1339" s="36"/>
      <c r="T1339" s="35"/>
      <c r="U1339" s="36"/>
      <c r="V1339" s="37"/>
    </row>
    <row r="1340" spans="1:22" x14ac:dyDescent="0.25">
      <c r="A1340" s="27"/>
      <c r="B1340" s="27"/>
      <c r="C1340" s="27"/>
      <c r="D1340" s="27"/>
      <c r="E1340" s="27"/>
      <c r="F1340" s="27"/>
      <c r="G1340" s="27"/>
      <c r="H1340" s="28"/>
      <c r="I1340" s="27"/>
      <c r="J1340" s="29"/>
      <c r="K1340" s="30"/>
      <c r="L1340" s="31"/>
      <c r="M1340" s="32"/>
      <c r="N1340" s="30"/>
      <c r="O1340" s="30"/>
      <c r="P1340" s="39"/>
      <c r="Q1340" s="34"/>
      <c r="R1340" s="35"/>
      <c r="S1340" s="36"/>
      <c r="T1340" s="35"/>
      <c r="U1340" s="36"/>
      <c r="V1340" s="37"/>
    </row>
    <row r="1341" spans="1:22" x14ac:dyDescent="0.25">
      <c r="A1341" s="27"/>
      <c r="B1341" s="27"/>
      <c r="C1341" s="27"/>
      <c r="D1341" s="27"/>
      <c r="E1341" s="27"/>
      <c r="F1341" s="27"/>
      <c r="G1341" s="27"/>
      <c r="H1341" s="28"/>
      <c r="I1341" s="27"/>
      <c r="J1341" s="29"/>
      <c r="K1341" s="30"/>
      <c r="L1341" s="31"/>
      <c r="M1341" s="32"/>
      <c r="N1341" s="30"/>
      <c r="O1341" s="30"/>
      <c r="P1341" s="39"/>
      <c r="Q1341" s="34"/>
      <c r="R1341" s="35"/>
      <c r="S1341" s="36"/>
      <c r="T1341" s="35"/>
      <c r="U1341" s="36"/>
      <c r="V1341" s="37"/>
    </row>
    <row r="1342" spans="1:22" x14ac:dyDescent="0.25">
      <c r="A1342" s="27"/>
      <c r="B1342" s="27"/>
      <c r="C1342" s="27"/>
      <c r="D1342" s="27"/>
      <c r="E1342" s="27"/>
      <c r="F1342" s="27"/>
      <c r="G1342" s="27"/>
      <c r="H1342" s="28"/>
      <c r="I1342" s="27"/>
      <c r="J1342" s="29"/>
      <c r="K1342" s="30"/>
      <c r="L1342" s="31"/>
      <c r="M1342" s="32"/>
      <c r="N1342" s="30"/>
      <c r="O1342" s="30"/>
      <c r="P1342" s="39"/>
      <c r="Q1342" s="34"/>
      <c r="R1342" s="35"/>
      <c r="S1342" s="36"/>
      <c r="T1342" s="35"/>
      <c r="U1342" s="36"/>
      <c r="V1342" s="37"/>
    </row>
    <row r="1343" spans="1:22" x14ac:dyDescent="0.25">
      <c r="A1343" s="27"/>
      <c r="B1343" s="27"/>
      <c r="C1343" s="27"/>
      <c r="D1343" s="27"/>
      <c r="E1343" s="27"/>
      <c r="F1343" s="27"/>
      <c r="G1343" s="27"/>
      <c r="H1343" s="28"/>
      <c r="I1343" s="27"/>
      <c r="J1343" s="29"/>
      <c r="K1343" s="30"/>
      <c r="L1343" s="31"/>
      <c r="M1343" s="32"/>
      <c r="N1343" s="30"/>
      <c r="O1343" s="30"/>
      <c r="P1343" s="39"/>
      <c r="Q1343" s="34"/>
      <c r="R1343" s="35"/>
      <c r="S1343" s="36"/>
      <c r="T1343" s="35"/>
      <c r="U1343" s="36"/>
      <c r="V1343" s="37"/>
    </row>
    <row r="1344" spans="1:22" x14ac:dyDescent="0.25">
      <c r="A1344" s="27"/>
      <c r="B1344" s="27"/>
      <c r="C1344" s="27"/>
      <c r="D1344" s="27"/>
      <c r="E1344" s="27"/>
      <c r="F1344" s="27"/>
      <c r="G1344" s="27"/>
      <c r="H1344" s="28"/>
      <c r="I1344" s="27"/>
      <c r="J1344" s="29"/>
      <c r="K1344" s="30"/>
      <c r="L1344" s="31"/>
      <c r="M1344" s="32"/>
      <c r="N1344" s="30"/>
      <c r="O1344" s="30"/>
      <c r="P1344" s="39"/>
      <c r="Q1344" s="34"/>
      <c r="R1344" s="35"/>
      <c r="S1344" s="36"/>
      <c r="T1344" s="35"/>
      <c r="U1344" s="36"/>
      <c r="V1344" s="37"/>
    </row>
    <row r="1345" spans="1:22" x14ac:dyDescent="0.25">
      <c r="A1345" s="27"/>
      <c r="B1345" s="27"/>
      <c r="C1345" s="27"/>
      <c r="D1345" s="27"/>
      <c r="E1345" s="27"/>
      <c r="F1345" s="27"/>
      <c r="G1345" s="27"/>
      <c r="H1345" s="28"/>
      <c r="I1345" s="27"/>
      <c r="J1345" s="29"/>
      <c r="K1345" s="30"/>
      <c r="L1345" s="31"/>
      <c r="M1345" s="32"/>
      <c r="N1345" s="30"/>
      <c r="O1345" s="30"/>
      <c r="P1345" s="39"/>
      <c r="Q1345" s="34"/>
      <c r="R1345" s="35"/>
      <c r="S1345" s="36"/>
      <c r="T1345" s="35"/>
      <c r="U1345" s="36"/>
      <c r="V1345" s="37"/>
    </row>
    <row r="1346" spans="1:22" x14ac:dyDescent="0.25">
      <c r="A1346" s="27"/>
      <c r="B1346" s="27"/>
      <c r="C1346" s="27"/>
      <c r="D1346" s="27"/>
      <c r="E1346" s="27"/>
      <c r="F1346" s="27"/>
      <c r="G1346" s="27"/>
      <c r="H1346" s="28"/>
      <c r="I1346" s="27"/>
      <c r="J1346" s="29"/>
      <c r="K1346" s="30"/>
      <c r="L1346" s="31"/>
      <c r="M1346" s="32"/>
      <c r="N1346" s="30"/>
      <c r="O1346" s="30"/>
      <c r="P1346" s="39"/>
      <c r="Q1346" s="34"/>
      <c r="R1346" s="35"/>
      <c r="S1346" s="36"/>
      <c r="T1346" s="35"/>
      <c r="U1346" s="36"/>
      <c r="V1346" s="37"/>
    </row>
    <row r="1347" spans="1:22" x14ac:dyDescent="0.25">
      <c r="A1347" s="27"/>
      <c r="B1347" s="27"/>
      <c r="C1347" s="27"/>
      <c r="D1347" s="27"/>
      <c r="E1347" s="27"/>
      <c r="F1347" s="27"/>
      <c r="G1347" s="27"/>
      <c r="H1347" s="28"/>
      <c r="I1347" s="27"/>
      <c r="J1347" s="29"/>
      <c r="K1347" s="30"/>
      <c r="L1347" s="31"/>
      <c r="M1347" s="32"/>
      <c r="N1347" s="30"/>
      <c r="O1347" s="30"/>
      <c r="P1347" s="39"/>
      <c r="Q1347" s="34"/>
      <c r="R1347" s="35"/>
      <c r="S1347" s="36"/>
      <c r="T1347" s="35"/>
      <c r="U1347" s="36"/>
      <c r="V1347" s="37"/>
    </row>
    <row r="1348" spans="1:22" x14ac:dyDescent="0.25">
      <c r="A1348" s="27"/>
      <c r="B1348" s="27"/>
      <c r="C1348" s="27"/>
      <c r="D1348" s="27"/>
      <c r="E1348" s="27"/>
      <c r="F1348" s="27"/>
      <c r="G1348" s="27"/>
      <c r="H1348" s="28"/>
      <c r="I1348" s="27"/>
      <c r="J1348" s="29"/>
      <c r="K1348" s="30"/>
      <c r="L1348" s="31"/>
      <c r="M1348" s="32"/>
      <c r="N1348" s="30"/>
      <c r="O1348" s="30"/>
      <c r="P1348" s="39"/>
      <c r="Q1348" s="34"/>
      <c r="R1348" s="35"/>
      <c r="S1348" s="36"/>
      <c r="T1348" s="35"/>
      <c r="U1348" s="36"/>
      <c r="V1348" s="37"/>
    </row>
    <row r="1349" spans="1:22" x14ac:dyDescent="0.25">
      <c r="A1349" s="27"/>
      <c r="B1349" s="27"/>
      <c r="C1349" s="27"/>
      <c r="D1349" s="27"/>
      <c r="E1349" s="27"/>
      <c r="F1349" s="27"/>
      <c r="G1349" s="27"/>
      <c r="H1349" s="28"/>
      <c r="I1349" s="27"/>
      <c r="J1349" s="29"/>
      <c r="K1349" s="30"/>
      <c r="L1349" s="31"/>
      <c r="M1349" s="32"/>
      <c r="N1349" s="30"/>
      <c r="O1349" s="30"/>
      <c r="P1349" s="39"/>
      <c r="Q1349" s="34"/>
      <c r="R1349" s="35"/>
      <c r="S1349" s="36"/>
      <c r="T1349" s="35"/>
      <c r="U1349" s="36"/>
      <c r="V1349" s="37"/>
    </row>
    <row r="1350" spans="1:22" x14ac:dyDescent="0.25">
      <c r="A1350" s="27"/>
      <c r="B1350" s="27"/>
      <c r="C1350" s="27"/>
      <c r="D1350" s="27"/>
      <c r="E1350" s="27"/>
      <c r="F1350" s="27"/>
      <c r="G1350" s="27"/>
      <c r="H1350" s="28"/>
      <c r="I1350" s="27"/>
      <c r="J1350" s="29"/>
      <c r="K1350" s="30"/>
      <c r="L1350" s="31"/>
      <c r="M1350" s="32"/>
      <c r="N1350" s="30"/>
      <c r="O1350" s="30"/>
      <c r="P1350" s="39"/>
      <c r="Q1350" s="34"/>
      <c r="R1350" s="35"/>
      <c r="S1350" s="36"/>
      <c r="T1350" s="35"/>
      <c r="U1350" s="36"/>
      <c r="V1350" s="37"/>
    </row>
    <row r="1351" spans="1:22" x14ac:dyDescent="0.25">
      <c r="A1351" s="27"/>
      <c r="B1351" s="27"/>
      <c r="C1351" s="27"/>
      <c r="D1351" s="27"/>
      <c r="E1351" s="27"/>
      <c r="F1351" s="27"/>
      <c r="G1351" s="27"/>
      <c r="H1351" s="28"/>
      <c r="I1351" s="27"/>
      <c r="J1351" s="29"/>
      <c r="K1351" s="30"/>
      <c r="L1351" s="31"/>
      <c r="M1351" s="32"/>
      <c r="N1351" s="30"/>
      <c r="O1351" s="30"/>
      <c r="P1351" s="39"/>
      <c r="Q1351" s="34"/>
      <c r="R1351" s="35"/>
      <c r="S1351" s="36"/>
      <c r="T1351" s="35"/>
      <c r="U1351" s="36"/>
      <c r="V1351" s="37"/>
    </row>
    <row r="1352" spans="1:22" x14ac:dyDescent="0.25">
      <c r="A1352" s="27"/>
      <c r="B1352" s="27"/>
      <c r="C1352" s="27"/>
      <c r="D1352" s="27"/>
      <c r="E1352" s="27"/>
      <c r="F1352" s="27"/>
      <c r="G1352" s="27"/>
      <c r="H1352" s="28"/>
      <c r="I1352" s="27"/>
      <c r="J1352" s="29"/>
      <c r="K1352" s="30"/>
      <c r="L1352" s="31"/>
      <c r="M1352" s="32"/>
      <c r="N1352" s="30"/>
      <c r="O1352" s="30"/>
      <c r="P1352" s="39"/>
      <c r="Q1352" s="34"/>
      <c r="R1352" s="35"/>
      <c r="S1352" s="36"/>
      <c r="T1352" s="35"/>
      <c r="U1352" s="36"/>
      <c r="V1352" s="37"/>
    </row>
    <row r="1353" spans="1:22" x14ac:dyDescent="0.25">
      <c r="A1353" s="27"/>
      <c r="B1353" s="27"/>
      <c r="C1353" s="27"/>
      <c r="D1353" s="27"/>
      <c r="E1353" s="27"/>
      <c r="F1353" s="27"/>
      <c r="G1353" s="27"/>
      <c r="H1353" s="28"/>
      <c r="I1353" s="27"/>
      <c r="J1353" s="29"/>
      <c r="K1353" s="30"/>
      <c r="L1353" s="31"/>
      <c r="M1353" s="32"/>
      <c r="N1353" s="30"/>
      <c r="O1353" s="30"/>
      <c r="P1353" s="39"/>
      <c r="Q1353" s="34"/>
      <c r="R1353" s="35"/>
      <c r="S1353" s="36"/>
      <c r="T1353" s="35"/>
      <c r="U1353" s="36"/>
      <c r="V1353" s="37"/>
    </row>
    <row r="1354" spans="1:22" x14ac:dyDescent="0.25">
      <c r="A1354" s="27"/>
      <c r="B1354" s="27"/>
      <c r="C1354" s="27"/>
      <c r="D1354" s="27"/>
      <c r="E1354" s="27"/>
      <c r="F1354" s="27"/>
      <c r="G1354" s="27"/>
      <c r="H1354" s="28"/>
      <c r="I1354" s="27"/>
      <c r="J1354" s="29"/>
      <c r="K1354" s="30"/>
      <c r="L1354" s="31"/>
      <c r="M1354" s="32"/>
      <c r="N1354" s="30"/>
      <c r="O1354" s="30"/>
      <c r="P1354" s="39"/>
      <c r="Q1354" s="34"/>
      <c r="R1354" s="35"/>
      <c r="S1354" s="36"/>
      <c r="T1354" s="35"/>
      <c r="U1354" s="36"/>
      <c r="V1354" s="37"/>
    </row>
    <row r="1355" spans="1:22" x14ac:dyDescent="0.25">
      <c r="A1355" s="27"/>
      <c r="B1355" s="27"/>
      <c r="C1355" s="27"/>
      <c r="D1355" s="27"/>
      <c r="E1355" s="27"/>
      <c r="F1355" s="27"/>
      <c r="G1355" s="27"/>
      <c r="H1355" s="28"/>
      <c r="I1355" s="27"/>
      <c r="J1355" s="29"/>
      <c r="K1355" s="30"/>
      <c r="L1355" s="31"/>
      <c r="M1355" s="32"/>
      <c r="N1355" s="30"/>
      <c r="O1355" s="30"/>
      <c r="P1355" s="39"/>
      <c r="Q1355" s="34"/>
      <c r="R1355" s="35"/>
      <c r="S1355" s="36"/>
      <c r="T1355" s="35"/>
      <c r="U1355" s="36"/>
      <c r="V1355" s="37"/>
    </row>
    <row r="1356" spans="1:22" x14ac:dyDescent="0.25">
      <c r="A1356" s="27"/>
      <c r="B1356" s="27"/>
      <c r="C1356" s="27"/>
      <c r="D1356" s="27"/>
      <c r="E1356" s="27"/>
      <c r="F1356" s="27"/>
      <c r="G1356" s="27"/>
      <c r="H1356" s="28"/>
      <c r="I1356" s="27"/>
      <c r="J1356" s="29"/>
      <c r="K1356" s="30"/>
      <c r="L1356" s="31"/>
      <c r="M1356" s="32"/>
      <c r="N1356" s="30"/>
      <c r="O1356" s="30"/>
      <c r="P1356" s="39"/>
      <c r="Q1356" s="34"/>
      <c r="R1356" s="35"/>
      <c r="S1356" s="36"/>
      <c r="T1356" s="35"/>
      <c r="U1356" s="36"/>
      <c r="V1356" s="37"/>
    </row>
    <row r="1357" spans="1:22" x14ac:dyDescent="0.25">
      <c r="A1357" s="27"/>
      <c r="B1357" s="27"/>
      <c r="C1357" s="27"/>
      <c r="D1357" s="27"/>
      <c r="E1357" s="27"/>
      <c r="F1357" s="27"/>
      <c r="G1357" s="27"/>
      <c r="H1357" s="28"/>
      <c r="I1357" s="27"/>
      <c r="J1357" s="29"/>
      <c r="K1357" s="30"/>
      <c r="L1357" s="31"/>
      <c r="M1357" s="32"/>
      <c r="N1357" s="30"/>
      <c r="O1357" s="30"/>
      <c r="P1357" s="39"/>
      <c r="Q1357" s="34"/>
      <c r="R1357" s="35"/>
      <c r="S1357" s="36"/>
      <c r="T1357" s="35"/>
      <c r="U1357" s="36"/>
      <c r="V1357" s="37"/>
    </row>
    <row r="1358" spans="1:22" x14ac:dyDescent="0.25">
      <c r="A1358" s="27"/>
      <c r="B1358" s="27"/>
      <c r="C1358" s="27"/>
      <c r="D1358" s="27"/>
      <c r="E1358" s="27"/>
      <c r="F1358" s="27"/>
      <c r="G1358" s="27"/>
      <c r="H1358" s="28"/>
      <c r="I1358" s="27"/>
      <c r="J1358" s="29"/>
      <c r="K1358" s="30"/>
      <c r="L1358" s="31"/>
      <c r="M1358" s="32"/>
      <c r="N1358" s="30"/>
      <c r="O1358" s="30"/>
      <c r="P1358" s="39"/>
      <c r="Q1358" s="34"/>
      <c r="R1358" s="35"/>
      <c r="S1358" s="36"/>
      <c r="T1358" s="35"/>
      <c r="U1358" s="36"/>
      <c r="V1358" s="37"/>
    </row>
    <row r="1359" spans="1:22" x14ac:dyDescent="0.25">
      <c r="A1359" s="27"/>
      <c r="B1359" s="27"/>
      <c r="C1359" s="27"/>
      <c r="D1359" s="27"/>
      <c r="E1359" s="27"/>
      <c r="F1359" s="27"/>
      <c r="G1359" s="27"/>
      <c r="H1359" s="28"/>
      <c r="I1359" s="27"/>
      <c r="J1359" s="29"/>
      <c r="K1359" s="30"/>
      <c r="L1359" s="31"/>
      <c r="M1359" s="32"/>
      <c r="N1359" s="30"/>
      <c r="O1359" s="30"/>
      <c r="P1359" s="39"/>
      <c r="Q1359" s="34"/>
      <c r="R1359" s="35"/>
      <c r="S1359" s="36"/>
      <c r="T1359" s="35"/>
      <c r="U1359" s="36"/>
      <c r="V1359" s="37"/>
    </row>
    <row r="1360" spans="1:22" x14ac:dyDescent="0.25">
      <c r="A1360" s="27"/>
      <c r="B1360" s="27"/>
      <c r="C1360" s="27"/>
      <c r="D1360" s="27"/>
      <c r="E1360" s="27"/>
      <c r="F1360" s="27"/>
      <c r="G1360" s="27"/>
      <c r="H1360" s="28"/>
      <c r="I1360" s="27"/>
      <c r="J1360" s="29"/>
      <c r="K1360" s="30"/>
      <c r="L1360" s="31"/>
      <c r="M1360" s="32"/>
      <c r="N1360" s="30"/>
      <c r="O1360" s="30"/>
      <c r="P1360" s="39"/>
      <c r="Q1360" s="34"/>
      <c r="R1360" s="35"/>
      <c r="S1360" s="36"/>
      <c r="T1360" s="35"/>
      <c r="U1360" s="36"/>
      <c r="V1360" s="37"/>
    </row>
    <row r="1361" spans="1:22" x14ac:dyDescent="0.25">
      <c r="A1361" s="27"/>
      <c r="B1361" s="27"/>
      <c r="C1361" s="27"/>
      <c r="D1361" s="27"/>
      <c r="E1361" s="27"/>
      <c r="F1361" s="27"/>
      <c r="G1361" s="27"/>
      <c r="H1361" s="28"/>
      <c r="I1361" s="27"/>
      <c r="J1361" s="29"/>
      <c r="K1361" s="30"/>
      <c r="L1361" s="31"/>
      <c r="M1361" s="32"/>
      <c r="N1361" s="30"/>
      <c r="O1361" s="30"/>
      <c r="P1361" s="39"/>
      <c r="Q1361" s="34"/>
      <c r="R1361" s="35"/>
      <c r="S1361" s="36"/>
      <c r="T1361" s="35"/>
      <c r="U1361" s="36"/>
      <c r="V1361" s="37"/>
    </row>
    <row r="1362" spans="1:22" x14ac:dyDescent="0.25">
      <c r="A1362" s="27"/>
      <c r="B1362" s="27"/>
      <c r="C1362" s="27"/>
      <c r="D1362" s="27"/>
      <c r="E1362" s="27"/>
      <c r="F1362" s="27"/>
      <c r="G1362" s="27"/>
      <c r="H1362" s="28"/>
      <c r="I1362" s="27"/>
      <c r="J1362" s="29"/>
      <c r="K1362" s="30"/>
      <c r="L1362" s="31"/>
      <c r="M1362" s="32"/>
      <c r="N1362" s="30"/>
      <c r="O1362" s="30"/>
      <c r="P1362" s="39"/>
      <c r="Q1362" s="34"/>
      <c r="R1362" s="35"/>
      <c r="S1362" s="36"/>
      <c r="T1362" s="35"/>
      <c r="U1362" s="36"/>
      <c r="V1362" s="37"/>
    </row>
    <row r="1363" spans="1:22" x14ac:dyDescent="0.25">
      <c r="A1363" s="27"/>
      <c r="B1363" s="27"/>
      <c r="C1363" s="27"/>
      <c r="D1363" s="27"/>
      <c r="E1363" s="27"/>
      <c r="F1363" s="27"/>
      <c r="G1363" s="27"/>
      <c r="H1363" s="28"/>
      <c r="I1363" s="27"/>
      <c r="J1363" s="29"/>
      <c r="K1363" s="30"/>
      <c r="L1363" s="31"/>
      <c r="M1363" s="32"/>
      <c r="N1363" s="30"/>
      <c r="O1363" s="30"/>
      <c r="P1363" s="39"/>
      <c r="Q1363" s="34"/>
      <c r="R1363" s="35"/>
      <c r="S1363" s="36"/>
      <c r="T1363" s="35"/>
      <c r="U1363" s="36"/>
      <c r="V1363" s="37"/>
    </row>
    <row r="1364" spans="1:22" x14ac:dyDescent="0.25">
      <c r="A1364" s="27"/>
      <c r="B1364" s="27"/>
      <c r="C1364" s="27"/>
      <c r="D1364" s="27"/>
      <c r="E1364" s="27"/>
      <c r="F1364" s="27"/>
      <c r="G1364" s="27"/>
      <c r="H1364" s="28"/>
      <c r="I1364" s="27"/>
      <c r="J1364" s="29"/>
      <c r="K1364" s="30"/>
      <c r="L1364" s="31"/>
      <c r="M1364" s="32"/>
      <c r="N1364" s="30"/>
      <c r="O1364" s="30"/>
      <c r="P1364" s="39"/>
      <c r="Q1364" s="34"/>
      <c r="R1364" s="35"/>
      <c r="S1364" s="36"/>
      <c r="T1364" s="35"/>
      <c r="U1364" s="36"/>
      <c r="V1364" s="37"/>
    </row>
    <row r="1365" spans="1:22" x14ac:dyDescent="0.25">
      <c r="A1365" s="27"/>
      <c r="B1365" s="27"/>
      <c r="C1365" s="27"/>
      <c r="D1365" s="27"/>
      <c r="E1365" s="27"/>
      <c r="F1365" s="27"/>
      <c r="G1365" s="27"/>
      <c r="H1365" s="28"/>
      <c r="I1365" s="27"/>
      <c r="J1365" s="29"/>
      <c r="K1365" s="30"/>
      <c r="L1365" s="31"/>
      <c r="M1365" s="32"/>
      <c r="N1365" s="30"/>
      <c r="O1365" s="30"/>
      <c r="P1365" s="39"/>
      <c r="Q1365" s="34"/>
      <c r="R1365" s="35"/>
      <c r="S1365" s="36"/>
      <c r="T1365" s="35"/>
      <c r="U1365" s="36"/>
      <c r="V1365" s="37"/>
    </row>
    <row r="1366" spans="1:22" x14ac:dyDescent="0.25">
      <c r="A1366" s="27"/>
      <c r="B1366" s="27"/>
      <c r="C1366" s="27"/>
      <c r="D1366" s="27"/>
      <c r="E1366" s="27"/>
      <c r="F1366" s="27"/>
      <c r="G1366" s="27"/>
      <c r="H1366" s="28"/>
      <c r="I1366" s="27"/>
      <c r="J1366" s="29"/>
      <c r="K1366" s="30"/>
      <c r="L1366" s="31"/>
      <c r="M1366" s="32"/>
      <c r="N1366" s="30"/>
      <c r="O1366" s="30"/>
      <c r="P1366" s="39"/>
      <c r="Q1366" s="34"/>
      <c r="R1366" s="35"/>
      <c r="S1366" s="36"/>
      <c r="T1366" s="35"/>
      <c r="U1366" s="36"/>
      <c r="V1366" s="37"/>
    </row>
    <row r="1367" spans="1:22" x14ac:dyDescent="0.25">
      <c r="A1367" s="27"/>
      <c r="B1367" s="27"/>
      <c r="C1367" s="27"/>
      <c r="D1367" s="27"/>
      <c r="E1367" s="27"/>
      <c r="F1367" s="27"/>
      <c r="G1367" s="27"/>
      <c r="H1367" s="28"/>
      <c r="I1367" s="27"/>
      <c r="J1367" s="29"/>
      <c r="K1367" s="30"/>
      <c r="L1367" s="31"/>
      <c r="M1367" s="32"/>
      <c r="N1367" s="30"/>
      <c r="O1367" s="30"/>
      <c r="P1367" s="39"/>
      <c r="Q1367" s="34"/>
      <c r="R1367" s="35"/>
      <c r="S1367" s="36"/>
      <c r="T1367" s="35"/>
      <c r="U1367" s="36"/>
      <c r="V1367" s="37"/>
    </row>
    <row r="1368" spans="1:22" x14ac:dyDescent="0.25">
      <c r="A1368" s="27"/>
      <c r="B1368" s="27"/>
      <c r="C1368" s="27"/>
      <c r="D1368" s="27"/>
      <c r="E1368" s="27"/>
      <c r="F1368" s="27"/>
      <c r="G1368" s="27"/>
      <c r="H1368" s="28"/>
      <c r="I1368" s="27"/>
      <c r="J1368" s="29"/>
      <c r="K1368" s="30"/>
      <c r="L1368" s="31"/>
      <c r="M1368" s="32"/>
      <c r="N1368" s="30"/>
      <c r="O1368" s="30"/>
      <c r="P1368" s="39"/>
      <c r="Q1368" s="34"/>
      <c r="R1368" s="35"/>
      <c r="S1368" s="36"/>
      <c r="T1368" s="35"/>
      <c r="U1368" s="36"/>
      <c r="V1368" s="37"/>
    </row>
    <row r="1369" spans="1:22" x14ac:dyDescent="0.25">
      <c r="A1369" s="27"/>
      <c r="B1369" s="27"/>
      <c r="C1369" s="27"/>
      <c r="D1369" s="27"/>
      <c r="E1369" s="27"/>
      <c r="F1369" s="27"/>
      <c r="G1369" s="27"/>
      <c r="H1369" s="28"/>
      <c r="I1369" s="27"/>
      <c r="J1369" s="29"/>
      <c r="K1369" s="30"/>
      <c r="L1369" s="31"/>
      <c r="M1369" s="32"/>
      <c r="N1369" s="30"/>
      <c r="O1369" s="30"/>
      <c r="P1369" s="39"/>
      <c r="Q1369" s="34"/>
      <c r="R1369" s="35"/>
      <c r="S1369" s="36"/>
      <c r="T1369" s="35"/>
      <c r="U1369" s="36"/>
      <c r="V1369" s="37"/>
    </row>
    <row r="1370" spans="1:22" x14ac:dyDescent="0.25">
      <c r="A1370" s="27"/>
      <c r="B1370" s="27"/>
      <c r="C1370" s="27"/>
      <c r="D1370" s="27"/>
      <c r="E1370" s="27"/>
      <c r="F1370" s="27"/>
      <c r="G1370" s="27"/>
      <c r="H1370" s="28"/>
      <c r="I1370" s="27"/>
      <c r="J1370" s="29"/>
      <c r="K1370" s="30"/>
      <c r="L1370" s="31"/>
      <c r="M1370" s="32"/>
      <c r="N1370" s="30"/>
      <c r="O1370" s="30"/>
      <c r="P1370" s="39"/>
      <c r="Q1370" s="34"/>
      <c r="R1370" s="35"/>
      <c r="S1370" s="36"/>
      <c r="T1370" s="35"/>
      <c r="U1370" s="36"/>
      <c r="V1370" s="37"/>
    </row>
    <row r="1371" spans="1:22" x14ac:dyDescent="0.25">
      <c r="A1371" s="27"/>
      <c r="B1371" s="27"/>
      <c r="C1371" s="27"/>
      <c r="D1371" s="27"/>
      <c r="E1371" s="27"/>
      <c r="F1371" s="27"/>
      <c r="G1371" s="27"/>
      <c r="H1371" s="28"/>
      <c r="I1371" s="27"/>
      <c r="J1371" s="29"/>
      <c r="K1371" s="30"/>
      <c r="L1371" s="31"/>
      <c r="M1371" s="32"/>
      <c r="N1371" s="30"/>
      <c r="O1371" s="30"/>
      <c r="P1371" s="39"/>
      <c r="Q1371" s="34"/>
      <c r="R1371" s="35"/>
      <c r="S1371" s="36"/>
      <c r="T1371" s="35"/>
      <c r="U1371" s="36"/>
      <c r="V1371" s="37"/>
    </row>
    <row r="1372" spans="1:22" x14ac:dyDescent="0.25">
      <c r="A1372" s="27"/>
      <c r="B1372" s="27"/>
      <c r="C1372" s="27"/>
      <c r="D1372" s="27"/>
      <c r="E1372" s="27"/>
      <c r="F1372" s="27"/>
      <c r="G1372" s="27"/>
      <c r="H1372" s="28"/>
      <c r="I1372" s="27"/>
      <c r="J1372" s="29"/>
      <c r="K1372" s="30"/>
      <c r="L1372" s="31"/>
      <c r="M1372" s="32"/>
      <c r="N1372" s="30"/>
      <c r="O1372" s="30"/>
      <c r="P1372" s="39"/>
      <c r="Q1372" s="34"/>
      <c r="R1372" s="35"/>
      <c r="S1372" s="36"/>
      <c r="T1372" s="35"/>
      <c r="U1372" s="36"/>
      <c r="V1372" s="37"/>
    </row>
    <row r="1373" spans="1:22" x14ac:dyDescent="0.25">
      <c r="A1373" s="27"/>
      <c r="B1373" s="27"/>
      <c r="C1373" s="27"/>
      <c r="D1373" s="27"/>
      <c r="E1373" s="27"/>
      <c r="F1373" s="27"/>
      <c r="G1373" s="27"/>
      <c r="H1373" s="28"/>
      <c r="I1373" s="27"/>
      <c r="J1373" s="29"/>
      <c r="K1373" s="30"/>
      <c r="L1373" s="31"/>
      <c r="M1373" s="32"/>
      <c r="N1373" s="30"/>
      <c r="O1373" s="30"/>
      <c r="P1373" s="39"/>
      <c r="Q1373" s="34"/>
      <c r="R1373" s="35"/>
      <c r="S1373" s="36"/>
      <c r="T1373" s="35"/>
      <c r="U1373" s="36"/>
      <c r="V1373" s="37"/>
    </row>
    <row r="1374" spans="1:22" x14ac:dyDescent="0.25">
      <c r="A1374" s="27"/>
      <c r="B1374" s="27"/>
      <c r="C1374" s="27"/>
      <c r="D1374" s="27"/>
      <c r="E1374" s="27"/>
      <c r="F1374" s="27"/>
      <c r="G1374" s="27"/>
      <c r="H1374" s="28"/>
      <c r="I1374" s="27"/>
      <c r="J1374" s="29"/>
      <c r="K1374" s="30"/>
      <c r="L1374" s="31"/>
      <c r="M1374" s="32"/>
      <c r="N1374" s="30"/>
      <c r="O1374" s="30"/>
      <c r="P1374" s="39"/>
      <c r="Q1374" s="34"/>
      <c r="R1374" s="35"/>
      <c r="S1374" s="36"/>
      <c r="T1374" s="35"/>
      <c r="U1374" s="36"/>
      <c r="V1374" s="37"/>
    </row>
    <row r="1375" spans="1:22" x14ac:dyDescent="0.25">
      <c r="A1375" s="27"/>
      <c r="B1375" s="27"/>
      <c r="C1375" s="27"/>
      <c r="D1375" s="27"/>
      <c r="E1375" s="27"/>
      <c r="F1375" s="27"/>
      <c r="G1375" s="27"/>
      <c r="H1375" s="28"/>
      <c r="I1375" s="27"/>
      <c r="J1375" s="29"/>
      <c r="K1375" s="30"/>
      <c r="L1375" s="31"/>
      <c r="M1375" s="32"/>
      <c r="N1375" s="30"/>
      <c r="O1375" s="30"/>
      <c r="P1375" s="39"/>
      <c r="Q1375" s="34"/>
      <c r="R1375" s="35"/>
      <c r="S1375" s="36"/>
      <c r="T1375" s="35"/>
      <c r="U1375" s="36"/>
      <c r="V1375" s="37"/>
    </row>
    <row r="1376" spans="1:22" x14ac:dyDescent="0.25">
      <c r="A1376" s="27"/>
      <c r="B1376" s="27"/>
      <c r="C1376" s="27"/>
      <c r="D1376" s="27"/>
      <c r="E1376" s="27"/>
      <c r="F1376" s="27"/>
      <c r="G1376" s="27"/>
      <c r="H1376" s="28"/>
      <c r="I1376" s="27"/>
      <c r="J1376" s="29"/>
      <c r="K1376" s="30"/>
      <c r="L1376" s="31"/>
      <c r="M1376" s="32"/>
      <c r="N1376" s="30"/>
      <c r="O1376" s="30"/>
      <c r="P1376" s="39"/>
      <c r="Q1376" s="34"/>
      <c r="R1376" s="35"/>
      <c r="S1376" s="36"/>
      <c r="T1376" s="35"/>
      <c r="U1376" s="36"/>
      <c r="V1376" s="37"/>
    </row>
    <row r="1377" spans="1:22" x14ac:dyDescent="0.25">
      <c r="A1377" s="27"/>
      <c r="B1377" s="27"/>
      <c r="C1377" s="27"/>
      <c r="D1377" s="27"/>
      <c r="E1377" s="27"/>
      <c r="F1377" s="27"/>
      <c r="G1377" s="27"/>
      <c r="H1377" s="28"/>
      <c r="I1377" s="27"/>
      <c r="J1377" s="29"/>
      <c r="K1377" s="30"/>
      <c r="L1377" s="31"/>
      <c r="M1377" s="32"/>
      <c r="N1377" s="30"/>
      <c r="O1377" s="30"/>
      <c r="P1377" s="39"/>
      <c r="Q1377" s="34"/>
      <c r="R1377" s="35"/>
      <c r="S1377" s="36"/>
      <c r="T1377" s="35"/>
      <c r="U1377" s="36"/>
      <c r="V1377" s="37"/>
    </row>
    <row r="1378" spans="1:22" x14ac:dyDescent="0.25">
      <c r="A1378" s="27"/>
      <c r="B1378" s="27"/>
      <c r="C1378" s="27"/>
      <c r="D1378" s="27"/>
      <c r="E1378" s="27"/>
      <c r="F1378" s="27"/>
      <c r="G1378" s="27"/>
      <c r="H1378" s="28"/>
      <c r="I1378" s="27"/>
      <c r="J1378" s="29"/>
      <c r="K1378" s="30"/>
      <c r="L1378" s="31"/>
      <c r="M1378" s="32"/>
      <c r="N1378" s="30"/>
      <c r="O1378" s="30"/>
      <c r="P1378" s="39"/>
      <c r="Q1378" s="34"/>
      <c r="R1378" s="35"/>
      <c r="S1378" s="36"/>
      <c r="T1378" s="35"/>
      <c r="U1378" s="36"/>
      <c r="V1378" s="37"/>
    </row>
    <row r="1379" spans="1:22" x14ac:dyDescent="0.25">
      <c r="A1379" s="27"/>
      <c r="B1379" s="27"/>
      <c r="C1379" s="27"/>
      <c r="D1379" s="27"/>
      <c r="E1379" s="27"/>
      <c r="F1379" s="27"/>
      <c r="G1379" s="27"/>
      <c r="H1379" s="28"/>
      <c r="I1379" s="27"/>
      <c r="J1379" s="29"/>
      <c r="K1379" s="30"/>
      <c r="L1379" s="31"/>
      <c r="M1379" s="32"/>
      <c r="N1379" s="30"/>
      <c r="O1379" s="30"/>
      <c r="P1379" s="39"/>
      <c r="Q1379" s="34"/>
      <c r="R1379" s="35"/>
      <c r="S1379" s="36"/>
      <c r="T1379" s="35"/>
      <c r="U1379" s="36"/>
      <c r="V1379" s="37"/>
    </row>
    <row r="1380" spans="1:22" x14ac:dyDescent="0.25">
      <c r="A1380" s="27"/>
      <c r="B1380" s="27"/>
      <c r="C1380" s="27"/>
      <c r="D1380" s="27"/>
      <c r="E1380" s="27"/>
      <c r="F1380" s="27"/>
      <c r="G1380" s="27"/>
      <c r="H1380" s="28"/>
      <c r="I1380" s="27"/>
      <c r="J1380" s="29"/>
      <c r="K1380" s="30"/>
      <c r="L1380" s="31"/>
      <c r="M1380" s="32"/>
      <c r="N1380" s="30"/>
      <c r="O1380" s="30"/>
      <c r="P1380" s="39"/>
      <c r="Q1380" s="34"/>
      <c r="R1380" s="35"/>
      <c r="S1380" s="36"/>
      <c r="T1380" s="35"/>
      <c r="U1380" s="36"/>
      <c r="V1380" s="37"/>
    </row>
    <row r="1381" spans="1:22" x14ac:dyDescent="0.25">
      <c r="A1381" s="27"/>
      <c r="B1381" s="27"/>
      <c r="C1381" s="27"/>
      <c r="D1381" s="27"/>
      <c r="E1381" s="27"/>
      <c r="F1381" s="27"/>
      <c r="G1381" s="27"/>
      <c r="H1381" s="28"/>
      <c r="I1381" s="27"/>
      <c r="J1381" s="29"/>
      <c r="K1381" s="30"/>
      <c r="L1381" s="31"/>
      <c r="M1381" s="32"/>
      <c r="N1381" s="30"/>
      <c r="O1381" s="30"/>
      <c r="P1381" s="39"/>
      <c r="Q1381" s="34"/>
      <c r="R1381" s="35"/>
      <c r="S1381" s="36"/>
      <c r="T1381" s="35"/>
      <c r="U1381" s="36"/>
      <c r="V1381" s="37"/>
    </row>
    <row r="1382" spans="1:22" x14ac:dyDescent="0.25">
      <c r="A1382" s="27"/>
      <c r="B1382" s="27"/>
      <c r="C1382" s="27"/>
      <c r="D1382" s="27"/>
      <c r="E1382" s="27"/>
      <c r="F1382" s="27"/>
      <c r="G1382" s="27"/>
      <c r="H1382" s="28"/>
      <c r="I1382" s="27"/>
      <c r="J1382" s="29"/>
      <c r="K1382" s="30"/>
      <c r="L1382" s="31"/>
      <c r="M1382" s="32"/>
      <c r="N1382" s="30"/>
      <c r="O1382" s="30"/>
      <c r="P1382" s="39"/>
      <c r="Q1382" s="34"/>
      <c r="R1382" s="35"/>
      <c r="S1382" s="36"/>
      <c r="T1382" s="35"/>
      <c r="U1382" s="36"/>
      <c r="V1382" s="37"/>
    </row>
    <row r="1383" spans="1:22" x14ac:dyDescent="0.25">
      <c r="A1383" s="27"/>
      <c r="B1383" s="27"/>
      <c r="C1383" s="27"/>
      <c r="D1383" s="27"/>
      <c r="E1383" s="27"/>
      <c r="F1383" s="27"/>
      <c r="G1383" s="27"/>
      <c r="H1383" s="28"/>
      <c r="I1383" s="27"/>
      <c r="J1383" s="29"/>
      <c r="K1383" s="30"/>
      <c r="L1383" s="31"/>
      <c r="M1383" s="32"/>
      <c r="N1383" s="30"/>
      <c r="O1383" s="30"/>
      <c r="P1383" s="39"/>
      <c r="Q1383" s="34"/>
      <c r="R1383" s="35"/>
      <c r="S1383" s="36"/>
      <c r="T1383" s="35"/>
      <c r="U1383" s="36"/>
      <c r="V1383" s="37"/>
    </row>
    <row r="1384" spans="1:22" x14ac:dyDescent="0.25">
      <c r="A1384" s="27"/>
      <c r="B1384" s="27"/>
      <c r="C1384" s="27"/>
      <c r="D1384" s="27"/>
      <c r="E1384" s="27"/>
      <c r="F1384" s="27"/>
      <c r="G1384" s="27"/>
      <c r="H1384" s="28"/>
      <c r="I1384" s="27"/>
      <c r="J1384" s="29"/>
      <c r="K1384" s="30"/>
      <c r="L1384" s="31"/>
      <c r="M1384" s="32"/>
      <c r="N1384" s="30"/>
      <c r="O1384" s="30"/>
      <c r="P1384" s="39"/>
      <c r="Q1384" s="34"/>
      <c r="R1384" s="35"/>
      <c r="S1384" s="36"/>
      <c r="T1384" s="35"/>
      <c r="U1384" s="36"/>
      <c r="V1384" s="37"/>
    </row>
    <row r="1385" spans="1:22" x14ac:dyDescent="0.25">
      <c r="A1385" s="27"/>
      <c r="B1385" s="27"/>
      <c r="C1385" s="27"/>
      <c r="D1385" s="27"/>
      <c r="E1385" s="27"/>
      <c r="F1385" s="27"/>
      <c r="G1385" s="27"/>
      <c r="H1385" s="28"/>
      <c r="I1385" s="27"/>
      <c r="J1385" s="29"/>
      <c r="K1385" s="30"/>
      <c r="L1385" s="31"/>
      <c r="M1385" s="32"/>
      <c r="N1385" s="30"/>
      <c r="O1385" s="30"/>
      <c r="P1385" s="39"/>
      <c r="Q1385" s="34"/>
      <c r="R1385" s="35"/>
      <c r="S1385" s="36"/>
      <c r="T1385" s="35"/>
      <c r="U1385" s="36"/>
      <c r="V1385" s="37"/>
    </row>
    <row r="1386" spans="1:22" x14ac:dyDescent="0.25">
      <c r="A1386" s="27"/>
      <c r="B1386" s="27"/>
      <c r="C1386" s="27"/>
      <c r="D1386" s="27"/>
      <c r="E1386" s="27"/>
      <c r="F1386" s="27"/>
      <c r="G1386" s="27"/>
      <c r="H1386" s="28"/>
      <c r="I1386" s="27"/>
      <c r="J1386" s="29"/>
      <c r="K1386" s="30"/>
      <c r="L1386" s="31"/>
      <c r="M1386" s="32"/>
      <c r="N1386" s="30"/>
      <c r="O1386" s="30"/>
      <c r="P1386" s="39"/>
      <c r="Q1386" s="34"/>
      <c r="R1386" s="35"/>
      <c r="S1386" s="36"/>
      <c r="T1386" s="35"/>
      <c r="U1386" s="36"/>
      <c r="V1386" s="37"/>
    </row>
    <row r="1387" spans="1:22" x14ac:dyDescent="0.25">
      <c r="A1387" s="27"/>
      <c r="B1387" s="27"/>
      <c r="C1387" s="27"/>
      <c r="D1387" s="27"/>
      <c r="E1387" s="27"/>
      <c r="F1387" s="27"/>
      <c r="G1387" s="27"/>
      <c r="H1387" s="28"/>
      <c r="I1387" s="27"/>
      <c r="J1387" s="29"/>
      <c r="K1387" s="30"/>
      <c r="L1387" s="31"/>
      <c r="M1387" s="32"/>
      <c r="N1387" s="30"/>
      <c r="O1387" s="30"/>
      <c r="P1387" s="39"/>
      <c r="Q1387" s="34"/>
      <c r="R1387" s="35"/>
      <c r="S1387" s="36"/>
      <c r="T1387" s="35"/>
      <c r="U1387" s="36"/>
      <c r="V1387" s="37"/>
    </row>
    <row r="1388" spans="1:22" x14ac:dyDescent="0.25">
      <c r="A1388" s="27"/>
      <c r="B1388" s="27"/>
      <c r="C1388" s="27"/>
      <c r="D1388" s="27"/>
      <c r="E1388" s="27"/>
      <c r="F1388" s="27"/>
      <c r="G1388" s="27"/>
      <c r="H1388" s="28"/>
      <c r="I1388" s="27"/>
      <c r="J1388" s="29"/>
      <c r="K1388" s="30"/>
      <c r="L1388" s="31"/>
      <c r="M1388" s="32"/>
      <c r="N1388" s="30"/>
      <c r="O1388" s="30"/>
      <c r="P1388" s="39"/>
      <c r="Q1388" s="34"/>
      <c r="R1388" s="35"/>
      <c r="S1388" s="36"/>
      <c r="T1388" s="35"/>
      <c r="U1388" s="36"/>
      <c r="V1388" s="37"/>
    </row>
    <row r="1389" spans="1:22" x14ac:dyDescent="0.25">
      <c r="A1389" s="27"/>
      <c r="B1389" s="27"/>
      <c r="C1389" s="27"/>
      <c r="D1389" s="27"/>
      <c r="E1389" s="27"/>
      <c r="F1389" s="27"/>
      <c r="G1389" s="27"/>
      <c r="H1389" s="28"/>
      <c r="I1389" s="27"/>
      <c r="J1389" s="29"/>
      <c r="K1389" s="30"/>
      <c r="L1389" s="31"/>
      <c r="M1389" s="32"/>
      <c r="N1389" s="30"/>
      <c r="O1389" s="30"/>
      <c r="P1389" s="39"/>
      <c r="Q1389" s="34"/>
      <c r="R1389" s="35"/>
      <c r="S1389" s="36"/>
      <c r="T1389" s="35"/>
      <c r="U1389" s="36"/>
      <c r="V1389" s="37"/>
    </row>
    <row r="1390" spans="1:22" x14ac:dyDescent="0.25">
      <c r="A1390" s="27"/>
      <c r="B1390" s="27"/>
      <c r="C1390" s="27"/>
      <c r="D1390" s="27"/>
      <c r="E1390" s="27"/>
      <c r="F1390" s="27"/>
      <c r="G1390" s="27"/>
      <c r="H1390" s="28"/>
      <c r="I1390" s="27"/>
      <c r="J1390" s="29"/>
      <c r="K1390" s="30"/>
      <c r="L1390" s="31"/>
      <c r="M1390" s="32"/>
      <c r="N1390" s="30"/>
      <c r="O1390" s="30"/>
      <c r="P1390" s="39"/>
      <c r="Q1390" s="34"/>
      <c r="R1390" s="35"/>
      <c r="S1390" s="36"/>
      <c r="T1390" s="35"/>
      <c r="U1390" s="36"/>
      <c r="V1390" s="37"/>
    </row>
    <row r="1391" spans="1:22" x14ac:dyDescent="0.25">
      <c r="A1391" s="27"/>
      <c r="B1391" s="27"/>
      <c r="C1391" s="27"/>
      <c r="D1391" s="27"/>
      <c r="E1391" s="27"/>
      <c r="F1391" s="27"/>
      <c r="G1391" s="27"/>
      <c r="H1391" s="28"/>
      <c r="I1391" s="27"/>
      <c r="J1391" s="29"/>
      <c r="K1391" s="30"/>
      <c r="L1391" s="31"/>
      <c r="M1391" s="32"/>
      <c r="N1391" s="30"/>
      <c r="O1391" s="30"/>
      <c r="P1391" s="39"/>
      <c r="Q1391" s="34"/>
      <c r="R1391" s="35"/>
      <c r="S1391" s="36"/>
      <c r="T1391" s="35"/>
      <c r="U1391" s="36"/>
      <c r="V1391" s="37"/>
    </row>
    <row r="1392" spans="1:22" x14ac:dyDescent="0.25">
      <c r="A1392" s="27"/>
      <c r="B1392" s="27"/>
      <c r="C1392" s="27"/>
      <c r="D1392" s="27"/>
      <c r="E1392" s="27"/>
      <c r="F1392" s="27"/>
      <c r="G1392" s="27"/>
      <c r="H1392" s="28"/>
      <c r="I1392" s="27"/>
      <c r="J1392" s="29"/>
      <c r="K1392" s="30"/>
      <c r="L1392" s="31"/>
      <c r="M1392" s="32"/>
      <c r="N1392" s="30"/>
      <c r="O1392" s="30"/>
      <c r="P1392" s="39"/>
      <c r="Q1392" s="34"/>
      <c r="R1392" s="35"/>
      <c r="S1392" s="36"/>
      <c r="T1392" s="35"/>
      <c r="U1392" s="36"/>
      <c r="V1392" s="37"/>
    </row>
    <row r="1393" spans="1:22" x14ac:dyDescent="0.25">
      <c r="A1393" s="27"/>
      <c r="B1393" s="27"/>
      <c r="C1393" s="27"/>
      <c r="D1393" s="27"/>
      <c r="E1393" s="27"/>
      <c r="F1393" s="27"/>
      <c r="G1393" s="27"/>
      <c r="H1393" s="28"/>
      <c r="I1393" s="27"/>
      <c r="J1393" s="29"/>
      <c r="K1393" s="30"/>
      <c r="L1393" s="31"/>
      <c r="M1393" s="32"/>
      <c r="N1393" s="30"/>
      <c r="O1393" s="30"/>
      <c r="P1393" s="39"/>
      <c r="Q1393" s="34"/>
      <c r="R1393" s="35"/>
      <c r="S1393" s="36"/>
      <c r="T1393" s="35"/>
      <c r="U1393" s="36"/>
      <c r="V1393" s="37"/>
    </row>
    <row r="1394" spans="1:22" x14ac:dyDescent="0.25">
      <c r="A1394" s="27"/>
      <c r="B1394" s="27"/>
      <c r="C1394" s="27"/>
      <c r="D1394" s="27"/>
      <c r="E1394" s="27"/>
      <c r="F1394" s="27"/>
      <c r="G1394" s="27"/>
      <c r="H1394" s="28"/>
      <c r="I1394" s="27"/>
      <c r="J1394" s="29"/>
      <c r="K1394" s="30"/>
      <c r="L1394" s="31"/>
      <c r="M1394" s="32"/>
      <c r="N1394" s="30"/>
      <c r="O1394" s="30"/>
      <c r="P1394" s="39"/>
      <c r="Q1394" s="34"/>
      <c r="R1394" s="35"/>
      <c r="S1394" s="36"/>
      <c r="T1394" s="35"/>
      <c r="U1394" s="36"/>
      <c r="V1394" s="37"/>
    </row>
    <row r="1395" spans="1:22" x14ac:dyDescent="0.25">
      <c r="A1395" s="27"/>
      <c r="B1395" s="27"/>
      <c r="C1395" s="27"/>
      <c r="D1395" s="27"/>
      <c r="E1395" s="27"/>
      <c r="F1395" s="27"/>
      <c r="G1395" s="27"/>
      <c r="H1395" s="28"/>
      <c r="I1395" s="27"/>
      <c r="J1395" s="29"/>
      <c r="K1395" s="30"/>
      <c r="L1395" s="31"/>
      <c r="M1395" s="32"/>
      <c r="N1395" s="30"/>
      <c r="O1395" s="30"/>
      <c r="P1395" s="39"/>
      <c r="Q1395" s="34"/>
      <c r="R1395" s="35"/>
      <c r="S1395" s="36"/>
      <c r="T1395" s="35"/>
      <c r="U1395" s="36"/>
      <c r="V1395" s="37"/>
    </row>
    <row r="1396" spans="1:22" x14ac:dyDescent="0.25">
      <c r="A1396" s="27"/>
      <c r="B1396" s="27"/>
      <c r="C1396" s="27"/>
      <c r="D1396" s="27"/>
      <c r="E1396" s="27"/>
      <c r="F1396" s="27"/>
      <c r="G1396" s="27"/>
      <c r="H1396" s="28"/>
      <c r="I1396" s="27"/>
      <c r="J1396" s="29"/>
      <c r="K1396" s="30"/>
      <c r="L1396" s="31"/>
      <c r="M1396" s="32"/>
      <c r="N1396" s="30"/>
      <c r="O1396" s="30"/>
      <c r="P1396" s="39"/>
      <c r="Q1396" s="34"/>
      <c r="R1396" s="35"/>
      <c r="S1396" s="36"/>
      <c r="T1396" s="35"/>
      <c r="U1396" s="36"/>
      <c r="V1396" s="37"/>
    </row>
    <row r="1397" spans="1:22" x14ac:dyDescent="0.25">
      <c r="A1397" s="27"/>
      <c r="B1397" s="27"/>
      <c r="C1397" s="27"/>
      <c r="D1397" s="27"/>
      <c r="E1397" s="27"/>
      <c r="F1397" s="27"/>
      <c r="G1397" s="27"/>
      <c r="H1397" s="28"/>
      <c r="I1397" s="27"/>
      <c r="J1397" s="29"/>
      <c r="K1397" s="30"/>
      <c r="L1397" s="31"/>
      <c r="M1397" s="32"/>
      <c r="N1397" s="30"/>
      <c r="O1397" s="30"/>
      <c r="P1397" s="39"/>
      <c r="Q1397" s="34"/>
      <c r="R1397" s="35"/>
      <c r="S1397" s="36"/>
      <c r="T1397" s="35"/>
      <c r="U1397" s="36"/>
      <c r="V1397" s="37"/>
    </row>
    <row r="1398" spans="1:22" x14ac:dyDescent="0.25">
      <c r="A1398" s="27"/>
      <c r="B1398" s="27"/>
      <c r="C1398" s="27"/>
      <c r="D1398" s="27"/>
      <c r="E1398" s="27"/>
      <c r="F1398" s="27"/>
      <c r="G1398" s="27"/>
      <c r="H1398" s="28"/>
      <c r="I1398" s="27"/>
      <c r="J1398" s="29"/>
      <c r="K1398" s="30"/>
      <c r="L1398" s="31"/>
      <c r="M1398" s="32"/>
      <c r="N1398" s="30"/>
      <c r="O1398" s="30"/>
      <c r="P1398" s="39"/>
      <c r="Q1398" s="34"/>
      <c r="R1398" s="35"/>
      <c r="S1398" s="36"/>
      <c r="T1398" s="35"/>
      <c r="U1398" s="36"/>
      <c r="V1398" s="37"/>
    </row>
    <row r="1399" spans="1:22" x14ac:dyDescent="0.25">
      <c r="A1399" s="27"/>
      <c r="B1399" s="27"/>
      <c r="C1399" s="27"/>
      <c r="D1399" s="27"/>
      <c r="E1399" s="27"/>
      <c r="F1399" s="27"/>
      <c r="G1399" s="27"/>
      <c r="H1399" s="28"/>
      <c r="I1399" s="27"/>
      <c r="J1399" s="29"/>
      <c r="K1399" s="30"/>
      <c r="L1399" s="31"/>
      <c r="M1399" s="32"/>
      <c r="N1399" s="30"/>
      <c r="O1399" s="30"/>
      <c r="P1399" s="39"/>
      <c r="Q1399" s="34"/>
      <c r="R1399" s="35"/>
      <c r="S1399" s="36"/>
      <c r="T1399" s="35"/>
      <c r="U1399" s="36"/>
      <c r="V1399" s="37"/>
    </row>
    <row r="1400" spans="1:22" x14ac:dyDescent="0.25">
      <c r="A1400" s="27"/>
      <c r="B1400" s="27"/>
      <c r="C1400" s="27"/>
      <c r="D1400" s="27"/>
      <c r="E1400" s="27"/>
      <c r="F1400" s="27"/>
      <c r="G1400" s="27"/>
      <c r="H1400" s="28"/>
      <c r="I1400" s="27"/>
      <c r="J1400" s="29"/>
      <c r="K1400" s="30"/>
      <c r="L1400" s="31"/>
      <c r="M1400" s="32"/>
      <c r="N1400" s="30"/>
      <c r="O1400" s="30"/>
      <c r="P1400" s="39"/>
      <c r="Q1400" s="34"/>
      <c r="R1400" s="35"/>
      <c r="S1400" s="36"/>
      <c r="T1400" s="35"/>
      <c r="U1400" s="36"/>
      <c r="V1400" s="37"/>
    </row>
    <row r="1401" spans="1:22" x14ac:dyDescent="0.25">
      <c r="A1401" s="27"/>
      <c r="B1401" s="27"/>
      <c r="C1401" s="27"/>
      <c r="D1401" s="27"/>
      <c r="E1401" s="27"/>
      <c r="F1401" s="27"/>
      <c r="G1401" s="27"/>
      <c r="H1401" s="28"/>
      <c r="I1401" s="27"/>
      <c r="J1401" s="29"/>
      <c r="K1401" s="30"/>
      <c r="L1401" s="31"/>
      <c r="M1401" s="32"/>
      <c r="N1401" s="30"/>
      <c r="O1401" s="30"/>
      <c r="P1401" s="39"/>
      <c r="Q1401" s="34"/>
      <c r="R1401" s="35"/>
      <c r="S1401" s="36"/>
      <c r="T1401" s="35"/>
      <c r="U1401" s="36"/>
      <c r="V1401" s="37"/>
    </row>
    <row r="1402" spans="1:22" x14ac:dyDescent="0.25">
      <c r="A1402" s="27"/>
      <c r="B1402" s="27"/>
      <c r="C1402" s="27"/>
      <c r="D1402" s="27"/>
      <c r="E1402" s="27"/>
      <c r="F1402" s="27"/>
      <c r="G1402" s="27"/>
      <c r="H1402" s="28"/>
      <c r="I1402" s="27"/>
      <c r="J1402" s="29"/>
      <c r="K1402" s="30"/>
      <c r="L1402" s="31"/>
      <c r="M1402" s="32"/>
      <c r="N1402" s="30"/>
      <c r="O1402" s="30"/>
      <c r="P1402" s="39"/>
      <c r="Q1402" s="34"/>
      <c r="R1402" s="35"/>
      <c r="S1402" s="36"/>
      <c r="T1402" s="35"/>
      <c r="U1402" s="36"/>
      <c r="V1402" s="37"/>
    </row>
    <row r="1403" spans="1:22" x14ac:dyDescent="0.25">
      <c r="A1403" s="27"/>
      <c r="B1403" s="27"/>
      <c r="C1403" s="27"/>
      <c r="D1403" s="27"/>
      <c r="E1403" s="27"/>
      <c r="F1403" s="27"/>
      <c r="G1403" s="27"/>
      <c r="H1403" s="28"/>
      <c r="I1403" s="27"/>
      <c r="J1403" s="29"/>
      <c r="K1403" s="30"/>
      <c r="L1403" s="31"/>
      <c r="M1403" s="32"/>
      <c r="N1403" s="30"/>
      <c r="O1403" s="30"/>
      <c r="P1403" s="39"/>
      <c r="Q1403" s="34"/>
      <c r="R1403" s="35"/>
      <c r="S1403" s="36"/>
      <c r="T1403" s="35"/>
      <c r="U1403" s="36"/>
      <c r="V1403" s="37"/>
    </row>
    <row r="1404" spans="1:22" x14ac:dyDescent="0.25">
      <c r="A1404" s="27"/>
      <c r="B1404" s="27"/>
      <c r="C1404" s="27"/>
      <c r="D1404" s="27"/>
      <c r="E1404" s="27"/>
      <c r="F1404" s="27"/>
      <c r="G1404" s="27"/>
      <c r="H1404" s="28"/>
      <c r="I1404" s="27"/>
      <c r="J1404" s="29"/>
      <c r="K1404" s="30"/>
      <c r="L1404" s="31"/>
      <c r="M1404" s="32"/>
      <c r="N1404" s="30"/>
      <c r="O1404" s="30"/>
      <c r="P1404" s="39"/>
      <c r="Q1404" s="34"/>
      <c r="R1404" s="35"/>
      <c r="S1404" s="36"/>
      <c r="T1404" s="35"/>
      <c r="U1404" s="36"/>
      <c r="V1404" s="37"/>
    </row>
    <row r="1405" spans="1:22" x14ac:dyDescent="0.25">
      <c r="A1405" s="27"/>
      <c r="B1405" s="27"/>
      <c r="C1405" s="27"/>
      <c r="D1405" s="27"/>
      <c r="E1405" s="27"/>
      <c r="F1405" s="27"/>
      <c r="G1405" s="27"/>
      <c r="H1405" s="28"/>
      <c r="I1405" s="27"/>
      <c r="J1405" s="29"/>
      <c r="K1405" s="30"/>
      <c r="L1405" s="31"/>
      <c r="M1405" s="32"/>
      <c r="N1405" s="30"/>
      <c r="O1405" s="30"/>
      <c r="P1405" s="39"/>
      <c r="Q1405" s="34"/>
      <c r="R1405" s="35"/>
      <c r="S1405" s="36"/>
      <c r="T1405" s="35"/>
      <c r="U1405" s="36"/>
      <c r="V1405" s="37"/>
    </row>
    <row r="1406" spans="1:22" x14ac:dyDescent="0.25">
      <c r="A1406" s="27"/>
      <c r="B1406" s="27"/>
      <c r="C1406" s="27"/>
      <c r="D1406" s="27"/>
      <c r="E1406" s="27"/>
      <c r="F1406" s="27"/>
      <c r="G1406" s="27"/>
      <c r="H1406" s="28"/>
      <c r="I1406" s="27"/>
      <c r="J1406" s="29"/>
      <c r="K1406" s="30"/>
      <c r="L1406" s="31"/>
      <c r="M1406" s="32"/>
      <c r="N1406" s="30"/>
      <c r="O1406" s="30"/>
      <c r="P1406" s="39"/>
      <c r="Q1406" s="34"/>
      <c r="R1406" s="35"/>
      <c r="S1406" s="36"/>
      <c r="T1406" s="35"/>
      <c r="U1406" s="36"/>
      <c r="V1406" s="37"/>
    </row>
    <row r="1407" spans="1:22" x14ac:dyDescent="0.25">
      <c r="A1407" s="27"/>
      <c r="B1407" s="27"/>
      <c r="C1407" s="27"/>
      <c r="D1407" s="27"/>
      <c r="E1407" s="27"/>
      <c r="F1407" s="27"/>
      <c r="G1407" s="27"/>
      <c r="H1407" s="28"/>
      <c r="I1407" s="27"/>
      <c r="J1407" s="29"/>
      <c r="K1407" s="30"/>
      <c r="L1407" s="31"/>
      <c r="M1407" s="32"/>
      <c r="N1407" s="30"/>
      <c r="O1407" s="30"/>
      <c r="P1407" s="39"/>
      <c r="Q1407" s="34"/>
      <c r="R1407" s="35"/>
      <c r="S1407" s="36"/>
      <c r="T1407" s="35"/>
      <c r="U1407" s="36"/>
      <c r="V1407" s="37"/>
    </row>
    <row r="1408" spans="1:22" x14ac:dyDescent="0.25">
      <c r="A1408" s="27"/>
      <c r="B1408" s="27"/>
      <c r="C1408" s="27"/>
      <c r="D1408" s="27"/>
      <c r="E1408" s="27"/>
      <c r="F1408" s="27"/>
      <c r="G1408" s="27"/>
      <c r="H1408" s="28"/>
      <c r="I1408" s="27"/>
      <c r="J1408" s="29"/>
      <c r="K1408" s="30"/>
      <c r="L1408" s="31"/>
      <c r="M1408" s="32"/>
      <c r="N1408" s="30"/>
      <c r="O1408" s="30"/>
      <c r="P1408" s="39"/>
      <c r="Q1408" s="34"/>
      <c r="R1408" s="35"/>
      <c r="S1408" s="36"/>
      <c r="T1408" s="35"/>
      <c r="U1408" s="36"/>
      <c r="V1408" s="37"/>
    </row>
    <row r="1409" spans="1:22" x14ac:dyDescent="0.25">
      <c r="A1409" s="27"/>
      <c r="B1409" s="27"/>
      <c r="C1409" s="27"/>
      <c r="D1409" s="27"/>
      <c r="E1409" s="27"/>
      <c r="F1409" s="27"/>
      <c r="G1409" s="27"/>
      <c r="H1409" s="28"/>
      <c r="I1409" s="27"/>
      <c r="J1409" s="29"/>
      <c r="K1409" s="30"/>
      <c r="L1409" s="31"/>
      <c r="M1409" s="32"/>
      <c r="N1409" s="30"/>
      <c r="O1409" s="30"/>
      <c r="P1409" s="39"/>
      <c r="Q1409" s="34"/>
      <c r="R1409" s="35"/>
      <c r="S1409" s="36"/>
      <c r="T1409" s="35"/>
      <c r="U1409" s="36"/>
      <c r="V1409" s="37"/>
    </row>
    <row r="1410" spans="1:22" x14ac:dyDescent="0.25">
      <c r="A1410" s="27"/>
      <c r="B1410" s="27"/>
      <c r="C1410" s="27"/>
      <c r="D1410" s="27"/>
      <c r="E1410" s="27"/>
      <c r="F1410" s="27"/>
      <c r="G1410" s="27"/>
      <c r="H1410" s="28"/>
      <c r="I1410" s="27"/>
      <c r="J1410" s="29"/>
      <c r="K1410" s="30"/>
      <c r="L1410" s="31"/>
      <c r="M1410" s="32"/>
      <c r="N1410" s="30"/>
      <c r="O1410" s="30"/>
      <c r="P1410" s="39"/>
      <c r="Q1410" s="34"/>
      <c r="R1410" s="35"/>
      <c r="S1410" s="36"/>
      <c r="T1410" s="35"/>
      <c r="U1410" s="36"/>
      <c r="V1410" s="37"/>
    </row>
    <row r="1411" spans="1:22" x14ac:dyDescent="0.25">
      <c r="A1411" s="27"/>
      <c r="B1411" s="27"/>
      <c r="C1411" s="27"/>
      <c r="D1411" s="27"/>
      <c r="E1411" s="27"/>
      <c r="F1411" s="27"/>
      <c r="G1411" s="27"/>
      <c r="H1411" s="28"/>
      <c r="I1411" s="27"/>
      <c r="J1411" s="29"/>
      <c r="K1411" s="30"/>
      <c r="L1411" s="31"/>
      <c r="M1411" s="32"/>
      <c r="N1411" s="30"/>
      <c r="O1411" s="30"/>
      <c r="P1411" s="39"/>
      <c r="Q1411" s="34"/>
      <c r="R1411" s="35"/>
      <c r="S1411" s="36"/>
      <c r="T1411" s="35"/>
      <c r="U1411" s="36"/>
      <c r="V1411" s="37"/>
    </row>
    <row r="1412" spans="1:22" x14ac:dyDescent="0.25">
      <c r="A1412" s="27"/>
      <c r="B1412" s="27"/>
      <c r="C1412" s="27"/>
      <c r="D1412" s="27"/>
      <c r="E1412" s="27"/>
      <c r="F1412" s="27"/>
      <c r="G1412" s="27"/>
      <c r="H1412" s="28"/>
      <c r="I1412" s="27"/>
      <c r="J1412" s="29"/>
      <c r="K1412" s="30"/>
      <c r="L1412" s="31"/>
      <c r="M1412" s="32"/>
      <c r="N1412" s="30"/>
      <c r="O1412" s="30"/>
      <c r="P1412" s="39"/>
      <c r="Q1412" s="34"/>
      <c r="R1412" s="35"/>
      <c r="S1412" s="36"/>
      <c r="T1412" s="35"/>
      <c r="U1412" s="36"/>
      <c r="V1412" s="37"/>
    </row>
    <row r="1413" spans="1:22" x14ac:dyDescent="0.25">
      <c r="A1413" s="27"/>
      <c r="B1413" s="27"/>
      <c r="C1413" s="27"/>
      <c r="D1413" s="27"/>
      <c r="E1413" s="27"/>
      <c r="F1413" s="27"/>
      <c r="G1413" s="27"/>
      <c r="H1413" s="28"/>
      <c r="I1413" s="27"/>
      <c r="J1413" s="29"/>
      <c r="K1413" s="30"/>
      <c r="L1413" s="31"/>
      <c r="M1413" s="32"/>
      <c r="N1413" s="30"/>
      <c r="O1413" s="30"/>
      <c r="P1413" s="39"/>
      <c r="Q1413" s="34"/>
      <c r="R1413" s="35"/>
      <c r="S1413" s="36"/>
      <c r="T1413" s="35"/>
      <c r="U1413" s="36"/>
      <c r="V1413" s="37"/>
    </row>
    <row r="1414" spans="1:22" x14ac:dyDescent="0.25">
      <c r="A1414" s="27"/>
      <c r="B1414" s="27"/>
      <c r="C1414" s="27"/>
      <c r="D1414" s="27"/>
      <c r="E1414" s="27"/>
      <c r="F1414" s="27"/>
      <c r="G1414" s="27"/>
      <c r="H1414" s="28"/>
      <c r="I1414" s="27"/>
      <c r="J1414" s="29"/>
      <c r="K1414" s="30"/>
      <c r="L1414" s="31"/>
      <c r="M1414" s="32"/>
      <c r="N1414" s="30"/>
      <c r="O1414" s="30"/>
      <c r="P1414" s="39"/>
      <c r="Q1414" s="34"/>
      <c r="R1414" s="35"/>
      <c r="S1414" s="36"/>
      <c r="T1414" s="35"/>
      <c r="U1414" s="36"/>
      <c r="V1414" s="37"/>
    </row>
    <row r="1415" spans="1:22" x14ac:dyDescent="0.25">
      <c r="A1415" s="27"/>
      <c r="B1415" s="27"/>
      <c r="C1415" s="27"/>
      <c r="D1415" s="27"/>
      <c r="E1415" s="27"/>
      <c r="F1415" s="27"/>
      <c r="G1415" s="27"/>
      <c r="H1415" s="28"/>
      <c r="I1415" s="27"/>
      <c r="J1415" s="29"/>
      <c r="K1415" s="30"/>
      <c r="L1415" s="31"/>
      <c r="M1415" s="32"/>
      <c r="N1415" s="30"/>
      <c r="O1415" s="30"/>
      <c r="P1415" s="39"/>
      <c r="Q1415" s="34"/>
      <c r="R1415" s="35"/>
      <c r="S1415" s="36"/>
      <c r="T1415" s="35"/>
      <c r="U1415" s="36"/>
      <c r="V1415" s="37"/>
    </row>
    <row r="1416" spans="1:22" x14ac:dyDescent="0.25">
      <c r="A1416" s="27"/>
      <c r="B1416" s="27"/>
      <c r="C1416" s="27"/>
      <c r="D1416" s="27"/>
      <c r="E1416" s="27"/>
      <c r="F1416" s="27"/>
      <c r="G1416" s="27"/>
      <c r="H1416" s="28"/>
      <c r="I1416" s="27"/>
      <c r="J1416" s="29"/>
      <c r="K1416" s="30"/>
      <c r="L1416" s="31"/>
      <c r="M1416" s="32"/>
      <c r="N1416" s="30"/>
      <c r="O1416" s="30"/>
      <c r="P1416" s="39"/>
      <c r="Q1416" s="34"/>
      <c r="R1416" s="35"/>
      <c r="S1416" s="36"/>
      <c r="T1416" s="35"/>
      <c r="U1416" s="36"/>
      <c r="V1416" s="37"/>
    </row>
    <row r="1417" spans="1:22" x14ac:dyDescent="0.25">
      <c r="A1417" s="27"/>
      <c r="B1417" s="27"/>
      <c r="C1417" s="27"/>
      <c r="D1417" s="27"/>
      <c r="E1417" s="27"/>
      <c r="F1417" s="27"/>
      <c r="G1417" s="27"/>
      <c r="H1417" s="28"/>
      <c r="I1417" s="27"/>
      <c r="J1417" s="29"/>
      <c r="K1417" s="30"/>
      <c r="L1417" s="31"/>
      <c r="M1417" s="32"/>
      <c r="N1417" s="30"/>
      <c r="O1417" s="30"/>
      <c r="P1417" s="39"/>
      <c r="Q1417" s="34"/>
      <c r="R1417" s="35"/>
      <c r="S1417" s="36"/>
      <c r="T1417" s="35"/>
      <c r="U1417" s="36"/>
      <c r="V1417" s="37"/>
    </row>
    <row r="1418" spans="1:22" x14ac:dyDescent="0.25">
      <c r="A1418" s="27"/>
      <c r="B1418" s="27"/>
      <c r="C1418" s="27"/>
      <c r="D1418" s="27"/>
      <c r="E1418" s="27"/>
      <c r="F1418" s="27"/>
      <c r="G1418" s="27"/>
      <c r="H1418" s="28"/>
      <c r="I1418" s="27"/>
      <c r="J1418" s="29"/>
      <c r="K1418" s="30"/>
      <c r="L1418" s="31"/>
      <c r="M1418" s="32"/>
      <c r="N1418" s="30"/>
      <c r="O1418" s="30"/>
      <c r="P1418" s="39"/>
      <c r="Q1418" s="34"/>
      <c r="R1418" s="35"/>
      <c r="S1418" s="36"/>
      <c r="T1418" s="35"/>
      <c r="U1418" s="36"/>
      <c r="V1418" s="37"/>
    </row>
    <row r="1419" spans="1:22" x14ac:dyDescent="0.25">
      <c r="A1419" s="27"/>
      <c r="B1419" s="27"/>
      <c r="C1419" s="27"/>
      <c r="D1419" s="27"/>
      <c r="E1419" s="27"/>
      <c r="F1419" s="27"/>
      <c r="G1419" s="27"/>
      <c r="H1419" s="28"/>
      <c r="I1419" s="27"/>
      <c r="J1419" s="29"/>
      <c r="K1419" s="30"/>
      <c r="L1419" s="31"/>
      <c r="M1419" s="32"/>
      <c r="N1419" s="30"/>
      <c r="O1419" s="30"/>
      <c r="P1419" s="39"/>
      <c r="Q1419" s="34"/>
      <c r="R1419" s="35"/>
      <c r="S1419" s="36"/>
      <c r="T1419" s="35"/>
      <c r="U1419" s="36"/>
      <c r="V1419" s="37"/>
    </row>
    <row r="1420" spans="1:22" x14ac:dyDescent="0.25">
      <c r="A1420" s="27"/>
      <c r="B1420" s="27"/>
      <c r="C1420" s="27"/>
      <c r="D1420" s="27"/>
      <c r="E1420" s="27"/>
      <c r="F1420" s="27"/>
      <c r="G1420" s="27"/>
      <c r="H1420" s="28"/>
      <c r="I1420" s="27"/>
      <c r="J1420" s="29"/>
      <c r="K1420" s="30"/>
      <c r="L1420" s="31"/>
      <c r="M1420" s="32"/>
      <c r="N1420" s="30"/>
      <c r="O1420" s="30"/>
      <c r="P1420" s="39"/>
      <c r="Q1420" s="34"/>
      <c r="R1420" s="35"/>
      <c r="S1420" s="36"/>
      <c r="T1420" s="35"/>
      <c r="U1420" s="36"/>
      <c r="V1420" s="37"/>
    </row>
    <row r="1421" spans="1:22" x14ac:dyDescent="0.25">
      <c r="A1421" s="27"/>
      <c r="B1421" s="27"/>
      <c r="C1421" s="27"/>
      <c r="D1421" s="27"/>
      <c r="E1421" s="27"/>
      <c r="F1421" s="27"/>
      <c r="G1421" s="27"/>
      <c r="H1421" s="28"/>
      <c r="I1421" s="27"/>
      <c r="J1421" s="29"/>
      <c r="K1421" s="30"/>
      <c r="L1421" s="31"/>
      <c r="M1421" s="32"/>
      <c r="N1421" s="30"/>
      <c r="O1421" s="30"/>
      <c r="P1421" s="39"/>
      <c r="Q1421" s="34"/>
      <c r="R1421" s="35"/>
      <c r="S1421" s="36"/>
      <c r="T1421" s="35"/>
      <c r="U1421" s="36"/>
      <c r="V1421" s="37"/>
    </row>
    <row r="1422" spans="1:22" x14ac:dyDescent="0.25">
      <c r="A1422" s="27"/>
      <c r="B1422" s="27"/>
      <c r="C1422" s="27"/>
      <c r="D1422" s="27"/>
      <c r="E1422" s="27"/>
      <c r="F1422" s="27"/>
      <c r="G1422" s="27"/>
      <c r="H1422" s="28"/>
      <c r="I1422" s="27"/>
      <c r="J1422" s="29"/>
      <c r="K1422" s="30"/>
      <c r="L1422" s="31"/>
      <c r="M1422" s="32"/>
      <c r="N1422" s="30"/>
      <c r="O1422" s="30"/>
      <c r="P1422" s="39"/>
      <c r="Q1422" s="34"/>
      <c r="R1422" s="35"/>
      <c r="S1422" s="36"/>
      <c r="T1422" s="35"/>
      <c r="U1422" s="36"/>
      <c r="V1422" s="37"/>
    </row>
    <row r="1423" spans="1:22" x14ac:dyDescent="0.25">
      <c r="A1423" s="27"/>
      <c r="B1423" s="27"/>
      <c r="C1423" s="27"/>
      <c r="D1423" s="27"/>
      <c r="E1423" s="27"/>
      <c r="F1423" s="27"/>
      <c r="G1423" s="27"/>
      <c r="H1423" s="28"/>
      <c r="I1423" s="27"/>
      <c r="J1423" s="29"/>
      <c r="K1423" s="30"/>
      <c r="L1423" s="31"/>
      <c r="M1423" s="32"/>
      <c r="N1423" s="30"/>
      <c r="O1423" s="30"/>
      <c r="P1423" s="39"/>
      <c r="Q1423" s="34"/>
      <c r="R1423" s="35"/>
      <c r="S1423" s="36"/>
      <c r="T1423" s="35"/>
      <c r="U1423" s="36"/>
      <c r="V1423" s="37"/>
    </row>
    <row r="1424" spans="1:22" x14ac:dyDescent="0.25">
      <c r="A1424" s="27"/>
      <c r="B1424" s="27"/>
      <c r="C1424" s="27"/>
      <c r="D1424" s="27"/>
      <c r="E1424" s="27"/>
      <c r="F1424" s="27"/>
      <c r="G1424" s="27"/>
      <c r="H1424" s="28"/>
      <c r="I1424" s="27"/>
      <c r="J1424" s="29"/>
      <c r="K1424" s="30"/>
      <c r="L1424" s="31"/>
      <c r="M1424" s="32"/>
      <c r="N1424" s="30"/>
      <c r="O1424" s="30"/>
      <c r="P1424" s="39"/>
      <c r="Q1424" s="34"/>
      <c r="R1424" s="35"/>
      <c r="S1424" s="36"/>
      <c r="T1424" s="35"/>
      <c r="U1424" s="36"/>
      <c r="V1424" s="37"/>
    </row>
    <row r="1425" spans="1:22" x14ac:dyDescent="0.25">
      <c r="A1425" s="27"/>
      <c r="B1425" s="27"/>
      <c r="C1425" s="27"/>
      <c r="D1425" s="27"/>
      <c r="E1425" s="27"/>
      <c r="F1425" s="27"/>
      <c r="G1425" s="27"/>
      <c r="H1425" s="28"/>
      <c r="I1425" s="27"/>
      <c r="J1425" s="29"/>
      <c r="K1425" s="30"/>
      <c r="L1425" s="31"/>
      <c r="M1425" s="32"/>
      <c r="N1425" s="30"/>
      <c r="O1425" s="30"/>
      <c r="P1425" s="39"/>
      <c r="Q1425" s="34"/>
      <c r="R1425" s="35"/>
      <c r="S1425" s="36"/>
      <c r="T1425" s="35"/>
      <c r="U1425" s="36"/>
      <c r="V1425" s="37"/>
    </row>
    <row r="1426" spans="1:22" x14ac:dyDescent="0.25">
      <c r="A1426" s="27"/>
      <c r="B1426" s="27"/>
      <c r="C1426" s="27"/>
      <c r="D1426" s="27"/>
      <c r="E1426" s="27"/>
      <c r="F1426" s="27"/>
      <c r="G1426" s="27"/>
      <c r="H1426" s="28"/>
      <c r="I1426" s="27"/>
      <c r="J1426" s="29"/>
      <c r="K1426" s="30"/>
      <c r="L1426" s="31"/>
      <c r="M1426" s="32"/>
      <c r="N1426" s="30"/>
      <c r="O1426" s="30"/>
      <c r="P1426" s="39"/>
      <c r="Q1426" s="34"/>
      <c r="R1426" s="35"/>
      <c r="S1426" s="36"/>
      <c r="T1426" s="35"/>
      <c r="U1426" s="36"/>
      <c r="V1426" s="37"/>
    </row>
    <row r="1427" spans="1:22" x14ac:dyDescent="0.25">
      <c r="A1427" s="27"/>
      <c r="B1427" s="27"/>
      <c r="C1427" s="27"/>
      <c r="D1427" s="27"/>
      <c r="E1427" s="27"/>
      <c r="F1427" s="27"/>
      <c r="G1427" s="27"/>
      <c r="H1427" s="28"/>
      <c r="I1427" s="27"/>
      <c r="J1427" s="29"/>
      <c r="K1427" s="30"/>
      <c r="L1427" s="31"/>
      <c r="M1427" s="32"/>
      <c r="N1427" s="30"/>
      <c r="O1427" s="30"/>
      <c r="P1427" s="39"/>
      <c r="Q1427" s="34"/>
      <c r="R1427" s="35"/>
      <c r="S1427" s="36"/>
      <c r="T1427" s="35"/>
      <c r="U1427" s="36"/>
      <c r="V1427" s="37"/>
    </row>
    <row r="1428" spans="1:22" x14ac:dyDescent="0.25">
      <c r="A1428" s="27"/>
      <c r="B1428" s="27"/>
      <c r="C1428" s="27"/>
      <c r="D1428" s="27"/>
      <c r="E1428" s="27"/>
      <c r="F1428" s="27"/>
      <c r="G1428" s="27"/>
      <c r="H1428" s="28"/>
      <c r="I1428" s="27"/>
      <c r="J1428" s="29"/>
      <c r="K1428" s="30"/>
      <c r="L1428" s="31"/>
      <c r="M1428" s="32"/>
      <c r="N1428" s="30"/>
      <c r="O1428" s="30"/>
      <c r="P1428" s="39"/>
      <c r="Q1428" s="34"/>
      <c r="R1428" s="35"/>
      <c r="S1428" s="36"/>
      <c r="T1428" s="35"/>
      <c r="U1428" s="36"/>
      <c r="V1428" s="37"/>
    </row>
    <row r="1429" spans="1:22" x14ac:dyDescent="0.25">
      <c r="A1429" s="27"/>
      <c r="B1429" s="27"/>
      <c r="C1429" s="27"/>
      <c r="D1429" s="27"/>
      <c r="E1429" s="27"/>
      <c r="F1429" s="27"/>
      <c r="G1429" s="27"/>
      <c r="H1429" s="28"/>
      <c r="I1429" s="27"/>
      <c r="J1429" s="29"/>
      <c r="K1429" s="30"/>
      <c r="L1429" s="31"/>
      <c r="M1429" s="32"/>
      <c r="N1429" s="30"/>
      <c r="O1429" s="30"/>
      <c r="P1429" s="39"/>
      <c r="Q1429" s="34"/>
      <c r="R1429" s="35"/>
      <c r="S1429" s="36"/>
      <c r="T1429" s="35"/>
      <c r="U1429" s="36"/>
      <c r="V1429" s="37"/>
    </row>
    <row r="1430" spans="1:22" x14ac:dyDescent="0.25">
      <c r="A1430" s="27"/>
      <c r="B1430" s="27"/>
      <c r="C1430" s="27"/>
      <c r="D1430" s="27"/>
      <c r="E1430" s="27"/>
      <c r="F1430" s="27"/>
      <c r="G1430" s="27"/>
      <c r="H1430" s="28"/>
      <c r="I1430" s="27"/>
      <c r="J1430" s="29"/>
      <c r="K1430" s="30"/>
      <c r="L1430" s="31"/>
      <c r="M1430" s="32"/>
      <c r="N1430" s="30"/>
      <c r="O1430" s="30"/>
      <c r="P1430" s="39"/>
      <c r="Q1430" s="34"/>
      <c r="R1430" s="35"/>
      <c r="S1430" s="36"/>
      <c r="T1430" s="35"/>
      <c r="U1430" s="36"/>
      <c r="V1430" s="37"/>
    </row>
    <row r="1431" spans="1:22" x14ac:dyDescent="0.25">
      <c r="A1431" s="27"/>
      <c r="B1431" s="27"/>
      <c r="C1431" s="27"/>
      <c r="D1431" s="27"/>
      <c r="E1431" s="27"/>
      <c r="F1431" s="27"/>
      <c r="G1431" s="27"/>
      <c r="H1431" s="28"/>
      <c r="I1431" s="27"/>
      <c r="J1431" s="29"/>
      <c r="K1431" s="30"/>
      <c r="L1431" s="31"/>
      <c r="M1431" s="32"/>
      <c r="N1431" s="30"/>
      <c r="O1431" s="30"/>
      <c r="P1431" s="39"/>
      <c r="Q1431" s="34"/>
      <c r="R1431" s="35"/>
      <c r="S1431" s="36"/>
      <c r="T1431" s="35"/>
      <c r="U1431" s="36"/>
      <c r="V1431" s="37"/>
    </row>
    <row r="1432" spans="1:22" x14ac:dyDescent="0.25">
      <c r="A1432" s="27"/>
      <c r="B1432" s="27"/>
      <c r="C1432" s="27"/>
      <c r="D1432" s="27"/>
      <c r="E1432" s="27"/>
      <c r="F1432" s="27"/>
      <c r="G1432" s="27"/>
      <c r="H1432" s="28"/>
      <c r="I1432" s="27"/>
      <c r="J1432" s="29"/>
      <c r="K1432" s="30"/>
      <c r="L1432" s="31"/>
      <c r="M1432" s="32"/>
      <c r="N1432" s="30"/>
      <c r="O1432" s="30"/>
      <c r="P1432" s="39"/>
      <c r="Q1432" s="34"/>
      <c r="R1432" s="35"/>
      <c r="S1432" s="36"/>
      <c r="T1432" s="35"/>
      <c r="U1432" s="36"/>
      <c r="V1432" s="37"/>
    </row>
    <row r="1433" spans="1:22" x14ac:dyDescent="0.25">
      <c r="A1433" s="27"/>
      <c r="B1433" s="27"/>
      <c r="C1433" s="27"/>
      <c r="D1433" s="27"/>
      <c r="E1433" s="27"/>
      <c r="F1433" s="27"/>
      <c r="G1433" s="27"/>
      <c r="H1433" s="28"/>
      <c r="I1433" s="27"/>
      <c r="J1433" s="29"/>
      <c r="K1433" s="30"/>
      <c r="L1433" s="31"/>
      <c r="M1433" s="32"/>
      <c r="N1433" s="30"/>
      <c r="O1433" s="30"/>
      <c r="P1433" s="39"/>
      <c r="Q1433" s="34"/>
      <c r="R1433" s="35"/>
      <c r="S1433" s="36"/>
      <c r="T1433" s="35"/>
      <c r="U1433" s="36"/>
      <c r="V1433" s="37"/>
    </row>
    <row r="1434" spans="1:22" x14ac:dyDescent="0.25">
      <c r="A1434" s="27"/>
      <c r="B1434" s="27"/>
      <c r="C1434" s="27"/>
      <c r="D1434" s="27"/>
      <c r="E1434" s="27"/>
      <c r="F1434" s="27"/>
      <c r="G1434" s="27"/>
      <c r="H1434" s="28"/>
      <c r="I1434" s="27"/>
      <c r="J1434" s="29"/>
      <c r="K1434" s="30"/>
      <c r="L1434" s="31"/>
      <c r="M1434" s="32"/>
      <c r="N1434" s="30"/>
      <c r="O1434" s="30"/>
      <c r="P1434" s="39"/>
      <c r="Q1434" s="34"/>
      <c r="R1434" s="35"/>
      <c r="S1434" s="36"/>
      <c r="T1434" s="35"/>
      <c r="U1434" s="36"/>
      <c r="V1434" s="37"/>
    </row>
    <row r="1435" spans="1:22" x14ac:dyDescent="0.25">
      <c r="A1435" s="27"/>
      <c r="B1435" s="27"/>
      <c r="C1435" s="27"/>
      <c r="D1435" s="27"/>
      <c r="E1435" s="27"/>
      <c r="F1435" s="27"/>
      <c r="G1435" s="27"/>
      <c r="H1435" s="28"/>
      <c r="I1435" s="27"/>
      <c r="J1435" s="29"/>
      <c r="K1435" s="30"/>
      <c r="L1435" s="31"/>
      <c r="M1435" s="32"/>
      <c r="N1435" s="30"/>
      <c r="O1435" s="30"/>
      <c r="P1435" s="39"/>
      <c r="Q1435" s="34"/>
      <c r="R1435" s="35"/>
      <c r="S1435" s="36"/>
      <c r="T1435" s="35"/>
      <c r="U1435" s="36"/>
      <c r="V1435" s="37"/>
    </row>
    <row r="1436" spans="1:22" x14ac:dyDescent="0.25">
      <c r="A1436" s="27"/>
      <c r="B1436" s="27"/>
      <c r="C1436" s="27"/>
      <c r="D1436" s="27"/>
      <c r="E1436" s="27"/>
      <c r="F1436" s="27"/>
      <c r="G1436" s="27"/>
      <c r="H1436" s="28"/>
      <c r="I1436" s="27"/>
      <c r="J1436" s="29"/>
      <c r="K1436" s="30"/>
      <c r="L1436" s="31"/>
      <c r="M1436" s="32"/>
      <c r="N1436" s="30"/>
      <c r="O1436" s="30"/>
      <c r="P1436" s="39"/>
      <c r="Q1436" s="34"/>
      <c r="R1436" s="35"/>
      <c r="S1436" s="36"/>
      <c r="T1436" s="35"/>
      <c r="U1436" s="36"/>
      <c r="V1436" s="37"/>
    </row>
    <row r="1437" spans="1:22" x14ac:dyDescent="0.25">
      <c r="A1437" s="27"/>
      <c r="B1437" s="27"/>
      <c r="C1437" s="27"/>
      <c r="D1437" s="27"/>
      <c r="E1437" s="27"/>
      <c r="F1437" s="27"/>
      <c r="G1437" s="27"/>
      <c r="H1437" s="28"/>
      <c r="I1437" s="27"/>
      <c r="J1437" s="29"/>
      <c r="K1437" s="30"/>
      <c r="L1437" s="31"/>
      <c r="M1437" s="32"/>
      <c r="N1437" s="30"/>
      <c r="O1437" s="30"/>
      <c r="P1437" s="39"/>
      <c r="Q1437" s="34"/>
      <c r="R1437" s="35"/>
      <c r="S1437" s="36"/>
      <c r="T1437" s="35"/>
      <c r="U1437" s="36"/>
      <c r="V1437" s="37"/>
    </row>
    <row r="1438" spans="1:22" x14ac:dyDescent="0.25">
      <c r="A1438" s="27"/>
      <c r="B1438" s="27"/>
      <c r="C1438" s="27"/>
      <c r="D1438" s="27"/>
      <c r="E1438" s="27"/>
      <c r="F1438" s="27"/>
      <c r="G1438" s="27"/>
      <c r="H1438" s="28"/>
      <c r="I1438" s="27"/>
      <c r="J1438" s="29"/>
      <c r="K1438" s="30"/>
      <c r="L1438" s="31"/>
      <c r="M1438" s="32"/>
      <c r="N1438" s="30"/>
      <c r="O1438" s="30"/>
      <c r="P1438" s="39"/>
      <c r="Q1438" s="34"/>
      <c r="R1438" s="35"/>
      <c r="S1438" s="36"/>
      <c r="T1438" s="35"/>
      <c r="U1438" s="36"/>
      <c r="V1438" s="37"/>
    </row>
    <row r="1439" spans="1:22" x14ac:dyDescent="0.25">
      <c r="A1439" s="27"/>
      <c r="B1439" s="27"/>
      <c r="C1439" s="27"/>
      <c r="D1439" s="27"/>
      <c r="E1439" s="27"/>
      <c r="F1439" s="27"/>
      <c r="G1439" s="27"/>
      <c r="H1439" s="28"/>
      <c r="I1439" s="27"/>
      <c r="J1439" s="29"/>
      <c r="K1439" s="30"/>
      <c r="L1439" s="31"/>
      <c r="M1439" s="32"/>
      <c r="N1439" s="30"/>
      <c r="O1439" s="30"/>
      <c r="P1439" s="39"/>
      <c r="Q1439" s="34"/>
      <c r="R1439" s="35"/>
      <c r="S1439" s="36"/>
      <c r="T1439" s="35"/>
      <c r="U1439" s="36"/>
      <c r="V1439" s="37"/>
    </row>
    <row r="1440" spans="1:22" x14ac:dyDescent="0.25">
      <c r="A1440" s="27"/>
      <c r="B1440" s="27"/>
      <c r="C1440" s="27"/>
      <c r="D1440" s="27"/>
      <c r="E1440" s="27"/>
      <c r="F1440" s="27"/>
      <c r="G1440" s="27"/>
      <c r="H1440" s="28"/>
      <c r="I1440" s="27"/>
      <c r="J1440" s="29"/>
      <c r="K1440" s="30"/>
      <c r="L1440" s="31"/>
      <c r="M1440" s="32"/>
      <c r="N1440" s="30"/>
      <c r="O1440" s="30"/>
      <c r="P1440" s="39"/>
      <c r="Q1440" s="34"/>
      <c r="R1440" s="35"/>
      <c r="S1440" s="36"/>
      <c r="T1440" s="35"/>
      <c r="U1440" s="36"/>
      <c r="V1440" s="37"/>
    </row>
    <row r="1441" spans="1:22" x14ac:dyDescent="0.25">
      <c r="A1441" s="27"/>
      <c r="B1441" s="27"/>
      <c r="C1441" s="27"/>
      <c r="D1441" s="27"/>
      <c r="E1441" s="27"/>
      <c r="F1441" s="27"/>
      <c r="G1441" s="27"/>
      <c r="H1441" s="28"/>
      <c r="I1441" s="27"/>
      <c r="J1441" s="29"/>
      <c r="K1441" s="30"/>
      <c r="L1441" s="31"/>
      <c r="M1441" s="32"/>
      <c r="N1441" s="30"/>
      <c r="O1441" s="30"/>
      <c r="P1441" s="39"/>
      <c r="Q1441" s="34"/>
      <c r="R1441" s="35"/>
      <c r="S1441" s="36"/>
      <c r="T1441" s="35"/>
      <c r="U1441" s="36"/>
      <c r="V1441" s="37"/>
    </row>
    <row r="1442" spans="1:22" x14ac:dyDescent="0.25">
      <c r="A1442" s="27"/>
      <c r="B1442" s="27"/>
      <c r="C1442" s="27"/>
      <c r="D1442" s="27"/>
      <c r="E1442" s="27"/>
      <c r="F1442" s="27"/>
      <c r="G1442" s="27"/>
      <c r="H1442" s="28"/>
      <c r="I1442" s="27"/>
      <c r="J1442" s="29"/>
      <c r="K1442" s="30"/>
      <c r="L1442" s="31"/>
      <c r="M1442" s="32"/>
      <c r="N1442" s="30"/>
      <c r="O1442" s="30"/>
      <c r="P1442" s="39"/>
      <c r="Q1442" s="34"/>
      <c r="R1442" s="35"/>
      <c r="S1442" s="36"/>
      <c r="T1442" s="35"/>
      <c r="U1442" s="36"/>
      <c r="V1442" s="37"/>
    </row>
    <row r="1443" spans="1:22" x14ac:dyDescent="0.25">
      <c r="A1443" s="27"/>
      <c r="B1443" s="27"/>
      <c r="C1443" s="27"/>
      <c r="D1443" s="27"/>
      <c r="E1443" s="27"/>
      <c r="F1443" s="27"/>
      <c r="G1443" s="27"/>
      <c r="H1443" s="28"/>
      <c r="I1443" s="27"/>
      <c r="J1443" s="29"/>
      <c r="K1443" s="30"/>
      <c r="L1443" s="31"/>
      <c r="M1443" s="32"/>
      <c r="N1443" s="30"/>
      <c r="O1443" s="30"/>
      <c r="P1443" s="39"/>
      <c r="Q1443" s="34"/>
      <c r="R1443" s="35"/>
      <c r="S1443" s="36"/>
      <c r="T1443" s="35"/>
      <c r="U1443" s="36"/>
      <c r="V1443" s="37"/>
    </row>
    <row r="1444" spans="1:22" x14ac:dyDescent="0.25">
      <c r="A1444" s="27"/>
      <c r="B1444" s="27"/>
      <c r="C1444" s="27"/>
      <c r="D1444" s="27"/>
      <c r="E1444" s="27"/>
      <c r="F1444" s="27"/>
      <c r="G1444" s="27"/>
      <c r="H1444" s="28"/>
      <c r="I1444" s="27"/>
      <c r="J1444" s="29"/>
      <c r="K1444" s="30"/>
      <c r="L1444" s="31"/>
      <c r="M1444" s="32"/>
      <c r="N1444" s="30"/>
      <c r="O1444" s="30"/>
      <c r="P1444" s="39"/>
      <c r="Q1444" s="34"/>
      <c r="R1444" s="35"/>
      <c r="S1444" s="36"/>
      <c r="T1444" s="35"/>
      <c r="U1444" s="36"/>
      <c r="V1444" s="37"/>
    </row>
    <row r="1445" spans="1:22" x14ac:dyDescent="0.25">
      <c r="A1445" s="27"/>
      <c r="B1445" s="27"/>
      <c r="C1445" s="27"/>
      <c r="D1445" s="27"/>
      <c r="E1445" s="27"/>
      <c r="F1445" s="27"/>
      <c r="G1445" s="27"/>
      <c r="H1445" s="28"/>
      <c r="I1445" s="27"/>
      <c r="J1445" s="29"/>
      <c r="K1445" s="30"/>
      <c r="L1445" s="31"/>
      <c r="M1445" s="32"/>
      <c r="N1445" s="30"/>
      <c r="O1445" s="30"/>
      <c r="P1445" s="39"/>
      <c r="Q1445" s="34"/>
      <c r="R1445" s="35"/>
      <c r="S1445" s="36"/>
      <c r="T1445" s="35"/>
      <c r="U1445" s="36"/>
      <c r="V1445" s="37"/>
    </row>
    <row r="1446" spans="1:22" x14ac:dyDescent="0.25">
      <c r="A1446" s="27"/>
      <c r="B1446" s="27"/>
      <c r="C1446" s="27"/>
      <c r="D1446" s="27"/>
      <c r="E1446" s="27"/>
      <c r="F1446" s="27"/>
      <c r="G1446" s="27"/>
      <c r="H1446" s="28"/>
      <c r="I1446" s="27"/>
      <c r="J1446" s="29"/>
      <c r="K1446" s="30"/>
      <c r="L1446" s="31"/>
      <c r="M1446" s="32"/>
      <c r="N1446" s="30"/>
      <c r="O1446" s="30"/>
      <c r="P1446" s="39"/>
      <c r="Q1446" s="34"/>
      <c r="R1446" s="35"/>
      <c r="S1446" s="36"/>
      <c r="T1446" s="35"/>
      <c r="U1446" s="36"/>
      <c r="V1446" s="37"/>
    </row>
    <row r="1447" spans="1:22" x14ac:dyDescent="0.25">
      <c r="A1447" s="27"/>
      <c r="B1447" s="27"/>
      <c r="C1447" s="27"/>
      <c r="D1447" s="27"/>
      <c r="E1447" s="27"/>
      <c r="F1447" s="27"/>
      <c r="G1447" s="27"/>
      <c r="H1447" s="28"/>
      <c r="I1447" s="27"/>
      <c r="J1447" s="29"/>
      <c r="K1447" s="30"/>
      <c r="L1447" s="31"/>
      <c r="M1447" s="32"/>
      <c r="N1447" s="30"/>
      <c r="O1447" s="30"/>
      <c r="P1447" s="39"/>
      <c r="Q1447" s="34"/>
      <c r="R1447" s="35"/>
      <c r="S1447" s="36"/>
      <c r="T1447" s="35"/>
      <c r="U1447" s="36"/>
      <c r="V1447" s="37"/>
    </row>
    <row r="1448" spans="1:22" x14ac:dyDescent="0.25">
      <c r="A1448" s="27"/>
      <c r="B1448" s="27"/>
      <c r="C1448" s="27"/>
      <c r="D1448" s="27"/>
      <c r="E1448" s="27"/>
      <c r="F1448" s="27"/>
      <c r="G1448" s="27"/>
      <c r="H1448" s="28"/>
      <c r="I1448" s="27"/>
      <c r="J1448" s="29"/>
      <c r="K1448" s="30"/>
      <c r="L1448" s="31"/>
      <c r="M1448" s="32"/>
      <c r="N1448" s="30"/>
      <c r="O1448" s="30"/>
      <c r="P1448" s="39"/>
      <c r="Q1448" s="34"/>
      <c r="R1448" s="35"/>
      <c r="S1448" s="36"/>
      <c r="T1448" s="35"/>
      <c r="U1448" s="36"/>
      <c r="V1448" s="37"/>
    </row>
    <row r="1449" spans="1:22" x14ac:dyDescent="0.25">
      <c r="A1449" s="27"/>
      <c r="B1449" s="27"/>
      <c r="C1449" s="27"/>
      <c r="D1449" s="27"/>
      <c r="E1449" s="27"/>
      <c r="F1449" s="27"/>
      <c r="G1449" s="27"/>
      <c r="H1449" s="28"/>
      <c r="I1449" s="27"/>
      <c r="J1449" s="29"/>
      <c r="K1449" s="30"/>
      <c r="L1449" s="31"/>
      <c r="M1449" s="32"/>
      <c r="N1449" s="30"/>
      <c r="O1449" s="30"/>
      <c r="P1449" s="39"/>
      <c r="Q1449" s="34"/>
      <c r="R1449" s="35"/>
      <c r="S1449" s="36"/>
      <c r="T1449" s="35"/>
      <c r="U1449" s="36"/>
      <c r="V1449" s="37"/>
    </row>
    <row r="1450" spans="1:22" x14ac:dyDescent="0.25">
      <c r="A1450" s="27"/>
      <c r="B1450" s="27"/>
      <c r="C1450" s="27"/>
      <c r="D1450" s="27"/>
      <c r="E1450" s="27"/>
      <c r="F1450" s="27"/>
      <c r="G1450" s="27"/>
      <c r="H1450" s="28"/>
      <c r="I1450" s="27"/>
      <c r="J1450" s="29"/>
      <c r="K1450" s="30"/>
      <c r="L1450" s="31"/>
      <c r="M1450" s="32"/>
      <c r="N1450" s="30"/>
      <c r="O1450" s="30"/>
      <c r="P1450" s="39"/>
      <c r="Q1450" s="34"/>
      <c r="R1450" s="35"/>
      <c r="S1450" s="36"/>
      <c r="T1450" s="35"/>
      <c r="U1450" s="36"/>
      <c r="V1450" s="37"/>
    </row>
    <row r="1451" spans="1:22" x14ac:dyDescent="0.25">
      <c r="A1451" s="27"/>
      <c r="B1451" s="27"/>
      <c r="C1451" s="27"/>
      <c r="D1451" s="27"/>
      <c r="E1451" s="27"/>
      <c r="F1451" s="27"/>
      <c r="G1451" s="27"/>
      <c r="H1451" s="28"/>
      <c r="I1451" s="27"/>
      <c r="J1451" s="29"/>
      <c r="K1451" s="30"/>
      <c r="L1451" s="31"/>
      <c r="M1451" s="32"/>
      <c r="N1451" s="30"/>
      <c r="O1451" s="30"/>
      <c r="P1451" s="39"/>
      <c r="Q1451" s="34"/>
      <c r="R1451" s="35"/>
      <c r="S1451" s="36"/>
      <c r="T1451" s="35"/>
      <c r="U1451" s="36"/>
      <c r="V1451" s="37"/>
    </row>
    <row r="1452" spans="1:22" x14ac:dyDescent="0.25">
      <c r="A1452" s="27"/>
      <c r="B1452" s="27"/>
      <c r="C1452" s="27"/>
      <c r="D1452" s="27"/>
      <c r="E1452" s="27"/>
      <c r="F1452" s="27"/>
      <c r="G1452" s="27"/>
      <c r="H1452" s="28"/>
      <c r="I1452" s="27"/>
      <c r="J1452" s="29"/>
      <c r="K1452" s="30"/>
      <c r="L1452" s="31"/>
      <c r="M1452" s="32"/>
      <c r="N1452" s="30"/>
      <c r="O1452" s="30"/>
      <c r="P1452" s="39"/>
      <c r="Q1452" s="34"/>
      <c r="R1452" s="35"/>
      <c r="S1452" s="36"/>
      <c r="T1452" s="35"/>
      <c r="U1452" s="36"/>
      <c r="V1452" s="37"/>
    </row>
    <row r="1453" spans="1:22" x14ac:dyDescent="0.25">
      <c r="A1453" s="27"/>
      <c r="B1453" s="27"/>
      <c r="C1453" s="27"/>
      <c r="D1453" s="27"/>
      <c r="E1453" s="27"/>
      <c r="F1453" s="27"/>
      <c r="G1453" s="27"/>
      <c r="H1453" s="28"/>
      <c r="I1453" s="27"/>
      <c r="J1453" s="29"/>
      <c r="K1453" s="30"/>
      <c r="L1453" s="31"/>
      <c r="M1453" s="32"/>
      <c r="N1453" s="30"/>
      <c r="O1453" s="30"/>
      <c r="P1453" s="39"/>
      <c r="Q1453" s="34"/>
      <c r="R1453" s="35"/>
      <c r="S1453" s="36"/>
      <c r="T1453" s="35"/>
      <c r="U1453" s="36"/>
      <c r="V1453" s="37"/>
    </row>
    <row r="1454" spans="1:22" x14ac:dyDescent="0.25">
      <c r="A1454" s="27"/>
      <c r="B1454" s="27"/>
      <c r="C1454" s="27"/>
      <c r="D1454" s="27"/>
      <c r="E1454" s="27"/>
      <c r="F1454" s="27"/>
      <c r="G1454" s="27"/>
      <c r="H1454" s="28"/>
      <c r="I1454" s="27"/>
      <c r="J1454" s="29"/>
      <c r="K1454" s="30"/>
      <c r="L1454" s="31"/>
      <c r="M1454" s="32"/>
      <c r="N1454" s="30"/>
      <c r="O1454" s="30"/>
      <c r="P1454" s="39"/>
      <c r="Q1454" s="34"/>
      <c r="R1454" s="35"/>
      <c r="S1454" s="36"/>
      <c r="T1454" s="35"/>
      <c r="U1454" s="36"/>
      <c r="V1454" s="37"/>
    </row>
    <row r="1455" spans="1:22" x14ac:dyDescent="0.25">
      <c r="A1455" s="27"/>
      <c r="B1455" s="27"/>
      <c r="C1455" s="27"/>
      <c r="D1455" s="27"/>
      <c r="E1455" s="27"/>
      <c r="F1455" s="27"/>
      <c r="G1455" s="27"/>
      <c r="H1455" s="28"/>
      <c r="I1455" s="27"/>
      <c r="J1455" s="29"/>
      <c r="K1455" s="30"/>
      <c r="L1455" s="31"/>
      <c r="M1455" s="32"/>
      <c r="N1455" s="30"/>
      <c r="O1455" s="30"/>
      <c r="P1455" s="39"/>
      <c r="Q1455" s="34"/>
      <c r="R1455" s="35"/>
      <c r="S1455" s="36"/>
      <c r="T1455" s="35"/>
      <c r="U1455" s="36"/>
      <c r="V1455" s="37"/>
    </row>
    <row r="1456" spans="1:22" x14ac:dyDescent="0.25">
      <c r="A1456" s="27"/>
      <c r="B1456" s="27"/>
      <c r="C1456" s="27"/>
      <c r="D1456" s="27"/>
      <c r="E1456" s="27"/>
      <c r="F1456" s="27"/>
      <c r="G1456" s="27"/>
      <c r="H1456" s="28"/>
      <c r="I1456" s="27"/>
      <c r="J1456" s="29"/>
      <c r="K1456" s="30"/>
      <c r="L1456" s="31"/>
      <c r="M1456" s="32"/>
      <c r="N1456" s="30"/>
      <c r="O1456" s="30"/>
      <c r="P1456" s="39"/>
      <c r="Q1456" s="34"/>
      <c r="R1456" s="35"/>
      <c r="S1456" s="36"/>
      <c r="T1456" s="35"/>
      <c r="U1456" s="36"/>
      <c r="V1456" s="37"/>
    </row>
    <row r="1457" spans="1:22" x14ac:dyDescent="0.25">
      <c r="A1457" s="27"/>
      <c r="B1457" s="27"/>
      <c r="C1457" s="27"/>
      <c r="D1457" s="27"/>
      <c r="E1457" s="27"/>
      <c r="F1457" s="27"/>
      <c r="G1457" s="27"/>
      <c r="H1457" s="28"/>
      <c r="I1457" s="27"/>
      <c r="J1457" s="29"/>
      <c r="K1457" s="30"/>
      <c r="L1457" s="31"/>
      <c r="M1457" s="32"/>
      <c r="N1457" s="30"/>
      <c r="O1457" s="30"/>
      <c r="P1457" s="39"/>
      <c r="Q1457" s="34"/>
      <c r="R1457" s="35"/>
      <c r="S1457" s="36"/>
      <c r="T1457" s="35"/>
      <c r="U1457" s="36"/>
      <c r="V1457" s="37"/>
    </row>
    <row r="1458" spans="1:22" x14ac:dyDescent="0.25">
      <c r="A1458" s="27"/>
      <c r="B1458" s="27"/>
      <c r="C1458" s="27"/>
      <c r="D1458" s="27"/>
      <c r="E1458" s="27"/>
      <c r="F1458" s="27"/>
      <c r="G1458" s="27"/>
      <c r="H1458" s="28"/>
      <c r="I1458" s="27"/>
      <c r="J1458" s="29"/>
      <c r="K1458" s="30"/>
      <c r="L1458" s="31"/>
      <c r="M1458" s="32"/>
      <c r="N1458" s="30"/>
      <c r="O1458" s="30"/>
      <c r="P1458" s="39"/>
      <c r="Q1458" s="34"/>
      <c r="R1458" s="35"/>
      <c r="S1458" s="36"/>
      <c r="T1458" s="35"/>
      <c r="U1458" s="36"/>
      <c r="V1458" s="37"/>
    </row>
    <row r="1459" spans="1:22" x14ac:dyDescent="0.25">
      <c r="A1459" s="27"/>
      <c r="B1459" s="27"/>
      <c r="C1459" s="27"/>
      <c r="D1459" s="27"/>
      <c r="E1459" s="27"/>
      <c r="F1459" s="27"/>
      <c r="G1459" s="27"/>
      <c r="H1459" s="28"/>
      <c r="I1459" s="27"/>
      <c r="J1459" s="29"/>
      <c r="K1459" s="30"/>
      <c r="L1459" s="31"/>
      <c r="M1459" s="32"/>
      <c r="N1459" s="30"/>
      <c r="O1459" s="30"/>
      <c r="P1459" s="39"/>
      <c r="Q1459" s="34"/>
      <c r="R1459" s="35"/>
      <c r="S1459" s="36"/>
      <c r="T1459" s="35"/>
      <c r="U1459" s="36"/>
      <c r="V1459" s="37"/>
    </row>
    <row r="1460" spans="1:22" x14ac:dyDescent="0.25">
      <c r="A1460" s="27"/>
      <c r="B1460" s="27"/>
      <c r="C1460" s="27"/>
      <c r="D1460" s="27"/>
      <c r="E1460" s="27"/>
      <c r="F1460" s="27"/>
      <c r="G1460" s="27"/>
      <c r="H1460" s="28"/>
      <c r="I1460" s="27"/>
      <c r="J1460" s="29"/>
      <c r="K1460" s="30"/>
      <c r="L1460" s="31"/>
      <c r="M1460" s="32"/>
      <c r="N1460" s="30"/>
      <c r="O1460" s="30"/>
      <c r="P1460" s="39"/>
      <c r="Q1460" s="34"/>
      <c r="R1460" s="35"/>
      <c r="S1460" s="36"/>
      <c r="T1460" s="35"/>
      <c r="U1460" s="36"/>
      <c r="V1460" s="37"/>
    </row>
    <row r="1461" spans="1:22" x14ac:dyDescent="0.25">
      <c r="A1461" s="27"/>
      <c r="B1461" s="27"/>
      <c r="C1461" s="27"/>
      <c r="D1461" s="27"/>
      <c r="E1461" s="27"/>
      <c r="F1461" s="27"/>
      <c r="G1461" s="27"/>
      <c r="H1461" s="28"/>
      <c r="I1461" s="27"/>
      <c r="J1461" s="29"/>
      <c r="K1461" s="30"/>
      <c r="L1461" s="31"/>
      <c r="M1461" s="32"/>
      <c r="N1461" s="30"/>
      <c r="O1461" s="30"/>
      <c r="P1461" s="39"/>
      <c r="Q1461" s="34"/>
      <c r="R1461" s="35"/>
      <c r="S1461" s="36"/>
      <c r="T1461" s="35"/>
      <c r="U1461" s="36"/>
      <c r="V1461" s="37"/>
    </row>
    <row r="1462" spans="1:22" x14ac:dyDescent="0.25">
      <c r="A1462" s="27"/>
      <c r="B1462" s="27"/>
      <c r="C1462" s="27"/>
      <c r="D1462" s="27"/>
      <c r="E1462" s="27"/>
      <c r="F1462" s="27"/>
      <c r="G1462" s="27"/>
      <c r="H1462" s="28"/>
      <c r="I1462" s="27"/>
      <c r="J1462" s="29"/>
      <c r="K1462" s="30"/>
      <c r="L1462" s="31"/>
      <c r="M1462" s="32"/>
      <c r="N1462" s="30"/>
      <c r="O1462" s="30"/>
      <c r="P1462" s="39"/>
      <c r="Q1462" s="34"/>
      <c r="R1462" s="35"/>
      <c r="S1462" s="36"/>
      <c r="T1462" s="35"/>
      <c r="U1462" s="36"/>
      <c r="V1462" s="37"/>
    </row>
    <row r="1463" spans="1:22" x14ac:dyDescent="0.25">
      <c r="A1463" s="27"/>
      <c r="B1463" s="27"/>
      <c r="C1463" s="27"/>
      <c r="D1463" s="27"/>
      <c r="E1463" s="27"/>
      <c r="F1463" s="27"/>
      <c r="G1463" s="27"/>
      <c r="H1463" s="28"/>
      <c r="I1463" s="27"/>
      <c r="J1463" s="29"/>
      <c r="K1463" s="30"/>
      <c r="L1463" s="31"/>
      <c r="M1463" s="32"/>
      <c r="N1463" s="30"/>
      <c r="O1463" s="30"/>
      <c r="P1463" s="39"/>
      <c r="Q1463" s="34"/>
      <c r="R1463" s="35"/>
      <c r="S1463" s="36"/>
      <c r="T1463" s="35"/>
      <c r="U1463" s="36"/>
      <c r="V1463" s="37"/>
    </row>
    <row r="1464" spans="1:22" x14ac:dyDescent="0.25">
      <c r="A1464" s="27"/>
      <c r="B1464" s="27"/>
      <c r="C1464" s="27"/>
      <c r="D1464" s="27"/>
      <c r="E1464" s="27"/>
      <c r="F1464" s="27"/>
      <c r="G1464" s="27"/>
      <c r="H1464" s="28"/>
      <c r="I1464" s="27"/>
      <c r="J1464" s="29"/>
      <c r="K1464" s="30"/>
      <c r="L1464" s="31"/>
      <c r="M1464" s="32"/>
      <c r="N1464" s="30"/>
      <c r="O1464" s="30"/>
      <c r="P1464" s="39"/>
      <c r="Q1464" s="34"/>
      <c r="R1464" s="35"/>
      <c r="S1464" s="36"/>
      <c r="T1464" s="35"/>
      <c r="U1464" s="36"/>
      <c r="V1464" s="37"/>
    </row>
    <row r="1465" spans="1:22" x14ac:dyDescent="0.25">
      <c r="A1465" s="27"/>
      <c r="B1465" s="27"/>
      <c r="C1465" s="27"/>
      <c r="D1465" s="27"/>
      <c r="E1465" s="27"/>
      <c r="F1465" s="27"/>
      <c r="G1465" s="27"/>
      <c r="H1465" s="28"/>
      <c r="I1465" s="27"/>
      <c r="J1465" s="29"/>
      <c r="K1465" s="30"/>
      <c r="L1465" s="31"/>
      <c r="M1465" s="32"/>
      <c r="N1465" s="30"/>
      <c r="O1465" s="30"/>
      <c r="P1465" s="39"/>
      <c r="Q1465" s="34"/>
      <c r="R1465" s="35"/>
      <c r="S1465" s="36"/>
      <c r="T1465" s="35"/>
      <c r="U1465" s="36"/>
      <c r="V1465" s="37"/>
    </row>
    <row r="1466" spans="1:22" x14ac:dyDescent="0.25">
      <c r="A1466" s="27"/>
      <c r="B1466" s="27"/>
      <c r="C1466" s="27"/>
      <c r="D1466" s="27"/>
      <c r="E1466" s="27"/>
      <c r="F1466" s="27"/>
      <c r="G1466" s="27"/>
      <c r="H1466" s="28"/>
      <c r="I1466" s="27"/>
      <c r="J1466" s="29"/>
      <c r="K1466" s="30"/>
      <c r="L1466" s="31"/>
      <c r="M1466" s="32"/>
      <c r="N1466" s="30"/>
      <c r="O1466" s="30"/>
      <c r="P1466" s="39"/>
      <c r="Q1466" s="34"/>
      <c r="R1466" s="35"/>
      <c r="S1466" s="36"/>
      <c r="T1466" s="35"/>
      <c r="U1466" s="36"/>
      <c r="V1466" s="37"/>
    </row>
    <row r="1467" spans="1:22" x14ac:dyDescent="0.25">
      <c r="A1467" s="27"/>
      <c r="B1467" s="27"/>
      <c r="C1467" s="27"/>
      <c r="D1467" s="27"/>
      <c r="E1467" s="27"/>
      <c r="F1467" s="27"/>
      <c r="G1467" s="27"/>
      <c r="H1467" s="28"/>
      <c r="I1467" s="27"/>
      <c r="J1467" s="29"/>
      <c r="K1467" s="30"/>
      <c r="L1467" s="31"/>
      <c r="M1467" s="32"/>
      <c r="N1467" s="30"/>
      <c r="O1467" s="30"/>
      <c r="P1467" s="39"/>
      <c r="Q1467" s="34"/>
      <c r="R1467" s="35"/>
      <c r="S1467" s="36"/>
      <c r="T1467" s="35"/>
      <c r="U1467" s="36"/>
      <c r="V1467" s="37"/>
    </row>
    <row r="1468" spans="1:22" x14ac:dyDescent="0.25">
      <c r="A1468" s="27"/>
      <c r="B1468" s="27"/>
      <c r="C1468" s="27"/>
      <c r="D1468" s="27"/>
      <c r="E1468" s="27"/>
      <c r="F1468" s="27"/>
      <c r="G1468" s="27"/>
      <c r="H1468" s="28"/>
      <c r="I1468" s="27"/>
      <c r="J1468" s="29"/>
      <c r="K1468" s="30"/>
      <c r="L1468" s="31"/>
      <c r="M1468" s="32"/>
      <c r="N1468" s="30"/>
      <c r="O1468" s="30"/>
      <c r="P1468" s="39"/>
      <c r="Q1468" s="34"/>
      <c r="R1468" s="35"/>
      <c r="S1468" s="36"/>
      <c r="T1468" s="35"/>
      <c r="U1468" s="36"/>
      <c r="V1468" s="37"/>
    </row>
    <row r="1469" spans="1:22" x14ac:dyDescent="0.25">
      <c r="A1469" s="27"/>
      <c r="B1469" s="27"/>
      <c r="C1469" s="27"/>
      <c r="D1469" s="27"/>
      <c r="E1469" s="27"/>
      <c r="F1469" s="27"/>
      <c r="G1469" s="27"/>
      <c r="H1469" s="28"/>
      <c r="I1469" s="27"/>
      <c r="J1469" s="29"/>
      <c r="K1469" s="30"/>
      <c r="L1469" s="31"/>
      <c r="M1469" s="32"/>
      <c r="N1469" s="30"/>
      <c r="O1469" s="30"/>
      <c r="P1469" s="39"/>
      <c r="Q1469" s="34"/>
      <c r="R1469" s="35"/>
      <c r="S1469" s="36"/>
      <c r="T1469" s="35"/>
      <c r="U1469" s="36"/>
      <c r="V1469" s="37"/>
    </row>
    <row r="1470" spans="1:22" x14ac:dyDescent="0.25">
      <c r="A1470" s="27"/>
      <c r="B1470" s="27"/>
      <c r="C1470" s="27"/>
      <c r="D1470" s="27"/>
      <c r="E1470" s="27"/>
      <c r="F1470" s="27"/>
      <c r="G1470" s="27"/>
      <c r="H1470" s="28"/>
      <c r="I1470" s="27"/>
      <c r="J1470" s="29"/>
      <c r="K1470" s="30"/>
      <c r="L1470" s="31"/>
      <c r="M1470" s="32"/>
      <c r="N1470" s="30"/>
      <c r="O1470" s="30"/>
      <c r="P1470" s="39"/>
      <c r="Q1470" s="34"/>
      <c r="R1470" s="35"/>
      <c r="S1470" s="36"/>
      <c r="T1470" s="35"/>
      <c r="U1470" s="36"/>
      <c r="V1470" s="37"/>
    </row>
    <row r="1471" spans="1:22" x14ac:dyDescent="0.25">
      <c r="A1471" s="27"/>
      <c r="B1471" s="27"/>
      <c r="C1471" s="27"/>
      <c r="D1471" s="27"/>
      <c r="E1471" s="27"/>
      <c r="F1471" s="27"/>
      <c r="G1471" s="27"/>
      <c r="H1471" s="28"/>
      <c r="I1471" s="27"/>
      <c r="J1471" s="29"/>
      <c r="K1471" s="30"/>
      <c r="L1471" s="31"/>
      <c r="M1471" s="32"/>
      <c r="N1471" s="30"/>
      <c r="O1471" s="30"/>
      <c r="P1471" s="39"/>
      <c r="Q1471" s="34"/>
      <c r="R1471" s="35"/>
      <c r="S1471" s="36"/>
      <c r="T1471" s="35"/>
      <c r="U1471" s="36"/>
      <c r="V1471" s="37"/>
    </row>
    <row r="1472" spans="1:22" x14ac:dyDescent="0.25">
      <c r="A1472" s="27"/>
      <c r="B1472" s="27"/>
      <c r="C1472" s="27"/>
      <c r="D1472" s="27"/>
      <c r="E1472" s="27"/>
      <c r="F1472" s="27"/>
      <c r="G1472" s="27"/>
      <c r="H1472" s="28"/>
      <c r="I1472" s="27"/>
      <c r="J1472" s="29"/>
      <c r="K1472" s="30"/>
      <c r="L1472" s="31"/>
      <c r="M1472" s="32"/>
      <c r="N1472" s="30"/>
      <c r="O1472" s="30"/>
      <c r="P1472" s="39"/>
      <c r="Q1472" s="34"/>
      <c r="R1472" s="35"/>
      <c r="S1472" s="36"/>
      <c r="T1472" s="35"/>
      <c r="U1472" s="36"/>
      <c r="V1472" s="37"/>
    </row>
    <row r="1473" spans="1:22" x14ac:dyDescent="0.25">
      <c r="A1473" s="27"/>
      <c r="B1473" s="27"/>
      <c r="C1473" s="27"/>
      <c r="D1473" s="27"/>
      <c r="E1473" s="27"/>
      <c r="F1473" s="27"/>
      <c r="G1473" s="27"/>
      <c r="H1473" s="28"/>
      <c r="I1473" s="27"/>
      <c r="J1473" s="29"/>
      <c r="K1473" s="30"/>
      <c r="L1473" s="31"/>
      <c r="M1473" s="32"/>
      <c r="N1473" s="30"/>
      <c r="O1473" s="30"/>
      <c r="P1473" s="39"/>
      <c r="Q1473" s="34"/>
      <c r="R1473" s="35"/>
      <c r="S1473" s="36"/>
      <c r="T1473" s="35"/>
      <c r="U1473" s="36"/>
      <c r="V1473" s="37"/>
    </row>
    <row r="1474" spans="1:22" x14ac:dyDescent="0.25">
      <c r="A1474" s="27"/>
      <c r="B1474" s="27"/>
      <c r="C1474" s="27"/>
      <c r="D1474" s="27"/>
      <c r="E1474" s="27"/>
      <c r="F1474" s="27"/>
      <c r="G1474" s="27"/>
      <c r="H1474" s="28"/>
      <c r="I1474" s="27"/>
      <c r="J1474" s="29"/>
      <c r="K1474" s="30"/>
      <c r="L1474" s="31"/>
      <c r="M1474" s="32"/>
      <c r="N1474" s="30"/>
      <c r="O1474" s="30"/>
      <c r="P1474" s="39"/>
      <c r="Q1474" s="34"/>
      <c r="R1474" s="35"/>
      <c r="S1474" s="36"/>
      <c r="T1474" s="35"/>
      <c r="U1474" s="36"/>
      <c r="V1474" s="37"/>
    </row>
    <row r="1475" spans="1:22" x14ac:dyDescent="0.25">
      <c r="A1475" s="27"/>
      <c r="B1475" s="27"/>
      <c r="C1475" s="27"/>
      <c r="D1475" s="27"/>
      <c r="E1475" s="27"/>
      <c r="F1475" s="27"/>
      <c r="G1475" s="27"/>
      <c r="H1475" s="28"/>
      <c r="I1475" s="27"/>
      <c r="J1475" s="29"/>
      <c r="K1475" s="30"/>
      <c r="L1475" s="31"/>
      <c r="M1475" s="32"/>
      <c r="N1475" s="30"/>
      <c r="O1475" s="30"/>
      <c r="P1475" s="39"/>
      <c r="Q1475" s="34"/>
      <c r="R1475" s="35"/>
      <c r="S1475" s="36"/>
      <c r="T1475" s="35"/>
      <c r="U1475" s="36"/>
      <c r="V1475" s="37"/>
    </row>
    <row r="1476" spans="1:22" x14ac:dyDescent="0.25">
      <c r="A1476" s="27"/>
      <c r="B1476" s="27"/>
      <c r="C1476" s="27"/>
      <c r="D1476" s="27"/>
      <c r="E1476" s="27"/>
      <c r="F1476" s="27"/>
      <c r="G1476" s="27"/>
      <c r="H1476" s="28"/>
      <c r="I1476" s="27"/>
      <c r="J1476" s="29"/>
      <c r="K1476" s="30"/>
      <c r="L1476" s="31"/>
      <c r="M1476" s="32"/>
      <c r="N1476" s="30"/>
      <c r="O1476" s="30"/>
      <c r="P1476" s="39"/>
      <c r="Q1476" s="34"/>
      <c r="R1476" s="35"/>
      <c r="S1476" s="36"/>
      <c r="T1476" s="35"/>
      <c r="U1476" s="36"/>
      <c r="V1476" s="37"/>
    </row>
    <row r="1477" spans="1:22" x14ac:dyDescent="0.25">
      <c r="A1477" s="27"/>
      <c r="B1477" s="27"/>
      <c r="C1477" s="27"/>
      <c r="D1477" s="27"/>
      <c r="E1477" s="27"/>
      <c r="F1477" s="27"/>
      <c r="G1477" s="27"/>
      <c r="H1477" s="28"/>
      <c r="I1477" s="27"/>
      <c r="J1477" s="29"/>
      <c r="K1477" s="30"/>
      <c r="L1477" s="31"/>
      <c r="M1477" s="32"/>
      <c r="N1477" s="30"/>
      <c r="O1477" s="30"/>
      <c r="P1477" s="39"/>
      <c r="Q1477" s="34"/>
      <c r="R1477" s="35"/>
      <c r="S1477" s="36"/>
      <c r="T1477" s="35"/>
      <c r="U1477" s="36"/>
      <c r="V1477" s="37"/>
    </row>
    <row r="1478" spans="1:22" x14ac:dyDescent="0.25">
      <c r="A1478" s="27"/>
      <c r="B1478" s="27"/>
      <c r="C1478" s="27"/>
      <c r="D1478" s="27"/>
      <c r="E1478" s="27"/>
      <c r="F1478" s="27"/>
      <c r="G1478" s="27"/>
      <c r="H1478" s="28"/>
      <c r="I1478" s="27"/>
      <c r="J1478" s="29"/>
      <c r="K1478" s="30"/>
      <c r="L1478" s="31"/>
      <c r="M1478" s="32"/>
      <c r="N1478" s="30"/>
      <c r="O1478" s="30"/>
      <c r="P1478" s="39"/>
      <c r="Q1478" s="34"/>
      <c r="R1478" s="35"/>
      <c r="S1478" s="36"/>
      <c r="T1478" s="35"/>
      <c r="U1478" s="36"/>
      <c r="V1478" s="37"/>
    </row>
    <row r="1479" spans="1:22" x14ac:dyDescent="0.25">
      <c r="A1479" s="27"/>
      <c r="B1479" s="27"/>
      <c r="C1479" s="27"/>
      <c r="D1479" s="27"/>
      <c r="E1479" s="27"/>
      <c r="F1479" s="27"/>
      <c r="G1479" s="27"/>
      <c r="H1479" s="28"/>
      <c r="I1479" s="27"/>
      <c r="J1479" s="29"/>
      <c r="K1479" s="30"/>
      <c r="L1479" s="31"/>
      <c r="M1479" s="32"/>
      <c r="N1479" s="30"/>
      <c r="O1479" s="30"/>
      <c r="P1479" s="39"/>
      <c r="Q1479" s="34"/>
      <c r="R1479" s="35"/>
      <c r="S1479" s="36"/>
      <c r="T1479" s="35"/>
      <c r="U1479" s="36"/>
      <c r="V1479" s="37"/>
    </row>
    <row r="1480" spans="1:22" x14ac:dyDescent="0.25">
      <c r="A1480" s="27"/>
      <c r="B1480" s="27"/>
      <c r="C1480" s="27"/>
      <c r="D1480" s="27"/>
      <c r="E1480" s="27"/>
      <c r="F1480" s="27"/>
      <c r="G1480" s="27"/>
      <c r="H1480" s="28"/>
      <c r="I1480" s="27"/>
      <c r="J1480" s="29"/>
      <c r="K1480" s="30"/>
      <c r="L1480" s="31"/>
      <c r="M1480" s="32"/>
      <c r="N1480" s="30"/>
      <c r="O1480" s="30"/>
      <c r="P1480" s="39"/>
      <c r="Q1480" s="34"/>
      <c r="R1480" s="35"/>
      <c r="S1480" s="36"/>
      <c r="T1480" s="35"/>
      <c r="U1480" s="36"/>
      <c r="V1480" s="37"/>
    </row>
    <row r="1481" spans="1:22" x14ac:dyDescent="0.25">
      <c r="A1481" s="27"/>
      <c r="B1481" s="27"/>
      <c r="C1481" s="27"/>
      <c r="D1481" s="27"/>
      <c r="E1481" s="27"/>
      <c r="F1481" s="27"/>
      <c r="G1481" s="27"/>
      <c r="H1481" s="28"/>
      <c r="I1481" s="27"/>
      <c r="J1481" s="29"/>
      <c r="K1481" s="30"/>
      <c r="L1481" s="31"/>
      <c r="M1481" s="32"/>
      <c r="N1481" s="30"/>
      <c r="O1481" s="30"/>
      <c r="P1481" s="39"/>
      <c r="Q1481" s="34"/>
      <c r="R1481" s="35"/>
      <c r="S1481" s="36"/>
      <c r="T1481" s="35"/>
      <c r="U1481" s="36"/>
      <c r="V1481" s="37"/>
    </row>
    <row r="1482" spans="1:22" x14ac:dyDescent="0.25">
      <c r="A1482" s="27"/>
      <c r="B1482" s="27"/>
      <c r="C1482" s="27"/>
      <c r="D1482" s="27"/>
      <c r="E1482" s="27"/>
      <c r="F1482" s="27"/>
      <c r="G1482" s="27"/>
      <c r="H1482" s="28"/>
      <c r="I1482" s="27"/>
      <c r="J1482" s="29"/>
      <c r="K1482" s="30"/>
      <c r="L1482" s="31"/>
      <c r="M1482" s="32"/>
      <c r="N1482" s="30"/>
      <c r="O1482" s="30"/>
      <c r="P1482" s="39"/>
      <c r="Q1482" s="34"/>
      <c r="R1482" s="35"/>
      <c r="S1482" s="36"/>
      <c r="T1482" s="35"/>
      <c r="U1482" s="36"/>
      <c r="V1482" s="37"/>
    </row>
    <row r="1483" spans="1:22" x14ac:dyDescent="0.25">
      <c r="A1483" s="27"/>
      <c r="B1483" s="27"/>
      <c r="C1483" s="27"/>
      <c r="D1483" s="27"/>
      <c r="E1483" s="27"/>
      <c r="F1483" s="27"/>
      <c r="G1483" s="27"/>
      <c r="H1483" s="28"/>
      <c r="I1483" s="27"/>
      <c r="J1483" s="29"/>
      <c r="K1483" s="30"/>
      <c r="L1483" s="31"/>
      <c r="M1483" s="32"/>
      <c r="N1483" s="30"/>
      <c r="O1483" s="30"/>
      <c r="P1483" s="39"/>
      <c r="Q1483" s="34"/>
      <c r="R1483" s="35"/>
      <c r="S1483" s="36"/>
      <c r="T1483" s="35"/>
      <c r="U1483" s="36"/>
      <c r="V1483" s="37"/>
    </row>
    <row r="1484" spans="1:22" x14ac:dyDescent="0.25">
      <c r="A1484" s="27"/>
      <c r="B1484" s="27"/>
      <c r="C1484" s="27"/>
      <c r="D1484" s="27"/>
      <c r="E1484" s="27"/>
      <c r="F1484" s="27"/>
      <c r="G1484" s="27"/>
      <c r="H1484" s="28"/>
      <c r="I1484" s="27"/>
      <c r="J1484" s="29"/>
      <c r="K1484" s="30"/>
      <c r="L1484" s="31"/>
      <c r="M1484" s="32"/>
      <c r="N1484" s="30"/>
      <c r="O1484" s="30"/>
      <c r="P1484" s="39"/>
      <c r="Q1484" s="34"/>
      <c r="R1484" s="35"/>
      <c r="S1484" s="36"/>
      <c r="T1484" s="35"/>
      <c r="U1484" s="36"/>
      <c r="V1484" s="37"/>
    </row>
    <row r="1485" spans="1:22" x14ac:dyDescent="0.25">
      <c r="A1485" s="27"/>
      <c r="B1485" s="27"/>
      <c r="C1485" s="27"/>
      <c r="D1485" s="27"/>
      <c r="E1485" s="27"/>
      <c r="F1485" s="27"/>
      <c r="G1485" s="27"/>
      <c r="H1485" s="28"/>
      <c r="I1485" s="27"/>
      <c r="J1485" s="29"/>
      <c r="K1485" s="30"/>
      <c r="L1485" s="31"/>
      <c r="M1485" s="32"/>
      <c r="N1485" s="30"/>
      <c r="O1485" s="30"/>
      <c r="P1485" s="39"/>
      <c r="Q1485" s="34"/>
      <c r="R1485" s="35"/>
      <c r="S1485" s="36"/>
      <c r="T1485" s="35"/>
      <c r="U1485" s="36"/>
      <c r="V1485" s="37"/>
    </row>
    <row r="1486" spans="1:22" x14ac:dyDescent="0.25">
      <c r="A1486" s="27"/>
      <c r="B1486" s="27"/>
      <c r="C1486" s="27"/>
      <c r="D1486" s="27"/>
      <c r="E1486" s="27"/>
      <c r="F1486" s="27"/>
      <c r="G1486" s="27"/>
      <c r="H1486" s="28"/>
      <c r="I1486" s="27"/>
      <c r="J1486" s="29"/>
      <c r="K1486" s="30"/>
      <c r="L1486" s="31"/>
      <c r="M1486" s="32"/>
      <c r="N1486" s="30"/>
      <c r="O1486" s="30"/>
      <c r="P1486" s="39"/>
      <c r="Q1486" s="34"/>
      <c r="R1486" s="35"/>
      <c r="S1486" s="36"/>
      <c r="T1486" s="35"/>
      <c r="U1486" s="36"/>
      <c r="V1486" s="37"/>
    </row>
    <row r="1487" spans="1:22" x14ac:dyDescent="0.25">
      <c r="A1487" s="27"/>
      <c r="B1487" s="27"/>
      <c r="C1487" s="27"/>
      <c r="D1487" s="27"/>
      <c r="E1487" s="27"/>
      <c r="F1487" s="27"/>
      <c r="G1487" s="27"/>
      <c r="H1487" s="28"/>
      <c r="I1487" s="27"/>
      <c r="J1487" s="29"/>
      <c r="K1487" s="30"/>
      <c r="L1487" s="31"/>
      <c r="M1487" s="32"/>
      <c r="N1487" s="30"/>
      <c r="O1487" s="30"/>
      <c r="P1487" s="39"/>
      <c r="Q1487" s="34"/>
      <c r="R1487" s="35"/>
      <c r="S1487" s="36"/>
      <c r="T1487" s="35"/>
      <c r="U1487" s="36"/>
      <c r="V1487" s="37"/>
    </row>
    <row r="1488" spans="1:22" x14ac:dyDescent="0.25">
      <c r="A1488" s="27"/>
      <c r="B1488" s="27"/>
      <c r="C1488" s="27"/>
      <c r="D1488" s="27"/>
      <c r="E1488" s="27"/>
      <c r="F1488" s="27"/>
      <c r="G1488" s="27"/>
      <c r="H1488" s="28"/>
      <c r="I1488" s="27"/>
      <c r="J1488" s="29"/>
      <c r="K1488" s="30"/>
      <c r="L1488" s="31"/>
      <c r="M1488" s="32"/>
      <c r="N1488" s="30"/>
      <c r="O1488" s="30"/>
      <c r="P1488" s="39"/>
      <c r="Q1488" s="34"/>
      <c r="R1488" s="35"/>
      <c r="S1488" s="36"/>
      <c r="T1488" s="35"/>
      <c r="U1488" s="36"/>
      <c r="V1488" s="37"/>
    </row>
    <row r="1489" spans="1:22" x14ac:dyDescent="0.25">
      <c r="A1489" s="27"/>
      <c r="B1489" s="27"/>
      <c r="C1489" s="27"/>
      <c r="D1489" s="27"/>
      <c r="E1489" s="27"/>
      <c r="F1489" s="27"/>
      <c r="G1489" s="27"/>
      <c r="H1489" s="28"/>
      <c r="I1489" s="27"/>
      <c r="J1489" s="29"/>
      <c r="K1489" s="30"/>
      <c r="L1489" s="31"/>
      <c r="M1489" s="32"/>
      <c r="N1489" s="30"/>
      <c r="O1489" s="30"/>
      <c r="P1489" s="39"/>
      <c r="Q1489" s="34"/>
      <c r="R1489" s="35"/>
      <c r="S1489" s="36"/>
      <c r="T1489" s="35"/>
      <c r="U1489" s="36"/>
      <c r="V1489" s="37"/>
    </row>
    <row r="1490" spans="1:22" x14ac:dyDescent="0.25">
      <c r="A1490" s="27"/>
      <c r="B1490" s="27"/>
      <c r="C1490" s="27"/>
      <c r="D1490" s="27"/>
      <c r="E1490" s="27"/>
      <c r="F1490" s="27"/>
      <c r="G1490" s="27"/>
      <c r="H1490" s="28"/>
      <c r="I1490" s="27"/>
      <c r="J1490" s="29"/>
      <c r="K1490" s="30"/>
      <c r="L1490" s="31"/>
      <c r="M1490" s="32"/>
      <c r="N1490" s="30"/>
      <c r="O1490" s="30"/>
      <c r="P1490" s="39"/>
      <c r="Q1490" s="34"/>
      <c r="R1490" s="35"/>
      <c r="S1490" s="36"/>
      <c r="T1490" s="35"/>
      <c r="U1490" s="36"/>
      <c r="V1490" s="37"/>
    </row>
    <row r="1491" spans="1:22" x14ac:dyDescent="0.25">
      <c r="A1491" s="27"/>
      <c r="B1491" s="27"/>
      <c r="C1491" s="27"/>
      <c r="D1491" s="27"/>
      <c r="E1491" s="27"/>
      <c r="F1491" s="27"/>
      <c r="G1491" s="27"/>
      <c r="H1491" s="28"/>
      <c r="I1491" s="27"/>
      <c r="J1491" s="29"/>
      <c r="K1491" s="30"/>
      <c r="L1491" s="31"/>
      <c r="M1491" s="32"/>
      <c r="N1491" s="30"/>
      <c r="O1491" s="30"/>
      <c r="P1491" s="39"/>
      <c r="Q1491" s="34"/>
      <c r="R1491" s="35"/>
      <c r="S1491" s="36"/>
      <c r="T1491" s="35"/>
      <c r="U1491" s="36"/>
      <c r="V1491" s="37"/>
    </row>
    <row r="1492" spans="1:22" x14ac:dyDescent="0.25">
      <c r="A1492" s="27"/>
      <c r="B1492" s="27"/>
      <c r="C1492" s="27"/>
      <c r="D1492" s="27"/>
      <c r="E1492" s="27"/>
      <c r="F1492" s="27"/>
      <c r="G1492" s="27"/>
      <c r="H1492" s="28"/>
      <c r="I1492" s="27"/>
      <c r="J1492" s="29"/>
      <c r="K1492" s="30"/>
      <c r="L1492" s="31"/>
      <c r="M1492" s="32"/>
      <c r="N1492" s="30"/>
      <c r="O1492" s="30"/>
      <c r="P1492" s="39"/>
      <c r="Q1492" s="34"/>
      <c r="R1492" s="35"/>
      <c r="S1492" s="36"/>
      <c r="T1492" s="35"/>
      <c r="U1492" s="36"/>
      <c r="V1492" s="37"/>
    </row>
    <row r="1493" spans="1:22" x14ac:dyDescent="0.25">
      <c r="A1493" s="27"/>
      <c r="B1493" s="27"/>
      <c r="C1493" s="27"/>
      <c r="D1493" s="27"/>
      <c r="E1493" s="27"/>
      <c r="F1493" s="27"/>
      <c r="G1493" s="27"/>
      <c r="H1493" s="28"/>
      <c r="I1493" s="27"/>
      <c r="J1493" s="29"/>
      <c r="K1493" s="30"/>
      <c r="L1493" s="31"/>
      <c r="M1493" s="32"/>
      <c r="N1493" s="30"/>
      <c r="O1493" s="30"/>
      <c r="P1493" s="39"/>
      <c r="Q1493" s="34"/>
      <c r="R1493" s="35"/>
      <c r="S1493" s="36"/>
      <c r="T1493" s="35"/>
      <c r="U1493" s="36"/>
      <c r="V1493" s="37"/>
    </row>
    <row r="1494" spans="1:22" x14ac:dyDescent="0.25">
      <c r="A1494" s="27"/>
      <c r="B1494" s="27"/>
      <c r="C1494" s="27"/>
      <c r="D1494" s="27"/>
      <c r="E1494" s="27"/>
      <c r="F1494" s="27"/>
      <c r="G1494" s="27"/>
      <c r="H1494" s="28"/>
      <c r="I1494" s="27"/>
      <c r="J1494" s="29"/>
      <c r="K1494" s="30"/>
      <c r="L1494" s="31"/>
      <c r="M1494" s="32"/>
      <c r="N1494" s="30"/>
      <c r="O1494" s="30"/>
      <c r="P1494" s="39"/>
      <c r="Q1494" s="34"/>
      <c r="R1494" s="35"/>
      <c r="S1494" s="36"/>
      <c r="T1494" s="35"/>
      <c r="U1494" s="36"/>
      <c r="V1494" s="37"/>
    </row>
    <row r="1495" spans="1:22" x14ac:dyDescent="0.25">
      <c r="A1495" s="27"/>
      <c r="B1495" s="27"/>
      <c r="C1495" s="27"/>
      <c r="D1495" s="27"/>
      <c r="E1495" s="27"/>
      <c r="F1495" s="27"/>
      <c r="G1495" s="27"/>
      <c r="H1495" s="28"/>
      <c r="I1495" s="27"/>
      <c r="J1495" s="29"/>
      <c r="K1495" s="30"/>
      <c r="L1495" s="31"/>
      <c r="M1495" s="32"/>
      <c r="N1495" s="30"/>
      <c r="O1495" s="30"/>
      <c r="P1495" s="39"/>
      <c r="Q1495" s="34"/>
      <c r="R1495" s="35"/>
      <c r="S1495" s="36"/>
      <c r="T1495" s="35"/>
      <c r="U1495" s="36"/>
      <c r="V1495" s="37"/>
    </row>
    <row r="1496" spans="1:22" x14ac:dyDescent="0.25">
      <c r="A1496" s="27"/>
      <c r="B1496" s="27"/>
      <c r="C1496" s="27"/>
      <c r="D1496" s="27"/>
      <c r="E1496" s="27"/>
      <c r="F1496" s="27"/>
      <c r="G1496" s="27"/>
      <c r="H1496" s="28"/>
      <c r="I1496" s="27"/>
      <c r="J1496" s="29"/>
      <c r="K1496" s="30"/>
      <c r="L1496" s="31"/>
      <c r="M1496" s="32"/>
      <c r="N1496" s="30"/>
      <c r="O1496" s="30"/>
      <c r="P1496" s="39"/>
      <c r="Q1496" s="34"/>
      <c r="R1496" s="35"/>
      <c r="S1496" s="36"/>
      <c r="T1496" s="35"/>
      <c r="U1496" s="36"/>
      <c r="V1496" s="37"/>
    </row>
    <row r="1497" spans="1:22" x14ac:dyDescent="0.25">
      <c r="A1497" s="27"/>
      <c r="B1497" s="27"/>
      <c r="C1497" s="27"/>
      <c r="D1497" s="27"/>
      <c r="E1497" s="27"/>
      <c r="F1497" s="27"/>
      <c r="G1497" s="27"/>
      <c r="H1497" s="28"/>
      <c r="I1497" s="27"/>
      <c r="J1497" s="29"/>
      <c r="K1497" s="30"/>
      <c r="L1497" s="31"/>
      <c r="M1497" s="32"/>
      <c r="N1497" s="30"/>
      <c r="O1497" s="30"/>
      <c r="P1497" s="39"/>
      <c r="Q1497" s="34"/>
      <c r="R1497" s="35"/>
      <c r="S1497" s="36"/>
      <c r="T1497" s="35"/>
      <c r="U1497" s="36"/>
      <c r="V1497" s="37"/>
    </row>
    <row r="1498" spans="1:22" x14ac:dyDescent="0.25">
      <c r="A1498" s="27"/>
      <c r="B1498" s="27"/>
      <c r="C1498" s="27"/>
      <c r="D1498" s="27"/>
      <c r="E1498" s="27"/>
      <c r="F1498" s="27"/>
      <c r="G1498" s="27"/>
      <c r="H1498" s="28"/>
      <c r="I1498" s="27"/>
      <c r="J1498" s="29"/>
      <c r="K1498" s="30"/>
      <c r="L1498" s="31"/>
      <c r="M1498" s="32"/>
      <c r="N1498" s="30"/>
      <c r="O1498" s="30"/>
      <c r="P1498" s="39"/>
      <c r="Q1498" s="34"/>
      <c r="R1498" s="35"/>
      <c r="S1498" s="36"/>
      <c r="T1498" s="35"/>
      <c r="U1498" s="36"/>
      <c r="V1498" s="37"/>
    </row>
    <row r="1499" spans="1:22" x14ac:dyDescent="0.25">
      <c r="A1499" s="27"/>
      <c r="B1499" s="27"/>
      <c r="C1499" s="27"/>
      <c r="D1499" s="27"/>
      <c r="E1499" s="27"/>
      <c r="F1499" s="27"/>
      <c r="G1499" s="27"/>
      <c r="H1499" s="28"/>
      <c r="I1499" s="27"/>
      <c r="J1499" s="29"/>
      <c r="K1499" s="30"/>
      <c r="L1499" s="31"/>
      <c r="M1499" s="32"/>
      <c r="N1499" s="30"/>
      <c r="O1499" s="30"/>
      <c r="P1499" s="39"/>
      <c r="Q1499" s="34"/>
      <c r="R1499" s="35"/>
      <c r="S1499" s="36"/>
      <c r="T1499" s="35"/>
      <c r="U1499" s="36"/>
      <c r="V1499" s="37"/>
    </row>
    <row r="1500" spans="1:22" x14ac:dyDescent="0.25">
      <c r="A1500" s="27"/>
      <c r="B1500" s="27"/>
      <c r="C1500" s="27"/>
      <c r="D1500" s="27"/>
      <c r="E1500" s="27"/>
      <c r="F1500" s="27"/>
      <c r="G1500" s="27"/>
      <c r="H1500" s="28"/>
      <c r="I1500" s="27"/>
      <c r="J1500" s="29"/>
      <c r="K1500" s="30"/>
      <c r="L1500" s="31"/>
      <c r="M1500" s="32"/>
      <c r="N1500" s="30"/>
      <c r="O1500" s="30"/>
      <c r="P1500" s="39"/>
      <c r="Q1500" s="34"/>
      <c r="R1500" s="35"/>
      <c r="S1500" s="36"/>
      <c r="T1500" s="35"/>
      <c r="U1500" s="36"/>
      <c r="V1500" s="37"/>
    </row>
    <row r="1501" spans="1:22" x14ac:dyDescent="0.25">
      <c r="A1501" s="27"/>
      <c r="B1501" s="27"/>
      <c r="C1501" s="27"/>
      <c r="D1501" s="27"/>
      <c r="E1501" s="27"/>
      <c r="F1501" s="27"/>
      <c r="G1501" s="27"/>
      <c r="H1501" s="28"/>
      <c r="I1501" s="27"/>
      <c r="J1501" s="29"/>
      <c r="K1501" s="30"/>
      <c r="L1501" s="31"/>
      <c r="M1501" s="32"/>
      <c r="N1501" s="30"/>
      <c r="O1501" s="30"/>
      <c r="P1501" s="39"/>
      <c r="Q1501" s="34"/>
      <c r="R1501" s="35"/>
      <c r="S1501" s="36"/>
      <c r="T1501" s="35"/>
      <c r="U1501" s="36"/>
      <c r="V1501" s="37"/>
    </row>
    <row r="1502" spans="1:22" x14ac:dyDescent="0.25">
      <c r="A1502" s="27"/>
      <c r="B1502" s="27"/>
      <c r="C1502" s="27"/>
      <c r="D1502" s="27"/>
      <c r="E1502" s="27"/>
      <c r="F1502" s="27"/>
      <c r="G1502" s="27"/>
      <c r="H1502" s="28"/>
      <c r="I1502" s="27"/>
      <c r="J1502" s="29"/>
      <c r="K1502" s="30"/>
      <c r="L1502" s="31"/>
      <c r="M1502" s="32"/>
      <c r="N1502" s="30"/>
      <c r="O1502" s="30"/>
      <c r="P1502" s="39"/>
      <c r="Q1502" s="34"/>
      <c r="R1502" s="35"/>
      <c r="S1502" s="36"/>
      <c r="T1502" s="35"/>
      <c r="U1502" s="36"/>
      <c r="V1502" s="37"/>
    </row>
    <row r="1503" spans="1:22" x14ac:dyDescent="0.25">
      <c r="A1503" s="27"/>
      <c r="B1503" s="27"/>
      <c r="C1503" s="27"/>
      <c r="D1503" s="27"/>
      <c r="E1503" s="27"/>
      <c r="F1503" s="27"/>
      <c r="G1503" s="27"/>
      <c r="H1503" s="28"/>
      <c r="I1503" s="27"/>
      <c r="J1503" s="29"/>
      <c r="K1503" s="30"/>
      <c r="L1503" s="31"/>
      <c r="M1503" s="32"/>
      <c r="N1503" s="30"/>
      <c r="O1503" s="30"/>
      <c r="P1503" s="39"/>
      <c r="Q1503" s="34"/>
      <c r="R1503" s="35"/>
      <c r="S1503" s="36"/>
      <c r="T1503" s="35"/>
      <c r="U1503" s="36"/>
      <c r="V1503" s="37"/>
    </row>
    <row r="1504" spans="1:22" x14ac:dyDescent="0.25">
      <c r="A1504" s="27"/>
      <c r="B1504" s="27"/>
      <c r="C1504" s="27"/>
      <c r="D1504" s="27"/>
      <c r="E1504" s="27"/>
      <c r="F1504" s="27"/>
      <c r="G1504" s="27"/>
      <c r="H1504" s="28"/>
      <c r="I1504" s="27"/>
      <c r="J1504" s="29"/>
      <c r="K1504" s="30"/>
      <c r="L1504" s="31"/>
      <c r="M1504" s="32"/>
      <c r="N1504" s="30"/>
      <c r="O1504" s="30"/>
      <c r="P1504" s="39"/>
      <c r="Q1504" s="34"/>
      <c r="R1504" s="35"/>
      <c r="S1504" s="36"/>
      <c r="T1504" s="35"/>
      <c r="U1504" s="36"/>
      <c r="V1504" s="37"/>
    </row>
    <row r="1505" spans="1:22" x14ac:dyDescent="0.25">
      <c r="A1505" s="27"/>
      <c r="B1505" s="27"/>
      <c r="C1505" s="27"/>
      <c r="D1505" s="27"/>
      <c r="E1505" s="27"/>
      <c r="F1505" s="27"/>
      <c r="G1505" s="27"/>
      <c r="H1505" s="28"/>
      <c r="I1505" s="27"/>
      <c r="J1505" s="29"/>
      <c r="K1505" s="30"/>
      <c r="L1505" s="31"/>
      <c r="M1505" s="32"/>
      <c r="N1505" s="30"/>
      <c r="O1505" s="30"/>
      <c r="P1505" s="39"/>
      <c r="Q1505" s="34"/>
      <c r="R1505" s="35"/>
      <c r="S1505" s="36"/>
      <c r="T1505" s="35"/>
      <c r="U1505" s="36"/>
      <c r="V1505" s="37"/>
    </row>
    <row r="1506" spans="1:22" x14ac:dyDescent="0.25">
      <c r="A1506" s="27"/>
      <c r="B1506" s="27"/>
      <c r="C1506" s="27"/>
      <c r="D1506" s="27"/>
      <c r="E1506" s="27"/>
      <c r="F1506" s="27"/>
      <c r="G1506" s="27"/>
      <c r="H1506" s="28"/>
      <c r="I1506" s="27"/>
      <c r="J1506" s="29"/>
      <c r="K1506" s="30"/>
      <c r="L1506" s="31"/>
      <c r="M1506" s="32"/>
      <c r="N1506" s="30"/>
      <c r="O1506" s="30"/>
      <c r="P1506" s="39"/>
      <c r="Q1506" s="34"/>
      <c r="R1506" s="35"/>
      <c r="S1506" s="36"/>
      <c r="T1506" s="35"/>
      <c r="U1506" s="36"/>
      <c r="V1506" s="37"/>
    </row>
    <row r="1507" spans="1:22" x14ac:dyDescent="0.25">
      <c r="A1507" s="27"/>
      <c r="B1507" s="27"/>
      <c r="C1507" s="27"/>
      <c r="D1507" s="27"/>
      <c r="E1507" s="27"/>
      <c r="F1507" s="27"/>
      <c r="G1507" s="27"/>
      <c r="H1507" s="28"/>
      <c r="I1507" s="27"/>
      <c r="J1507" s="29"/>
      <c r="K1507" s="30"/>
      <c r="L1507" s="31"/>
      <c r="M1507" s="32"/>
      <c r="N1507" s="30"/>
      <c r="O1507" s="30"/>
      <c r="P1507" s="39"/>
      <c r="Q1507" s="34"/>
      <c r="R1507" s="35"/>
      <c r="S1507" s="36"/>
      <c r="T1507" s="35"/>
      <c r="U1507" s="36"/>
      <c r="V1507" s="37"/>
    </row>
    <row r="1508" spans="1:22" x14ac:dyDescent="0.25">
      <c r="A1508" s="27"/>
      <c r="B1508" s="27"/>
      <c r="C1508" s="27"/>
      <c r="D1508" s="27"/>
      <c r="E1508" s="27"/>
      <c r="F1508" s="27"/>
      <c r="G1508" s="27"/>
      <c r="H1508" s="28"/>
      <c r="I1508" s="27"/>
      <c r="J1508" s="29"/>
      <c r="K1508" s="30"/>
      <c r="L1508" s="31"/>
      <c r="M1508" s="32"/>
      <c r="N1508" s="30"/>
      <c r="O1508" s="30"/>
      <c r="P1508" s="39"/>
      <c r="Q1508" s="34"/>
      <c r="R1508" s="35"/>
      <c r="S1508" s="36"/>
      <c r="T1508" s="35"/>
      <c r="U1508" s="36"/>
      <c r="V1508" s="37"/>
    </row>
    <row r="1509" spans="1:22" x14ac:dyDescent="0.25">
      <c r="A1509" s="27"/>
      <c r="B1509" s="27"/>
      <c r="C1509" s="27"/>
      <c r="D1509" s="27"/>
      <c r="E1509" s="27"/>
      <c r="F1509" s="27"/>
      <c r="G1509" s="27"/>
      <c r="H1509" s="28"/>
      <c r="I1509" s="27"/>
      <c r="J1509" s="29"/>
      <c r="K1509" s="30"/>
      <c r="L1509" s="31"/>
      <c r="M1509" s="32"/>
      <c r="N1509" s="30"/>
      <c r="O1509" s="30"/>
      <c r="P1509" s="39"/>
      <c r="Q1509" s="34"/>
      <c r="R1509" s="35"/>
      <c r="S1509" s="36"/>
      <c r="T1509" s="35"/>
      <c r="U1509" s="36"/>
      <c r="V1509" s="37"/>
    </row>
    <row r="1510" spans="1:22" x14ac:dyDescent="0.25">
      <c r="A1510" s="27"/>
      <c r="B1510" s="27"/>
      <c r="C1510" s="27"/>
      <c r="D1510" s="27"/>
      <c r="E1510" s="27"/>
      <c r="F1510" s="27"/>
      <c r="G1510" s="27"/>
      <c r="H1510" s="28"/>
      <c r="I1510" s="27"/>
      <c r="J1510" s="29"/>
      <c r="K1510" s="30"/>
      <c r="L1510" s="31"/>
      <c r="M1510" s="32"/>
      <c r="N1510" s="30"/>
      <c r="O1510" s="30"/>
      <c r="P1510" s="39"/>
      <c r="Q1510" s="34"/>
      <c r="R1510" s="35"/>
      <c r="S1510" s="36"/>
      <c r="T1510" s="35"/>
      <c r="U1510" s="36"/>
      <c r="V1510" s="37"/>
    </row>
    <row r="1511" spans="1:22" x14ac:dyDescent="0.25">
      <c r="A1511" s="27"/>
      <c r="B1511" s="27"/>
      <c r="C1511" s="27"/>
      <c r="D1511" s="27"/>
      <c r="E1511" s="27"/>
      <c r="F1511" s="27"/>
      <c r="G1511" s="27"/>
      <c r="H1511" s="28"/>
      <c r="I1511" s="27"/>
      <c r="J1511" s="29"/>
      <c r="K1511" s="30"/>
      <c r="L1511" s="31"/>
      <c r="M1511" s="32"/>
      <c r="N1511" s="30"/>
      <c r="O1511" s="30"/>
      <c r="P1511" s="39"/>
      <c r="Q1511" s="34"/>
      <c r="R1511" s="35"/>
      <c r="S1511" s="36"/>
      <c r="T1511" s="35"/>
      <c r="U1511" s="36"/>
      <c r="V1511" s="37"/>
    </row>
    <row r="1512" spans="1:22" x14ac:dyDescent="0.25">
      <c r="A1512" s="27"/>
      <c r="B1512" s="27"/>
      <c r="C1512" s="27"/>
      <c r="D1512" s="27"/>
      <c r="E1512" s="27"/>
      <c r="F1512" s="27"/>
      <c r="G1512" s="27"/>
      <c r="H1512" s="28"/>
      <c r="I1512" s="27"/>
      <c r="J1512" s="29"/>
      <c r="K1512" s="30"/>
      <c r="L1512" s="31"/>
      <c r="M1512" s="32"/>
      <c r="N1512" s="30"/>
      <c r="O1512" s="30"/>
      <c r="P1512" s="39"/>
      <c r="Q1512" s="34"/>
      <c r="R1512" s="35"/>
      <c r="S1512" s="36"/>
      <c r="T1512" s="35"/>
      <c r="U1512" s="36"/>
      <c r="V1512" s="37"/>
    </row>
    <row r="1513" spans="1:22" x14ac:dyDescent="0.25">
      <c r="A1513" s="27"/>
      <c r="B1513" s="27"/>
      <c r="C1513" s="27"/>
      <c r="D1513" s="27"/>
      <c r="E1513" s="27"/>
      <c r="F1513" s="27"/>
      <c r="G1513" s="27"/>
      <c r="H1513" s="28"/>
      <c r="I1513" s="27"/>
      <c r="J1513" s="29"/>
      <c r="K1513" s="30"/>
      <c r="L1513" s="31"/>
      <c r="M1513" s="32"/>
      <c r="N1513" s="30"/>
      <c r="O1513" s="30"/>
      <c r="P1513" s="39"/>
      <c r="Q1513" s="34"/>
      <c r="R1513" s="35"/>
      <c r="S1513" s="36"/>
      <c r="T1513" s="35"/>
      <c r="U1513" s="36"/>
      <c r="V1513" s="37"/>
    </row>
    <row r="1514" spans="1:22" x14ac:dyDescent="0.25">
      <c r="A1514" s="27"/>
      <c r="B1514" s="27"/>
      <c r="C1514" s="27"/>
      <c r="D1514" s="27"/>
      <c r="E1514" s="27"/>
      <c r="F1514" s="27"/>
      <c r="G1514" s="27"/>
      <c r="H1514" s="28"/>
      <c r="I1514" s="27"/>
      <c r="J1514" s="29"/>
      <c r="K1514" s="30"/>
      <c r="L1514" s="31"/>
      <c r="M1514" s="32"/>
      <c r="N1514" s="30"/>
      <c r="O1514" s="30"/>
      <c r="P1514" s="39"/>
      <c r="Q1514" s="34"/>
      <c r="R1514" s="35"/>
      <c r="S1514" s="36"/>
      <c r="T1514" s="35"/>
      <c r="U1514" s="36"/>
      <c r="V1514" s="37"/>
    </row>
    <row r="1515" spans="1:22" x14ac:dyDescent="0.25">
      <c r="A1515" s="27"/>
      <c r="B1515" s="27"/>
      <c r="C1515" s="27"/>
      <c r="D1515" s="27"/>
      <c r="E1515" s="27"/>
      <c r="F1515" s="27"/>
      <c r="G1515" s="27"/>
      <c r="H1515" s="28"/>
      <c r="I1515" s="27"/>
      <c r="J1515" s="29"/>
      <c r="K1515" s="30"/>
      <c r="L1515" s="31"/>
      <c r="M1515" s="32"/>
      <c r="N1515" s="30"/>
      <c r="O1515" s="30"/>
      <c r="P1515" s="39"/>
      <c r="Q1515" s="34"/>
      <c r="R1515" s="35"/>
      <c r="S1515" s="36"/>
      <c r="T1515" s="35"/>
      <c r="U1515" s="36"/>
      <c r="V1515" s="37"/>
    </row>
    <row r="1516" spans="1:22" x14ac:dyDescent="0.25">
      <c r="A1516" s="27"/>
      <c r="B1516" s="27"/>
      <c r="C1516" s="27"/>
      <c r="D1516" s="27"/>
      <c r="E1516" s="27"/>
      <c r="F1516" s="27"/>
      <c r="G1516" s="27"/>
      <c r="H1516" s="28"/>
      <c r="I1516" s="27"/>
      <c r="J1516" s="29"/>
      <c r="K1516" s="30"/>
      <c r="L1516" s="31"/>
      <c r="M1516" s="32"/>
      <c r="N1516" s="30"/>
      <c r="O1516" s="30"/>
      <c r="P1516" s="39"/>
      <c r="Q1516" s="34"/>
      <c r="R1516" s="35"/>
      <c r="S1516" s="36"/>
      <c r="T1516" s="35"/>
      <c r="U1516" s="36"/>
      <c r="V1516" s="37"/>
    </row>
    <row r="1517" spans="1:22" x14ac:dyDescent="0.25">
      <c r="A1517" s="27"/>
      <c r="B1517" s="27"/>
      <c r="C1517" s="27"/>
      <c r="D1517" s="27"/>
      <c r="E1517" s="27"/>
      <c r="F1517" s="27"/>
      <c r="G1517" s="27"/>
      <c r="H1517" s="28"/>
      <c r="I1517" s="27"/>
      <c r="J1517" s="29"/>
      <c r="K1517" s="30"/>
      <c r="L1517" s="31"/>
      <c r="M1517" s="32"/>
      <c r="N1517" s="30"/>
      <c r="O1517" s="30"/>
      <c r="P1517" s="39"/>
      <c r="Q1517" s="34"/>
      <c r="R1517" s="35"/>
      <c r="S1517" s="36"/>
      <c r="T1517" s="35"/>
      <c r="U1517" s="36"/>
      <c r="V1517" s="37"/>
    </row>
    <row r="1518" spans="1:22" x14ac:dyDescent="0.25">
      <c r="A1518" s="27"/>
      <c r="B1518" s="27"/>
      <c r="C1518" s="27"/>
      <c r="D1518" s="27"/>
      <c r="E1518" s="27"/>
      <c r="F1518" s="27"/>
      <c r="G1518" s="27"/>
      <c r="H1518" s="28"/>
      <c r="I1518" s="27"/>
      <c r="J1518" s="29"/>
      <c r="K1518" s="30"/>
      <c r="L1518" s="31"/>
      <c r="M1518" s="32"/>
      <c r="N1518" s="30"/>
      <c r="O1518" s="30"/>
      <c r="P1518" s="39"/>
      <c r="Q1518" s="34"/>
      <c r="R1518" s="35"/>
      <c r="S1518" s="36"/>
      <c r="T1518" s="35"/>
      <c r="U1518" s="36"/>
      <c r="V1518" s="37"/>
    </row>
    <row r="1519" spans="1:22" x14ac:dyDescent="0.25">
      <c r="A1519" s="27"/>
      <c r="B1519" s="27"/>
      <c r="C1519" s="27"/>
      <c r="D1519" s="27"/>
      <c r="E1519" s="27"/>
      <c r="F1519" s="27"/>
      <c r="G1519" s="27"/>
      <c r="H1519" s="28"/>
      <c r="I1519" s="27"/>
      <c r="J1519" s="29"/>
      <c r="K1519" s="30"/>
      <c r="L1519" s="31"/>
      <c r="M1519" s="32"/>
      <c r="N1519" s="30"/>
      <c r="O1519" s="30"/>
      <c r="P1519" s="39"/>
      <c r="Q1519" s="34"/>
      <c r="R1519" s="35"/>
      <c r="S1519" s="36"/>
      <c r="T1519" s="35"/>
      <c r="U1519" s="36"/>
      <c r="V1519" s="37"/>
    </row>
    <row r="1520" spans="1:22" x14ac:dyDescent="0.25">
      <c r="A1520" s="27"/>
      <c r="B1520" s="27"/>
      <c r="C1520" s="27"/>
      <c r="D1520" s="27"/>
      <c r="E1520" s="27"/>
      <c r="F1520" s="27"/>
      <c r="G1520" s="27"/>
      <c r="H1520" s="28"/>
      <c r="I1520" s="27"/>
      <c r="J1520" s="29"/>
      <c r="K1520" s="30"/>
      <c r="L1520" s="31"/>
      <c r="M1520" s="32"/>
      <c r="N1520" s="30"/>
      <c r="O1520" s="30"/>
      <c r="P1520" s="39"/>
      <c r="Q1520" s="34"/>
      <c r="R1520" s="35"/>
      <c r="S1520" s="36"/>
      <c r="T1520" s="35"/>
      <c r="U1520" s="36"/>
      <c r="V1520" s="37"/>
    </row>
    <row r="1521" spans="1:22" x14ac:dyDescent="0.25">
      <c r="A1521" s="27"/>
      <c r="B1521" s="27"/>
      <c r="C1521" s="27"/>
      <c r="D1521" s="27"/>
      <c r="E1521" s="27"/>
      <c r="F1521" s="27"/>
      <c r="G1521" s="27"/>
      <c r="H1521" s="28"/>
      <c r="I1521" s="27"/>
      <c r="J1521" s="29"/>
      <c r="K1521" s="30"/>
      <c r="L1521" s="31"/>
      <c r="M1521" s="32"/>
      <c r="N1521" s="30"/>
      <c r="O1521" s="30"/>
      <c r="P1521" s="39"/>
      <c r="Q1521" s="34"/>
      <c r="R1521" s="35"/>
      <c r="S1521" s="36"/>
      <c r="T1521" s="35"/>
      <c r="U1521" s="36"/>
      <c r="V1521" s="37"/>
    </row>
    <row r="1522" spans="1:22" x14ac:dyDescent="0.25">
      <c r="A1522" s="27"/>
      <c r="B1522" s="27"/>
      <c r="C1522" s="27"/>
      <c r="D1522" s="27"/>
      <c r="E1522" s="27"/>
      <c r="F1522" s="27"/>
      <c r="G1522" s="27"/>
      <c r="H1522" s="28"/>
      <c r="I1522" s="27"/>
      <c r="J1522" s="29"/>
      <c r="K1522" s="30"/>
      <c r="L1522" s="31"/>
      <c r="M1522" s="32"/>
      <c r="N1522" s="30"/>
      <c r="O1522" s="30"/>
      <c r="P1522" s="39"/>
      <c r="Q1522" s="34"/>
      <c r="R1522" s="35"/>
      <c r="S1522" s="36"/>
      <c r="T1522" s="35"/>
      <c r="U1522" s="36"/>
      <c r="V1522" s="37"/>
    </row>
    <row r="1523" spans="1:22" x14ac:dyDescent="0.25">
      <c r="A1523" s="27"/>
      <c r="B1523" s="27"/>
      <c r="C1523" s="27"/>
      <c r="D1523" s="27"/>
      <c r="E1523" s="27"/>
      <c r="F1523" s="27"/>
      <c r="G1523" s="27"/>
      <c r="H1523" s="28"/>
      <c r="I1523" s="27"/>
      <c r="J1523" s="29"/>
      <c r="K1523" s="30"/>
      <c r="L1523" s="31"/>
      <c r="M1523" s="32"/>
      <c r="N1523" s="30"/>
      <c r="O1523" s="30"/>
      <c r="P1523" s="39"/>
      <c r="Q1523" s="34"/>
      <c r="R1523" s="35"/>
      <c r="S1523" s="36"/>
      <c r="T1523" s="35"/>
      <c r="U1523" s="36"/>
      <c r="V1523" s="37"/>
    </row>
    <row r="1524" spans="1:22" x14ac:dyDescent="0.25">
      <c r="A1524" s="27"/>
      <c r="B1524" s="27"/>
      <c r="C1524" s="27"/>
      <c r="D1524" s="27"/>
      <c r="E1524" s="27"/>
      <c r="F1524" s="27"/>
      <c r="G1524" s="27"/>
      <c r="H1524" s="28"/>
      <c r="I1524" s="27"/>
      <c r="J1524" s="29"/>
      <c r="K1524" s="30"/>
      <c r="L1524" s="31"/>
      <c r="M1524" s="32"/>
      <c r="N1524" s="30"/>
      <c r="O1524" s="30"/>
      <c r="P1524" s="39"/>
      <c r="Q1524" s="34"/>
      <c r="R1524" s="35"/>
      <c r="S1524" s="36"/>
      <c r="T1524" s="35"/>
      <c r="U1524" s="36"/>
      <c r="V1524" s="37"/>
    </row>
    <row r="1525" spans="1:22" x14ac:dyDescent="0.25">
      <c r="A1525" s="27"/>
      <c r="B1525" s="27"/>
      <c r="C1525" s="27"/>
      <c r="D1525" s="27"/>
      <c r="E1525" s="27"/>
      <c r="F1525" s="27"/>
      <c r="G1525" s="27"/>
      <c r="H1525" s="28"/>
      <c r="I1525" s="27"/>
      <c r="J1525" s="29"/>
      <c r="K1525" s="30"/>
      <c r="L1525" s="31"/>
      <c r="M1525" s="32"/>
      <c r="N1525" s="30"/>
      <c r="O1525" s="30"/>
      <c r="P1525" s="39"/>
      <c r="Q1525" s="34"/>
      <c r="R1525" s="35"/>
      <c r="S1525" s="36"/>
      <c r="T1525" s="35"/>
      <c r="U1525" s="36"/>
      <c r="V1525" s="37"/>
    </row>
    <row r="1526" spans="1:22" x14ac:dyDescent="0.25">
      <c r="A1526" s="27"/>
      <c r="B1526" s="27"/>
      <c r="C1526" s="27"/>
      <c r="D1526" s="27"/>
      <c r="E1526" s="27"/>
      <c r="F1526" s="27"/>
      <c r="G1526" s="27"/>
      <c r="H1526" s="28"/>
      <c r="I1526" s="27"/>
      <c r="J1526" s="29"/>
      <c r="K1526" s="30"/>
      <c r="L1526" s="31"/>
      <c r="M1526" s="32"/>
      <c r="N1526" s="30"/>
      <c r="O1526" s="30"/>
      <c r="P1526" s="39"/>
      <c r="Q1526" s="34"/>
      <c r="R1526" s="35"/>
      <c r="S1526" s="36"/>
      <c r="T1526" s="35"/>
      <c r="U1526" s="36"/>
      <c r="V1526" s="37"/>
    </row>
    <row r="1527" spans="1:22" x14ac:dyDescent="0.25">
      <c r="A1527" s="27"/>
      <c r="B1527" s="27"/>
      <c r="C1527" s="27"/>
      <c r="D1527" s="27"/>
      <c r="E1527" s="27"/>
      <c r="F1527" s="27"/>
      <c r="G1527" s="27"/>
      <c r="H1527" s="28"/>
      <c r="I1527" s="27"/>
      <c r="J1527" s="29"/>
      <c r="K1527" s="30"/>
      <c r="L1527" s="31"/>
      <c r="M1527" s="32"/>
      <c r="N1527" s="30"/>
      <c r="O1527" s="30"/>
      <c r="P1527" s="39"/>
      <c r="Q1527" s="34"/>
      <c r="R1527" s="35"/>
      <c r="S1527" s="36"/>
      <c r="T1527" s="35"/>
      <c r="U1527" s="36"/>
      <c r="V1527" s="37"/>
    </row>
    <row r="1528" spans="1:22" x14ac:dyDescent="0.25">
      <c r="A1528" s="27"/>
      <c r="B1528" s="27"/>
      <c r="C1528" s="27"/>
      <c r="D1528" s="27"/>
      <c r="E1528" s="27"/>
      <c r="F1528" s="27"/>
      <c r="G1528" s="27"/>
      <c r="H1528" s="28"/>
      <c r="I1528" s="27"/>
      <c r="J1528" s="29"/>
      <c r="K1528" s="30"/>
      <c r="L1528" s="31"/>
      <c r="M1528" s="32"/>
      <c r="N1528" s="30"/>
      <c r="O1528" s="30"/>
      <c r="P1528" s="39"/>
      <c r="Q1528" s="34"/>
      <c r="R1528" s="35"/>
      <c r="S1528" s="36"/>
      <c r="T1528" s="35"/>
      <c r="U1528" s="36"/>
      <c r="V1528" s="37"/>
    </row>
    <row r="1529" spans="1:22" x14ac:dyDescent="0.25">
      <c r="A1529" s="27"/>
      <c r="B1529" s="27"/>
      <c r="C1529" s="27"/>
      <c r="D1529" s="27"/>
      <c r="E1529" s="27"/>
      <c r="F1529" s="27"/>
      <c r="G1529" s="27"/>
      <c r="H1529" s="28"/>
      <c r="I1529" s="27"/>
      <c r="J1529" s="29"/>
      <c r="K1529" s="30"/>
      <c r="L1529" s="31"/>
      <c r="M1529" s="32"/>
      <c r="N1529" s="30"/>
      <c r="O1529" s="30"/>
      <c r="P1529" s="39"/>
      <c r="Q1529" s="34"/>
      <c r="R1529" s="35"/>
      <c r="S1529" s="36"/>
      <c r="T1529" s="35"/>
      <c r="U1529" s="36"/>
      <c r="V1529" s="37"/>
    </row>
    <row r="1530" spans="1:22" x14ac:dyDescent="0.25">
      <c r="A1530" s="27"/>
      <c r="B1530" s="27"/>
      <c r="C1530" s="27"/>
      <c r="D1530" s="27"/>
      <c r="E1530" s="27"/>
      <c r="F1530" s="27"/>
      <c r="G1530" s="27"/>
      <c r="H1530" s="28"/>
      <c r="I1530" s="27"/>
      <c r="J1530" s="29"/>
      <c r="K1530" s="30"/>
      <c r="L1530" s="31"/>
      <c r="M1530" s="32"/>
      <c r="N1530" s="30"/>
      <c r="O1530" s="30"/>
      <c r="P1530" s="39"/>
      <c r="Q1530" s="34"/>
      <c r="R1530" s="35"/>
      <c r="S1530" s="36"/>
      <c r="T1530" s="35"/>
      <c r="U1530" s="36"/>
      <c r="V1530" s="37"/>
    </row>
    <row r="1531" spans="1:22" x14ac:dyDescent="0.25">
      <c r="A1531" s="27"/>
      <c r="B1531" s="27"/>
      <c r="C1531" s="27"/>
      <c r="D1531" s="27"/>
      <c r="E1531" s="27"/>
      <c r="F1531" s="27"/>
      <c r="G1531" s="27"/>
      <c r="H1531" s="28"/>
      <c r="I1531" s="27"/>
      <c r="J1531" s="29"/>
      <c r="K1531" s="30"/>
      <c r="L1531" s="31"/>
      <c r="M1531" s="32"/>
      <c r="N1531" s="30"/>
      <c r="O1531" s="30"/>
      <c r="P1531" s="39"/>
      <c r="Q1531" s="34"/>
      <c r="R1531" s="35"/>
      <c r="S1531" s="36"/>
      <c r="T1531" s="35"/>
      <c r="U1531" s="36"/>
      <c r="V1531" s="37"/>
    </row>
    <row r="1532" spans="1:22" x14ac:dyDescent="0.25">
      <c r="A1532" s="27"/>
      <c r="B1532" s="27"/>
      <c r="C1532" s="27"/>
      <c r="D1532" s="27"/>
      <c r="E1532" s="27"/>
      <c r="F1532" s="27"/>
      <c r="G1532" s="27"/>
      <c r="H1532" s="28"/>
      <c r="I1532" s="27"/>
      <c r="J1532" s="29"/>
      <c r="K1532" s="30"/>
      <c r="L1532" s="31"/>
      <c r="M1532" s="32"/>
      <c r="N1532" s="30"/>
      <c r="O1532" s="30"/>
      <c r="P1532" s="39"/>
      <c r="Q1532" s="34"/>
      <c r="R1532" s="35"/>
      <c r="S1532" s="36"/>
      <c r="T1532" s="35"/>
      <c r="U1532" s="36"/>
      <c r="V1532" s="37"/>
    </row>
    <row r="1533" spans="1:22" x14ac:dyDescent="0.25">
      <c r="A1533" s="27"/>
      <c r="B1533" s="27"/>
      <c r="C1533" s="27"/>
      <c r="D1533" s="27"/>
      <c r="E1533" s="27"/>
      <c r="F1533" s="27"/>
      <c r="G1533" s="27"/>
      <c r="H1533" s="28"/>
      <c r="I1533" s="27"/>
      <c r="J1533" s="29"/>
      <c r="K1533" s="30"/>
      <c r="L1533" s="31"/>
      <c r="M1533" s="32"/>
      <c r="N1533" s="30"/>
      <c r="O1533" s="30"/>
      <c r="P1533" s="39"/>
      <c r="Q1533" s="34"/>
      <c r="R1533" s="35"/>
      <c r="S1533" s="36"/>
      <c r="T1533" s="35"/>
      <c r="U1533" s="36"/>
      <c r="V1533" s="37"/>
    </row>
    <row r="1534" spans="1:22" x14ac:dyDescent="0.25">
      <c r="A1534" s="27"/>
      <c r="B1534" s="27"/>
      <c r="C1534" s="27"/>
      <c r="D1534" s="27"/>
      <c r="E1534" s="27"/>
      <c r="F1534" s="27"/>
      <c r="G1534" s="27"/>
      <c r="H1534" s="28"/>
      <c r="I1534" s="27"/>
      <c r="J1534" s="29"/>
      <c r="K1534" s="30"/>
      <c r="L1534" s="31"/>
      <c r="M1534" s="32"/>
      <c r="N1534" s="30"/>
      <c r="O1534" s="30"/>
      <c r="P1534" s="39"/>
      <c r="Q1534" s="34"/>
      <c r="R1534" s="35"/>
      <c r="S1534" s="36"/>
      <c r="T1534" s="35"/>
      <c r="U1534" s="36"/>
      <c r="V1534" s="37"/>
    </row>
    <row r="1535" spans="1:22" x14ac:dyDescent="0.25">
      <c r="A1535" s="27"/>
      <c r="B1535" s="27"/>
      <c r="C1535" s="27"/>
      <c r="D1535" s="27"/>
      <c r="E1535" s="27"/>
      <c r="F1535" s="27"/>
      <c r="G1535" s="27"/>
      <c r="H1535" s="28"/>
      <c r="I1535" s="27"/>
      <c r="J1535" s="29"/>
      <c r="K1535" s="30"/>
      <c r="L1535" s="31"/>
      <c r="M1535" s="32"/>
      <c r="N1535" s="30"/>
      <c r="O1535" s="30"/>
      <c r="P1535" s="39"/>
      <c r="Q1535" s="34"/>
      <c r="R1535" s="35"/>
      <c r="S1535" s="36"/>
      <c r="T1535" s="35"/>
      <c r="U1535" s="36"/>
      <c r="V1535" s="37"/>
    </row>
    <row r="1536" spans="1:22" x14ac:dyDescent="0.25">
      <c r="A1536" s="27"/>
      <c r="B1536" s="27"/>
      <c r="C1536" s="27"/>
      <c r="D1536" s="27"/>
      <c r="E1536" s="27"/>
      <c r="F1536" s="27"/>
      <c r="G1536" s="27"/>
      <c r="H1536" s="28"/>
      <c r="I1536" s="27"/>
      <c r="J1536" s="29"/>
      <c r="K1536" s="30"/>
      <c r="L1536" s="31"/>
      <c r="M1536" s="32"/>
      <c r="N1536" s="30"/>
      <c r="O1536" s="30"/>
      <c r="P1536" s="39"/>
      <c r="Q1536" s="34"/>
      <c r="R1536" s="35"/>
      <c r="S1536" s="36"/>
      <c r="T1536" s="35"/>
      <c r="U1536" s="36"/>
      <c r="V1536" s="37"/>
    </row>
    <row r="1537" spans="1:22" x14ac:dyDescent="0.25">
      <c r="A1537" s="27"/>
      <c r="B1537" s="27"/>
      <c r="C1537" s="27"/>
      <c r="D1537" s="27"/>
      <c r="E1537" s="27"/>
      <c r="F1537" s="27"/>
      <c r="G1537" s="27"/>
      <c r="H1537" s="28"/>
      <c r="I1537" s="27"/>
      <c r="J1537" s="29"/>
      <c r="K1537" s="30"/>
      <c r="L1537" s="31"/>
      <c r="M1537" s="32"/>
      <c r="N1537" s="30"/>
      <c r="O1537" s="30"/>
      <c r="P1537" s="39"/>
      <c r="Q1537" s="34"/>
      <c r="R1537" s="35"/>
      <c r="S1537" s="36"/>
      <c r="T1537" s="35"/>
      <c r="U1537" s="36"/>
      <c r="V1537" s="37"/>
    </row>
    <row r="1538" spans="1:22" x14ac:dyDescent="0.25">
      <c r="A1538" s="27"/>
      <c r="B1538" s="27"/>
      <c r="C1538" s="27"/>
      <c r="D1538" s="27"/>
      <c r="E1538" s="27"/>
      <c r="F1538" s="27"/>
      <c r="G1538" s="27"/>
      <c r="H1538" s="28"/>
      <c r="I1538" s="27"/>
      <c r="J1538" s="29"/>
      <c r="K1538" s="30"/>
      <c r="L1538" s="31"/>
      <c r="M1538" s="32"/>
      <c r="N1538" s="30"/>
      <c r="O1538" s="30"/>
      <c r="P1538" s="39"/>
      <c r="Q1538" s="34"/>
      <c r="R1538" s="35"/>
      <c r="S1538" s="36"/>
      <c r="T1538" s="35"/>
      <c r="U1538" s="36"/>
      <c r="V1538" s="37"/>
    </row>
    <row r="1539" spans="1:22" x14ac:dyDescent="0.25">
      <c r="A1539" s="27"/>
      <c r="B1539" s="27"/>
      <c r="C1539" s="27"/>
      <c r="D1539" s="27"/>
      <c r="E1539" s="27"/>
      <c r="F1539" s="27"/>
      <c r="G1539" s="27"/>
      <c r="H1539" s="28"/>
      <c r="I1539" s="27"/>
      <c r="J1539" s="29"/>
      <c r="K1539" s="30"/>
      <c r="L1539" s="31"/>
      <c r="M1539" s="32"/>
      <c r="N1539" s="30"/>
      <c r="O1539" s="30"/>
      <c r="P1539" s="39"/>
      <c r="Q1539" s="34"/>
      <c r="R1539" s="35"/>
      <c r="S1539" s="36"/>
      <c r="T1539" s="35"/>
      <c r="U1539" s="36"/>
      <c r="V1539" s="37"/>
    </row>
    <row r="1540" spans="1:22" x14ac:dyDescent="0.25">
      <c r="A1540" s="27"/>
      <c r="B1540" s="27"/>
      <c r="C1540" s="27"/>
      <c r="D1540" s="27"/>
      <c r="E1540" s="27"/>
      <c r="F1540" s="27"/>
      <c r="G1540" s="27"/>
      <c r="H1540" s="28"/>
      <c r="I1540" s="27"/>
      <c r="J1540" s="29"/>
      <c r="K1540" s="30"/>
      <c r="L1540" s="31"/>
      <c r="M1540" s="32"/>
      <c r="N1540" s="30"/>
      <c r="O1540" s="30"/>
      <c r="P1540" s="39"/>
      <c r="Q1540" s="34"/>
      <c r="R1540" s="35"/>
      <c r="S1540" s="36"/>
      <c r="T1540" s="35"/>
      <c r="U1540" s="36"/>
      <c r="V1540" s="37"/>
    </row>
    <row r="1541" spans="1:22" x14ac:dyDescent="0.25">
      <c r="A1541" s="27"/>
      <c r="B1541" s="27"/>
      <c r="C1541" s="27"/>
      <c r="D1541" s="27"/>
      <c r="E1541" s="27"/>
      <c r="F1541" s="27"/>
      <c r="G1541" s="27"/>
      <c r="H1541" s="28"/>
      <c r="I1541" s="27"/>
      <c r="J1541" s="29"/>
      <c r="K1541" s="30"/>
      <c r="L1541" s="31"/>
      <c r="M1541" s="32"/>
      <c r="N1541" s="30"/>
      <c r="O1541" s="30"/>
      <c r="P1541" s="39"/>
      <c r="Q1541" s="34"/>
      <c r="R1541" s="35"/>
      <c r="S1541" s="36"/>
      <c r="T1541" s="35"/>
      <c r="U1541" s="36"/>
      <c r="V1541" s="37"/>
    </row>
    <row r="1542" spans="1:22" x14ac:dyDescent="0.25">
      <c r="A1542" s="27"/>
      <c r="B1542" s="27"/>
      <c r="C1542" s="27"/>
      <c r="D1542" s="27"/>
      <c r="E1542" s="27"/>
      <c r="F1542" s="27"/>
      <c r="G1542" s="27"/>
      <c r="H1542" s="28"/>
      <c r="I1542" s="27"/>
      <c r="J1542" s="29"/>
      <c r="K1542" s="30"/>
      <c r="L1542" s="31"/>
      <c r="M1542" s="32"/>
      <c r="N1542" s="30"/>
      <c r="O1542" s="30"/>
      <c r="P1542" s="39"/>
      <c r="Q1542" s="34"/>
      <c r="R1542" s="35"/>
      <c r="S1542" s="36"/>
      <c r="T1542" s="35"/>
      <c r="U1542" s="36"/>
      <c r="V1542" s="37"/>
    </row>
    <row r="1543" spans="1:22" x14ac:dyDescent="0.25">
      <c r="A1543" s="27"/>
      <c r="B1543" s="27"/>
      <c r="C1543" s="27"/>
      <c r="D1543" s="27"/>
      <c r="E1543" s="27"/>
      <c r="F1543" s="27"/>
      <c r="G1543" s="27"/>
      <c r="H1543" s="28"/>
      <c r="I1543" s="27"/>
      <c r="J1543" s="29"/>
      <c r="K1543" s="30"/>
      <c r="L1543" s="31"/>
      <c r="M1543" s="32"/>
      <c r="N1543" s="30"/>
      <c r="O1543" s="30"/>
      <c r="P1543" s="39"/>
      <c r="Q1543" s="34"/>
      <c r="R1543" s="35"/>
      <c r="S1543" s="36"/>
      <c r="T1543" s="35"/>
      <c r="U1543" s="36"/>
      <c r="V1543" s="37"/>
    </row>
    <row r="1544" spans="1:22" x14ac:dyDescent="0.25">
      <c r="A1544" s="27"/>
      <c r="B1544" s="27"/>
      <c r="C1544" s="27"/>
      <c r="D1544" s="27"/>
      <c r="E1544" s="27"/>
      <c r="F1544" s="27"/>
      <c r="G1544" s="27"/>
      <c r="H1544" s="28"/>
      <c r="I1544" s="27"/>
      <c r="J1544" s="29"/>
      <c r="K1544" s="30"/>
      <c r="L1544" s="31"/>
      <c r="M1544" s="32"/>
      <c r="N1544" s="30"/>
      <c r="O1544" s="30"/>
      <c r="P1544" s="39"/>
      <c r="Q1544" s="34"/>
      <c r="R1544" s="35"/>
      <c r="S1544" s="36"/>
      <c r="T1544" s="35"/>
      <c r="U1544" s="36"/>
      <c r="V1544" s="37"/>
    </row>
    <row r="1545" spans="1:22" x14ac:dyDescent="0.25">
      <c r="A1545" s="27"/>
      <c r="B1545" s="27"/>
      <c r="C1545" s="27"/>
      <c r="D1545" s="27"/>
      <c r="E1545" s="27"/>
      <c r="F1545" s="27"/>
      <c r="G1545" s="27"/>
      <c r="H1545" s="28"/>
      <c r="I1545" s="27"/>
      <c r="J1545" s="29"/>
      <c r="K1545" s="30"/>
      <c r="L1545" s="31"/>
      <c r="M1545" s="32"/>
      <c r="N1545" s="30"/>
      <c r="O1545" s="30"/>
      <c r="P1545" s="39"/>
      <c r="Q1545" s="34"/>
      <c r="R1545" s="35"/>
      <c r="S1545" s="36"/>
      <c r="T1545" s="35"/>
      <c r="U1545" s="36"/>
      <c r="V1545" s="37"/>
    </row>
    <row r="1546" spans="1:22" x14ac:dyDescent="0.25">
      <c r="A1546" s="27"/>
      <c r="B1546" s="27"/>
      <c r="C1546" s="27"/>
      <c r="D1546" s="27"/>
      <c r="E1546" s="27"/>
      <c r="F1546" s="27"/>
      <c r="G1546" s="27"/>
      <c r="H1546" s="28"/>
      <c r="I1546" s="27"/>
      <c r="J1546" s="29"/>
      <c r="K1546" s="30"/>
      <c r="L1546" s="31"/>
      <c r="M1546" s="32"/>
      <c r="N1546" s="30"/>
      <c r="O1546" s="30"/>
      <c r="P1546" s="39"/>
      <c r="Q1546" s="34"/>
      <c r="R1546" s="35"/>
      <c r="S1546" s="36"/>
      <c r="T1546" s="35"/>
      <c r="U1546" s="36"/>
      <c r="V1546" s="37"/>
    </row>
    <row r="1547" spans="1:22" x14ac:dyDescent="0.25">
      <c r="A1547" s="27"/>
      <c r="B1547" s="27"/>
      <c r="C1547" s="27"/>
      <c r="D1547" s="27"/>
      <c r="E1547" s="27"/>
      <c r="F1547" s="27"/>
      <c r="G1547" s="27"/>
      <c r="H1547" s="28"/>
      <c r="I1547" s="27"/>
      <c r="J1547" s="29"/>
      <c r="K1547" s="30"/>
      <c r="L1547" s="31"/>
      <c r="M1547" s="32"/>
      <c r="N1547" s="30"/>
      <c r="O1547" s="30"/>
      <c r="P1547" s="39"/>
      <c r="Q1547" s="34"/>
      <c r="R1547" s="35"/>
      <c r="S1547" s="36"/>
      <c r="T1547" s="35"/>
      <c r="U1547" s="36"/>
      <c r="V1547" s="37"/>
    </row>
    <row r="1548" spans="1:22" x14ac:dyDescent="0.25">
      <c r="A1548" s="27"/>
      <c r="B1548" s="27"/>
      <c r="C1548" s="27"/>
      <c r="D1548" s="27"/>
      <c r="E1548" s="27"/>
      <c r="F1548" s="27"/>
      <c r="G1548" s="27"/>
      <c r="H1548" s="28"/>
      <c r="I1548" s="27"/>
      <c r="J1548" s="29"/>
      <c r="K1548" s="30"/>
      <c r="L1548" s="31"/>
      <c r="M1548" s="32"/>
      <c r="N1548" s="30"/>
      <c r="O1548" s="30"/>
      <c r="P1548" s="39"/>
      <c r="Q1548" s="34"/>
      <c r="R1548" s="35"/>
      <c r="S1548" s="36"/>
      <c r="T1548" s="35"/>
      <c r="U1548" s="36"/>
      <c r="V1548" s="37"/>
    </row>
    <row r="1549" spans="1:22" x14ac:dyDescent="0.25">
      <c r="A1549" s="27"/>
      <c r="B1549" s="27"/>
      <c r="C1549" s="27"/>
      <c r="D1549" s="27"/>
      <c r="E1549" s="27"/>
      <c r="F1549" s="27"/>
      <c r="G1549" s="27"/>
      <c r="H1549" s="28"/>
      <c r="I1549" s="27"/>
      <c r="J1549" s="29"/>
      <c r="K1549" s="30"/>
      <c r="L1549" s="31"/>
      <c r="M1549" s="32"/>
      <c r="N1549" s="30"/>
      <c r="O1549" s="30"/>
      <c r="P1549" s="39"/>
      <c r="Q1549" s="34"/>
      <c r="R1549" s="35"/>
      <c r="S1549" s="36"/>
      <c r="T1549" s="35"/>
      <c r="U1549" s="36"/>
      <c r="V1549" s="37"/>
    </row>
    <row r="1550" spans="1:22" x14ac:dyDescent="0.25">
      <c r="A1550" s="27"/>
      <c r="B1550" s="27"/>
      <c r="C1550" s="27"/>
      <c r="D1550" s="27"/>
      <c r="E1550" s="27"/>
      <c r="F1550" s="27"/>
      <c r="G1550" s="27"/>
      <c r="H1550" s="28"/>
      <c r="I1550" s="27"/>
      <c r="J1550" s="29"/>
      <c r="K1550" s="30"/>
      <c r="L1550" s="31"/>
      <c r="M1550" s="32"/>
      <c r="N1550" s="30"/>
      <c r="O1550" s="30"/>
      <c r="P1550" s="39"/>
      <c r="Q1550" s="34"/>
      <c r="R1550" s="35"/>
      <c r="S1550" s="36"/>
      <c r="T1550" s="35"/>
      <c r="U1550" s="36"/>
      <c r="V1550" s="37"/>
    </row>
    <row r="1551" spans="1:22" x14ac:dyDescent="0.25">
      <c r="A1551" s="27"/>
      <c r="B1551" s="27"/>
      <c r="C1551" s="27"/>
      <c r="D1551" s="27"/>
      <c r="E1551" s="27"/>
      <c r="F1551" s="27"/>
      <c r="G1551" s="27"/>
      <c r="H1551" s="28"/>
      <c r="I1551" s="27"/>
      <c r="J1551" s="29"/>
      <c r="K1551" s="30"/>
      <c r="L1551" s="31"/>
      <c r="M1551" s="32"/>
      <c r="N1551" s="30"/>
      <c r="O1551" s="30"/>
      <c r="P1551" s="39"/>
      <c r="Q1551" s="34"/>
      <c r="R1551" s="35"/>
      <c r="S1551" s="36"/>
      <c r="T1551" s="35"/>
      <c r="U1551" s="36"/>
      <c r="V1551" s="37"/>
    </row>
    <row r="1552" spans="1:22" x14ac:dyDescent="0.25">
      <c r="A1552" s="27"/>
      <c r="B1552" s="27"/>
      <c r="C1552" s="27"/>
      <c r="D1552" s="27"/>
      <c r="E1552" s="27"/>
      <c r="F1552" s="27"/>
      <c r="G1552" s="27"/>
      <c r="H1552" s="28"/>
      <c r="I1552" s="27"/>
      <c r="J1552" s="29"/>
      <c r="K1552" s="30"/>
      <c r="L1552" s="31"/>
      <c r="M1552" s="32"/>
      <c r="N1552" s="30"/>
      <c r="O1552" s="30"/>
      <c r="P1552" s="39"/>
      <c r="Q1552" s="34"/>
      <c r="R1552" s="35"/>
      <c r="S1552" s="36"/>
      <c r="T1552" s="35"/>
      <c r="U1552" s="36"/>
      <c r="V1552" s="37"/>
    </row>
    <row r="1553" spans="1:22" x14ac:dyDescent="0.25">
      <c r="A1553" s="27"/>
      <c r="B1553" s="27"/>
      <c r="C1553" s="27"/>
      <c r="D1553" s="27"/>
      <c r="E1553" s="27"/>
      <c r="F1553" s="27"/>
      <c r="G1553" s="27"/>
      <c r="H1553" s="28"/>
      <c r="I1553" s="27"/>
      <c r="J1553" s="29"/>
      <c r="K1553" s="30"/>
      <c r="L1553" s="31"/>
      <c r="M1553" s="32"/>
      <c r="N1553" s="30"/>
      <c r="O1553" s="30"/>
      <c r="P1553" s="39"/>
      <c r="Q1553" s="34"/>
      <c r="R1553" s="35"/>
      <c r="S1553" s="36"/>
      <c r="T1553" s="35"/>
      <c r="U1553" s="36"/>
      <c r="V1553" s="37"/>
    </row>
    <row r="1554" spans="1:22" x14ac:dyDescent="0.25">
      <c r="A1554" s="27"/>
      <c r="B1554" s="27"/>
      <c r="C1554" s="27"/>
      <c r="D1554" s="27"/>
      <c r="E1554" s="27"/>
      <c r="F1554" s="27"/>
      <c r="G1554" s="27"/>
      <c r="H1554" s="28"/>
      <c r="I1554" s="27"/>
      <c r="J1554" s="29"/>
      <c r="K1554" s="30"/>
      <c r="L1554" s="31"/>
      <c r="M1554" s="32"/>
      <c r="N1554" s="30"/>
      <c r="O1554" s="30"/>
      <c r="P1554" s="39"/>
      <c r="Q1554" s="34"/>
      <c r="R1554" s="35"/>
      <c r="S1554" s="36"/>
      <c r="T1554" s="35"/>
      <c r="U1554" s="36"/>
      <c r="V1554" s="37"/>
    </row>
    <row r="1555" spans="1:22" x14ac:dyDescent="0.25">
      <c r="A1555" s="27"/>
      <c r="B1555" s="27"/>
      <c r="C1555" s="27"/>
      <c r="D1555" s="27"/>
      <c r="E1555" s="27"/>
      <c r="F1555" s="27"/>
      <c r="G1555" s="27"/>
      <c r="H1555" s="28"/>
      <c r="I1555" s="27"/>
      <c r="J1555" s="29"/>
      <c r="K1555" s="30"/>
      <c r="L1555" s="31"/>
      <c r="M1555" s="32"/>
      <c r="N1555" s="30"/>
      <c r="O1555" s="30"/>
      <c r="P1555" s="39"/>
      <c r="Q1555" s="34"/>
      <c r="R1555" s="35"/>
      <c r="S1555" s="36"/>
      <c r="T1555" s="35"/>
      <c r="U1555" s="36"/>
      <c r="V1555" s="37"/>
    </row>
    <row r="1556" spans="1:22" x14ac:dyDescent="0.25">
      <c r="A1556" s="27"/>
      <c r="B1556" s="27"/>
      <c r="C1556" s="27"/>
      <c r="D1556" s="27"/>
      <c r="E1556" s="27"/>
      <c r="F1556" s="27"/>
      <c r="G1556" s="27"/>
      <c r="H1556" s="28"/>
      <c r="I1556" s="27"/>
      <c r="J1556" s="29"/>
      <c r="K1556" s="30"/>
      <c r="L1556" s="31"/>
      <c r="M1556" s="32"/>
      <c r="N1556" s="30"/>
      <c r="O1556" s="30"/>
      <c r="P1556" s="39"/>
      <c r="Q1556" s="34"/>
      <c r="R1556" s="35"/>
      <c r="S1556" s="36"/>
      <c r="T1556" s="35"/>
      <c r="U1556" s="36"/>
      <c r="V1556" s="37"/>
    </row>
    <row r="1557" spans="1:22" x14ac:dyDescent="0.25">
      <c r="A1557" s="27"/>
      <c r="B1557" s="27"/>
      <c r="C1557" s="27"/>
      <c r="D1557" s="27"/>
      <c r="E1557" s="27"/>
      <c r="F1557" s="27"/>
      <c r="G1557" s="27"/>
      <c r="H1557" s="28"/>
      <c r="I1557" s="27"/>
      <c r="J1557" s="29"/>
      <c r="K1557" s="30"/>
      <c r="L1557" s="31"/>
      <c r="M1557" s="32"/>
      <c r="N1557" s="30"/>
      <c r="O1557" s="30"/>
      <c r="P1557" s="39"/>
      <c r="Q1557" s="34"/>
      <c r="R1557" s="35"/>
      <c r="S1557" s="36"/>
      <c r="T1557" s="35"/>
      <c r="U1557" s="36"/>
      <c r="V1557" s="37"/>
    </row>
    <row r="1558" spans="1:22" x14ac:dyDescent="0.25">
      <c r="A1558" s="27"/>
      <c r="B1558" s="27"/>
      <c r="C1558" s="27"/>
      <c r="D1558" s="27"/>
      <c r="E1558" s="27"/>
      <c r="F1558" s="27"/>
      <c r="G1558" s="27"/>
      <c r="H1558" s="28"/>
      <c r="I1558" s="27"/>
      <c r="J1558" s="29"/>
      <c r="K1558" s="30"/>
      <c r="L1558" s="31"/>
      <c r="M1558" s="32"/>
      <c r="N1558" s="30"/>
      <c r="O1558" s="30"/>
      <c r="P1558" s="39"/>
      <c r="Q1558" s="34"/>
      <c r="R1558" s="35"/>
      <c r="S1558" s="36"/>
      <c r="T1558" s="35"/>
      <c r="U1558" s="36"/>
      <c r="V1558" s="37"/>
    </row>
    <row r="1559" spans="1:22" x14ac:dyDescent="0.25">
      <c r="A1559" s="27"/>
      <c r="B1559" s="27"/>
      <c r="C1559" s="27"/>
      <c r="D1559" s="27"/>
      <c r="E1559" s="27"/>
      <c r="F1559" s="27"/>
      <c r="G1559" s="27"/>
      <c r="H1559" s="28"/>
      <c r="I1559" s="27"/>
      <c r="J1559" s="29"/>
      <c r="K1559" s="30"/>
      <c r="L1559" s="31"/>
      <c r="M1559" s="32"/>
      <c r="N1559" s="30"/>
      <c r="O1559" s="30"/>
      <c r="P1559" s="39"/>
      <c r="Q1559" s="34"/>
      <c r="R1559" s="35"/>
      <c r="S1559" s="36"/>
      <c r="T1559" s="35"/>
      <c r="U1559" s="36"/>
      <c r="V1559" s="37"/>
    </row>
    <row r="1560" spans="1:22" x14ac:dyDescent="0.25">
      <c r="A1560" s="27"/>
      <c r="B1560" s="27"/>
      <c r="C1560" s="27"/>
      <c r="D1560" s="27"/>
      <c r="E1560" s="27"/>
      <c r="F1560" s="27"/>
      <c r="G1560" s="27"/>
      <c r="H1560" s="28"/>
      <c r="I1560" s="27"/>
      <c r="J1560" s="29"/>
      <c r="K1560" s="30"/>
      <c r="L1560" s="31"/>
      <c r="M1560" s="32"/>
      <c r="N1560" s="30"/>
      <c r="O1560" s="30"/>
      <c r="P1560" s="39"/>
      <c r="Q1560" s="34"/>
      <c r="R1560" s="35"/>
      <c r="S1560" s="36"/>
      <c r="T1560" s="35"/>
      <c r="U1560" s="36"/>
      <c r="V1560" s="37"/>
    </row>
    <row r="1561" spans="1:22" x14ac:dyDescent="0.25">
      <c r="A1561" s="27"/>
      <c r="B1561" s="27"/>
      <c r="C1561" s="27"/>
      <c r="D1561" s="27"/>
      <c r="E1561" s="27"/>
      <c r="F1561" s="27"/>
      <c r="G1561" s="27"/>
      <c r="H1561" s="28"/>
      <c r="I1561" s="27"/>
      <c r="J1561" s="29"/>
      <c r="K1561" s="30"/>
      <c r="L1561" s="31"/>
      <c r="M1561" s="32"/>
      <c r="N1561" s="30"/>
      <c r="O1561" s="30"/>
      <c r="P1561" s="39"/>
      <c r="Q1561" s="34"/>
      <c r="R1561" s="35"/>
      <c r="S1561" s="36"/>
      <c r="T1561" s="35"/>
      <c r="U1561" s="36"/>
      <c r="V1561" s="37"/>
    </row>
    <row r="1562" spans="1:22" x14ac:dyDescent="0.25">
      <c r="A1562" s="27"/>
      <c r="B1562" s="27"/>
      <c r="C1562" s="27"/>
      <c r="D1562" s="27"/>
      <c r="E1562" s="27"/>
      <c r="F1562" s="27"/>
      <c r="G1562" s="27"/>
      <c r="H1562" s="28"/>
      <c r="I1562" s="27"/>
      <c r="J1562" s="29"/>
      <c r="K1562" s="30"/>
      <c r="L1562" s="31"/>
      <c r="M1562" s="32"/>
      <c r="N1562" s="30"/>
      <c r="O1562" s="30"/>
      <c r="P1562" s="39"/>
      <c r="Q1562" s="34"/>
      <c r="R1562" s="35"/>
      <c r="S1562" s="36"/>
      <c r="T1562" s="35"/>
      <c r="U1562" s="36"/>
      <c r="V1562" s="37"/>
    </row>
    <row r="1563" spans="1:22" x14ac:dyDescent="0.25">
      <c r="A1563" s="27"/>
      <c r="B1563" s="27"/>
      <c r="C1563" s="27"/>
      <c r="D1563" s="27"/>
      <c r="E1563" s="27"/>
      <c r="F1563" s="27"/>
      <c r="G1563" s="27"/>
      <c r="H1563" s="28"/>
      <c r="I1563" s="27"/>
      <c r="J1563" s="29"/>
      <c r="K1563" s="30"/>
      <c r="L1563" s="31"/>
      <c r="M1563" s="32"/>
      <c r="N1563" s="30"/>
      <c r="O1563" s="30"/>
      <c r="P1563" s="39"/>
      <c r="Q1563" s="34"/>
      <c r="R1563" s="35"/>
      <c r="S1563" s="36"/>
      <c r="T1563" s="35"/>
      <c r="U1563" s="36"/>
      <c r="V1563" s="37"/>
    </row>
    <row r="1564" spans="1:22" x14ac:dyDescent="0.25">
      <c r="A1564" s="27"/>
      <c r="B1564" s="27"/>
      <c r="C1564" s="27"/>
      <c r="D1564" s="27"/>
      <c r="E1564" s="27"/>
      <c r="F1564" s="27"/>
      <c r="G1564" s="27"/>
      <c r="H1564" s="28"/>
      <c r="I1564" s="27"/>
      <c r="J1564" s="29"/>
      <c r="K1564" s="30"/>
      <c r="L1564" s="31"/>
      <c r="M1564" s="32"/>
      <c r="N1564" s="30"/>
      <c r="O1564" s="30"/>
      <c r="P1564" s="39"/>
      <c r="Q1564" s="34"/>
      <c r="R1564" s="35"/>
      <c r="S1564" s="36"/>
      <c r="T1564" s="35"/>
      <c r="U1564" s="36"/>
      <c r="V1564" s="37"/>
    </row>
    <row r="1565" spans="1:22" x14ac:dyDescent="0.25">
      <c r="A1565" s="27"/>
      <c r="B1565" s="27"/>
      <c r="C1565" s="27"/>
      <c r="D1565" s="27"/>
      <c r="E1565" s="27"/>
      <c r="F1565" s="27"/>
      <c r="G1565" s="27"/>
      <c r="H1565" s="28"/>
      <c r="I1565" s="27"/>
      <c r="J1565" s="29"/>
      <c r="K1565" s="30"/>
      <c r="L1565" s="31"/>
      <c r="M1565" s="32"/>
      <c r="N1565" s="30"/>
      <c r="O1565" s="30"/>
      <c r="P1565" s="39"/>
      <c r="Q1565" s="34"/>
      <c r="R1565" s="35"/>
      <c r="S1565" s="36"/>
      <c r="T1565" s="35"/>
      <c r="U1565" s="36"/>
      <c r="V1565" s="37"/>
    </row>
    <row r="1566" spans="1:22" x14ac:dyDescent="0.25">
      <c r="A1566" s="27"/>
      <c r="B1566" s="27"/>
      <c r="C1566" s="27"/>
      <c r="D1566" s="27"/>
      <c r="E1566" s="27"/>
      <c r="F1566" s="27"/>
      <c r="G1566" s="27"/>
      <c r="H1566" s="28"/>
      <c r="I1566" s="27"/>
      <c r="J1566" s="29"/>
      <c r="K1566" s="30"/>
      <c r="L1566" s="31"/>
      <c r="M1566" s="32"/>
      <c r="N1566" s="30"/>
      <c r="O1566" s="30"/>
      <c r="P1566" s="39"/>
      <c r="Q1566" s="34"/>
      <c r="R1566" s="35"/>
      <c r="S1566" s="36"/>
      <c r="T1566" s="35"/>
      <c r="U1566" s="36"/>
      <c r="V1566" s="37"/>
    </row>
    <row r="1567" spans="1:22" x14ac:dyDescent="0.25">
      <c r="A1567" s="27"/>
      <c r="B1567" s="27"/>
      <c r="C1567" s="27"/>
      <c r="D1567" s="27"/>
      <c r="E1567" s="27"/>
      <c r="F1567" s="27"/>
      <c r="G1567" s="27"/>
      <c r="H1567" s="28"/>
      <c r="I1567" s="27"/>
      <c r="J1567" s="29"/>
      <c r="K1567" s="30"/>
      <c r="L1567" s="31"/>
      <c r="M1567" s="32"/>
      <c r="N1567" s="30"/>
      <c r="O1567" s="30"/>
      <c r="P1567" s="39"/>
      <c r="Q1567" s="34"/>
      <c r="R1567" s="35"/>
      <c r="S1567" s="36"/>
      <c r="T1567" s="35"/>
      <c r="U1567" s="36"/>
      <c r="V1567" s="37"/>
    </row>
    <row r="1568" spans="1:22" x14ac:dyDescent="0.25">
      <c r="A1568" s="27"/>
      <c r="B1568" s="27"/>
      <c r="C1568" s="27"/>
      <c r="D1568" s="27"/>
      <c r="E1568" s="27"/>
      <c r="F1568" s="27"/>
      <c r="G1568" s="27"/>
      <c r="H1568" s="28"/>
      <c r="I1568" s="27"/>
      <c r="J1568" s="29"/>
      <c r="K1568" s="30"/>
      <c r="L1568" s="31"/>
      <c r="M1568" s="32"/>
      <c r="N1568" s="30"/>
      <c r="O1568" s="30"/>
      <c r="P1568" s="39"/>
      <c r="Q1568" s="34"/>
      <c r="R1568" s="35"/>
      <c r="S1568" s="36"/>
      <c r="T1568" s="35"/>
      <c r="U1568" s="36"/>
      <c r="V1568" s="37"/>
    </row>
    <row r="1569" spans="1:22" x14ac:dyDescent="0.25">
      <c r="A1569" s="27"/>
      <c r="B1569" s="27"/>
      <c r="C1569" s="27"/>
      <c r="D1569" s="27"/>
      <c r="E1569" s="27"/>
      <c r="F1569" s="27"/>
      <c r="G1569" s="27"/>
      <c r="H1569" s="28"/>
      <c r="I1569" s="27"/>
      <c r="J1569" s="29"/>
      <c r="K1569" s="30"/>
      <c r="L1569" s="31"/>
      <c r="M1569" s="32"/>
      <c r="N1569" s="30"/>
      <c r="O1569" s="30"/>
      <c r="P1569" s="39"/>
      <c r="Q1569" s="34"/>
      <c r="R1569" s="35"/>
      <c r="S1569" s="36"/>
      <c r="T1569" s="35"/>
      <c r="U1569" s="36"/>
      <c r="V1569" s="37"/>
    </row>
    <row r="1570" spans="1:22" x14ac:dyDescent="0.25">
      <c r="A1570" s="27"/>
      <c r="B1570" s="27"/>
      <c r="C1570" s="27"/>
      <c r="D1570" s="27"/>
      <c r="E1570" s="27"/>
      <c r="F1570" s="27"/>
      <c r="G1570" s="27"/>
      <c r="H1570" s="28"/>
      <c r="I1570" s="27"/>
      <c r="J1570" s="29"/>
      <c r="K1570" s="30"/>
      <c r="L1570" s="31"/>
      <c r="M1570" s="32"/>
      <c r="N1570" s="30"/>
      <c r="O1570" s="30"/>
      <c r="P1570" s="39"/>
      <c r="Q1570" s="34"/>
      <c r="R1570" s="35"/>
      <c r="S1570" s="36"/>
      <c r="T1570" s="35"/>
      <c r="U1570" s="36"/>
      <c r="V1570" s="37"/>
    </row>
    <row r="1571" spans="1:22" x14ac:dyDescent="0.25">
      <c r="A1571" s="27"/>
      <c r="B1571" s="27"/>
      <c r="C1571" s="27"/>
      <c r="D1571" s="27"/>
      <c r="E1571" s="27"/>
      <c r="F1571" s="27"/>
      <c r="G1571" s="27"/>
      <c r="H1571" s="28"/>
      <c r="I1571" s="27"/>
      <c r="J1571" s="29"/>
      <c r="K1571" s="30"/>
      <c r="L1571" s="31"/>
      <c r="M1571" s="32"/>
      <c r="N1571" s="30"/>
      <c r="O1571" s="30"/>
      <c r="P1571" s="39"/>
      <c r="Q1571" s="34"/>
      <c r="R1571" s="35"/>
      <c r="S1571" s="36"/>
      <c r="T1571" s="35"/>
      <c r="U1571" s="36"/>
      <c r="V1571" s="37"/>
    </row>
    <row r="1572" spans="1:22" x14ac:dyDescent="0.25">
      <c r="A1572" s="27"/>
      <c r="B1572" s="27"/>
      <c r="C1572" s="27"/>
      <c r="D1572" s="27"/>
      <c r="E1572" s="27"/>
      <c r="F1572" s="27"/>
      <c r="G1572" s="27"/>
      <c r="H1572" s="28"/>
      <c r="I1572" s="27"/>
      <c r="J1572" s="29"/>
      <c r="K1572" s="30"/>
      <c r="L1572" s="31"/>
      <c r="M1572" s="32"/>
      <c r="N1572" s="30"/>
      <c r="O1572" s="30"/>
      <c r="P1572" s="39"/>
      <c r="Q1572" s="34"/>
      <c r="R1572" s="35"/>
      <c r="S1572" s="36"/>
      <c r="T1572" s="35"/>
      <c r="U1572" s="36"/>
      <c r="V1572" s="37"/>
    </row>
    <row r="1573" spans="1:22" x14ac:dyDescent="0.25">
      <c r="A1573" s="27"/>
      <c r="B1573" s="27"/>
      <c r="C1573" s="27"/>
      <c r="D1573" s="27"/>
      <c r="E1573" s="27"/>
      <c r="F1573" s="27"/>
      <c r="G1573" s="27"/>
      <c r="H1573" s="28"/>
      <c r="I1573" s="27"/>
      <c r="J1573" s="29"/>
      <c r="K1573" s="30"/>
      <c r="L1573" s="31"/>
      <c r="M1573" s="32"/>
      <c r="N1573" s="30"/>
      <c r="O1573" s="30"/>
      <c r="P1573" s="39"/>
      <c r="Q1573" s="34"/>
      <c r="R1573" s="35"/>
      <c r="S1573" s="36"/>
      <c r="T1573" s="35"/>
      <c r="U1573" s="36"/>
      <c r="V1573" s="37"/>
    </row>
    <row r="1574" spans="1:22" x14ac:dyDescent="0.25">
      <c r="A1574" s="27"/>
      <c r="B1574" s="27"/>
      <c r="C1574" s="27"/>
      <c r="D1574" s="27"/>
      <c r="E1574" s="27"/>
      <c r="F1574" s="27"/>
      <c r="G1574" s="27"/>
      <c r="H1574" s="28"/>
      <c r="I1574" s="27"/>
      <c r="J1574" s="29"/>
      <c r="K1574" s="30"/>
      <c r="L1574" s="31"/>
      <c r="M1574" s="32"/>
      <c r="N1574" s="30"/>
      <c r="O1574" s="30"/>
      <c r="P1574" s="39"/>
      <c r="Q1574" s="34"/>
      <c r="R1574" s="35"/>
      <c r="S1574" s="36"/>
      <c r="T1574" s="35"/>
      <c r="U1574" s="36"/>
      <c r="V1574" s="37"/>
    </row>
    <row r="1575" spans="1:22" x14ac:dyDescent="0.25">
      <c r="A1575" s="27"/>
      <c r="B1575" s="27"/>
      <c r="C1575" s="27"/>
      <c r="D1575" s="27"/>
      <c r="E1575" s="27"/>
      <c r="F1575" s="27"/>
      <c r="G1575" s="27"/>
      <c r="H1575" s="28"/>
      <c r="I1575" s="27"/>
      <c r="J1575" s="29"/>
      <c r="K1575" s="30"/>
      <c r="L1575" s="31"/>
      <c r="M1575" s="32"/>
      <c r="N1575" s="30"/>
      <c r="O1575" s="30"/>
      <c r="P1575" s="39"/>
      <c r="Q1575" s="34"/>
      <c r="R1575" s="35"/>
      <c r="S1575" s="36"/>
      <c r="T1575" s="35"/>
      <c r="U1575" s="36"/>
      <c r="V1575" s="37"/>
    </row>
    <row r="1576" spans="1:22" x14ac:dyDescent="0.25">
      <c r="A1576" s="27"/>
      <c r="B1576" s="27"/>
      <c r="C1576" s="27"/>
      <c r="D1576" s="27"/>
      <c r="E1576" s="27"/>
      <c r="F1576" s="27"/>
      <c r="G1576" s="27"/>
      <c r="H1576" s="28"/>
      <c r="I1576" s="27"/>
      <c r="J1576" s="29"/>
      <c r="K1576" s="30"/>
      <c r="L1576" s="31"/>
      <c r="M1576" s="32"/>
      <c r="N1576" s="30"/>
      <c r="O1576" s="30"/>
      <c r="P1576" s="39"/>
      <c r="Q1576" s="34"/>
      <c r="R1576" s="35"/>
      <c r="S1576" s="36"/>
      <c r="T1576" s="35"/>
      <c r="U1576" s="36"/>
      <c r="V1576" s="37"/>
    </row>
    <row r="1577" spans="1:22" x14ac:dyDescent="0.25">
      <c r="A1577" s="27"/>
      <c r="B1577" s="27"/>
      <c r="C1577" s="27"/>
      <c r="D1577" s="27"/>
      <c r="E1577" s="27"/>
      <c r="F1577" s="27"/>
      <c r="G1577" s="27"/>
      <c r="H1577" s="28"/>
      <c r="I1577" s="27"/>
      <c r="J1577" s="29"/>
      <c r="K1577" s="30"/>
      <c r="L1577" s="31"/>
      <c r="M1577" s="32"/>
      <c r="N1577" s="30"/>
      <c r="O1577" s="30"/>
      <c r="P1577" s="39"/>
      <c r="Q1577" s="34"/>
      <c r="R1577" s="35"/>
      <c r="S1577" s="36"/>
      <c r="T1577" s="35"/>
      <c r="U1577" s="36"/>
      <c r="V1577" s="37"/>
    </row>
    <row r="1578" spans="1:22" x14ac:dyDescent="0.25">
      <c r="A1578" s="27"/>
      <c r="B1578" s="27"/>
      <c r="C1578" s="27"/>
      <c r="D1578" s="27"/>
      <c r="E1578" s="27"/>
      <c r="F1578" s="27"/>
      <c r="G1578" s="27"/>
      <c r="H1578" s="28"/>
      <c r="I1578" s="27"/>
      <c r="J1578" s="29"/>
      <c r="K1578" s="30"/>
      <c r="L1578" s="31"/>
      <c r="M1578" s="32"/>
      <c r="N1578" s="30"/>
      <c r="O1578" s="30"/>
      <c r="P1578" s="39"/>
      <c r="Q1578" s="34"/>
      <c r="R1578" s="35"/>
      <c r="S1578" s="36"/>
      <c r="T1578" s="35"/>
      <c r="U1578" s="36"/>
      <c r="V1578" s="37"/>
    </row>
    <row r="1579" spans="1:22" x14ac:dyDescent="0.25">
      <c r="A1579" s="27"/>
      <c r="B1579" s="27"/>
      <c r="C1579" s="27"/>
      <c r="D1579" s="27"/>
      <c r="E1579" s="27"/>
      <c r="F1579" s="27"/>
      <c r="G1579" s="27"/>
      <c r="H1579" s="28"/>
      <c r="I1579" s="27"/>
      <c r="J1579" s="29"/>
      <c r="K1579" s="30"/>
      <c r="L1579" s="31"/>
      <c r="M1579" s="32"/>
      <c r="N1579" s="30"/>
      <c r="O1579" s="30"/>
      <c r="P1579" s="39"/>
      <c r="Q1579" s="34"/>
      <c r="R1579" s="35"/>
      <c r="S1579" s="36"/>
      <c r="T1579" s="35"/>
      <c r="U1579" s="36"/>
      <c r="V1579" s="37"/>
    </row>
    <row r="1580" spans="1:22" x14ac:dyDescent="0.25">
      <c r="A1580" s="27"/>
      <c r="B1580" s="27"/>
      <c r="C1580" s="27"/>
      <c r="D1580" s="27"/>
      <c r="E1580" s="27"/>
      <c r="F1580" s="27"/>
      <c r="G1580" s="27"/>
      <c r="H1580" s="28"/>
      <c r="I1580" s="27"/>
      <c r="J1580" s="29"/>
      <c r="K1580" s="30"/>
      <c r="L1580" s="31"/>
      <c r="M1580" s="32"/>
      <c r="N1580" s="30"/>
      <c r="O1580" s="30"/>
      <c r="P1580" s="39"/>
      <c r="Q1580" s="34"/>
      <c r="R1580" s="35"/>
      <c r="S1580" s="36"/>
      <c r="T1580" s="35"/>
      <c r="U1580" s="36"/>
      <c r="V1580" s="37"/>
    </row>
    <row r="1581" spans="1:22" x14ac:dyDescent="0.25">
      <c r="A1581" s="27"/>
      <c r="B1581" s="27"/>
      <c r="C1581" s="27"/>
      <c r="D1581" s="27"/>
      <c r="E1581" s="27"/>
      <c r="F1581" s="27"/>
      <c r="G1581" s="27"/>
      <c r="H1581" s="28"/>
      <c r="I1581" s="27"/>
      <c r="J1581" s="29"/>
      <c r="K1581" s="30"/>
      <c r="L1581" s="31"/>
      <c r="M1581" s="32"/>
      <c r="N1581" s="30"/>
      <c r="O1581" s="30"/>
      <c r="P1581" s="39"/>
      <c r="Q1581" s="34"/>
      <c r="R1581" s="35"/>
      <c r="S1581" s="36"/>
      <c r="T1581" s="35"/>
      <c r="U1581" s="36"/>
      <c r="V1581" s="37"/>
    </row>
    <row r="1582" spans="1:22" x14ac:dyDescent="0.25">
      <c r="A1582" s="27"/>
      <c r="B1582" s="27"/>
      <c r="C1582" s="27"/>
      <c r="D1582" s="27"/>
      <c r="E1582" s="27"/>
      <c r="F1582" s="27"/>
      <c r="G1582" s="27"/>
      <c r="H1582" s="28"/>
      <c r="I1582" s="27"/>
      <c r="J1582" s="29"/>
      <c r="K1582" s="30"/>
      <c r="L1582" s="31"/>
      <c r="M1582" s="32"/>
      <c r="N1582" s="30"/>
      <c r="O1582" s="30"/>
      <c r="P1582" s="39"/>
      <c r="Q1582" s="34"/>
      <c r="R1582" s="35"/>
      <c r="S1582" s="36"/>
      <c r="T1582" s="35"/>
      <c r="U1582" s="36"/>
      <c r="V1582" s="37"/>
    </row>
    <row r="1583" spans="1:22" x14ac:dyDescent="0.25">
      <c r="A1583" s="27"/>
      <c r="B1583" s="27"/>
      <c r="C1583" s="27"/>
      <c r="D1583" s="27"/>
      <c r="E1583" s="27"/>
      <c r="F1583" s="27"/>
      <c r="G1583" s="27"/>
      <c r="H1583" s="28"/>
      <c r="I1583" s="27"/>
      <c r="J1583" s="29"/>
      <c r="K1583" s="30"/>
      <c r="L1583" s="31"/>
      <c r="M1583" s="32"/>
      <c r="N1583" s="30"/>
      <c r="O1583" s="30"/>
      <c r="P1583" s="39"/>
      <c r="Q1583" s="34"/>
      <c r="R1583" s="35"/>
      <c r="S1583" s="36"/>
      <c r="T1583" s="35"/>
      <c r="U1583" s="36"/>
      <c r="V1583" s="37"/>
    </row>
    <row r="1584" spans="1:22" x14ac:dyDescent="0.25">
      <c r="A1584" s="27"/>
      <c r="B1584" s="27"/>
      <c r="C1584" s="27"/>
      <c r="D1584" s="27"/>
      <c r="E1584" s="27"/>
      <c r="F1584" s="27"/>
      <c r="G1584" s="27"/>
      <c r="H1584" s="28"/>
      <c r="I1584" s="27"/>
      <c r="J1584" s="29"/>
      <c r="K1584" s="30"/>
      <c r="L1584" s="31"/>
      <c r="M1584" s="32"/>
      <c r="N1584" s="30"/>
      <c r="O1584" s="30"/>
      <c r="P1584" s="39"/>
      <c r="Q1584" s="34"/>
      <c r="R1584" s="35"/>
      <c r="S1584" s="36"/>
      <c r="T1584" s="35"/>
      <c r="U1584" s="36"/>
      <c r="V1584" s="37"/>
    </row>
    <row r="1585" spans="1:22" x14ac:dyDescent="0.25">
      <c r="A1585" s="27"/>
      <c r="B1585" s="27"/>
      <c r="C1585" s="27"/>
      <c r="D1585" s="27"/>
      <c r="E1585" s="27"/>
      <c r="F1585" s="27"/>
      <c r="G1585" s="27"/>
      <c r="H1585" s="28"/>
      <c r="I1585" s="27"/>
      <c r="J1585" s="29"/>
      <c r="K1585" s="30"/>
      <c r="L1585" s="31"/>
      <c r="M1585" s="32"/>
      <c r="N1585" s="30"/>
      <c r="O1585" s="30"/>
      <c r="P1585" s="39"/>
      <c r="Q1585" s="34"/>
      <c r="R1585" s="35"/>
      <c r="S1585" s="36"/>
      <c r="T1585" s="35"/>
      <c r="U1585" s="36"/>
      <c r="V1585" s="37"/>
    </row>
    <row r="1586" spans="1:22" x14ac:dyDescent="0.25">
      <c r="A1586" s="27"/>
      <c r="B1586" s="27"/>
      <c r="C1586" s="27"/>
      <c r="D1586" s="27"/>
      <c r="E1586" s="27"/>
      <c r="F1586" s="27"/>
      <c r="G1586" s="27"/>
      <c r="H1586" s="28"/>
      <c r="I1586" s="27"/>
      <c r="J1586" s="29"/>
      <c r="K1586" s="30"/>
      <c r="L1586" s="31"/>
      <c r="M1586" s="32"/>
      <c r="N1586" s="30"/>
      <c r="O1586" s="30"/>
      <c r="P1586" s="39"/>
      <c r="Q1586" s="34"/>
      <c r="R1586" s="35"/>
      <c r="S1586" s="36"/>
      <c r="T1586" s="35"/>
      <c r="U1586" s="36"/>
      <c r="V1586" s="37"/>
    </row>
    <row r="1587" spans="1:22" x14ac:dyDescent="0.25">
      <c r="A1587" s="27"/>
      <c r="B1587" s="27"/>
      <c r="C1587" s="27"/>
      <c r="D1587" s="27"/>
      <c r="E1587" s="27"/>
      <c r="F1587" s="27"/>
      <c r="G1587" s="27"/>
      <c r="H1587" s="28"/>
      <c r="I1587" s="27"/>
      <c r="J1587" s="29"/>
      <c r="K1587" s="30"/>
      <c r="L1587" s="31"/>
      <c r="M1587" s="32"/>
      <c r="N1587" s="30"/>
      <c r="O1587" s="30"/>
      <c r="P1587" s="39"/>
      <c r="Q1587" s="34"/>
      <c r="R1587" s="35"/>
      <c r="S1587" s="36"/>
      <c r="T1587" s="35"/>
      <c r="U1587" s="36"/>
      <c r="V1587" s="37"/>
    </row>
    <row r="1588" spans="1:22" x14ac:dyDescent="0.25">
      <c r="A1588" s="27"/>
      <c r="B1588" s="27"/>
      <c r="C1588" s="27"/>
      <c r="D1588" s="27"/>
      <c r="E1588" s="27"/>
      <c r="F1588" s="27"/>
      <c r="G1588" s="27"/>
      <c r="H1588" s="28"/>
      <c r="I1588" s="27"/>
      <c r="J1588" s="29"/>
      <c r="K1588" s="30"/>
      <c r="L1588" s="31"/>
      <c r="M1588" s="32"/>
      <c r="N1588" s="30"/>
      <c r="O1588" s="30"/>
      <c r="P1588" s="39"/>
      <c r="Q1588" s="34"/>
      <c r="R1588" s="35"/>
      <c r="S1588" s="36"/>
      <c r="T1588" s="35"/>
      <c r="U1588" s="36"/>
      <c r="V1588" s="37"/>
    </row>
    <row r="1589" spans="1:22" x14ac:dyDescent="0.25">
      <c r="A1589" s="27"/>
      <c r="B1589" s="27"/>
      <c r="C1589" s="27"/>
      <c r="D1589" s="27"/>
      <c r="E1589" s="27"/>
      <c r="F1589" s="27"/>
      <c r="G1589" s="27"/>
      <c r="H1589" s="28"/>
      <c r="I1589" s="27"/>
      <c r="J1589" s="29"/>
      <c r="K1589" s="30"/>
      <c r="L1589" s="31"/>
      <c r="M1589" s="32"/>
      <c r="N1589" s="30"/>
      <c r="O1589" s="30"/>
      <c r="P1589" s="39"/>
      <c r="Q1589" s="34"/>
      <c r="R1589" s="35"/>
      <c r="S1589" s="36"/>
      <c r="T1589" s="35"/>
      <c r="U1589" s="36"/>
      <c r="V1589" s="37"/>
    </row>
    <row r="1590" spans="1:22" x14ac:dyDescent="0.25">
      <c r="A1590" s="27"/>
      <c r="B1590" s="27"/>
      <c r="C1590" s="27"/>
      <c r="D1590" s="27"/>
      <c r="E1590" s="27"/>
      <c r="F1590" s="27"/>
      <c r="G1590" s="27"/>
      <c r="H1590" s="28"/>
      <c r="I1590" s="27"/>
      <c r="J1590" s="29"/>
      <c r="K1590" s="30"/>
      <c r="L1590" s="31"/>
      <c r="M1590" s="32"/>
      <c r="N1590" s="30"/>
      <c r="O1590" s="30"/>
      <c r="P1590" s="39"/>
      <c r="Q1590" s="34"/>
      <c r="R1590" s="35"/>
      <c r="S1590" s="36"/>
      <c r="T1590" s="35"/>
      <c r="U1590" s="36"/>
      <c r="V1590" s="37"/>
    </row>
    <row r="1591" spans="1:22" x14ac:dyDescent="0.25">
      <c r="A1591" s="27"/>
      <c r="B1591" s="27"/>
      <c r="C1591" s="27"/>
      <c r="D1591" s="27"/>
      <c r="E1591" s="27"/>
      <c r="F1591" s="27"/>
      <c r="G1591" s="27"/>
      <c r="H1591" s="28"/>
      <c r="I1591" s="27"/>
      <c r="J1591" s="29"/>
      <c r="K1591" s="30"/>
      <c r="L1591" s="31"/>
      <c r="M1591" s="32"/>
      <c r="N1591" s="30"/>
      <c r="O1591" s="30"/>
      <c r="P1591" s="39"/>
      <c r="Q1591" s="34"/>
      <c r="R1591" s="35"/>
      <c r="S1591" s="36"/>
      <c r="T1591" s="35"/>
      <c r="U1591" s="36"/>
      <c r="V1591" s="37"/>
    </row>
    <row r="1592" spans="1:22" x14ac:dyDescent="0.25">
      <c r="A1592" s="27"/>
      <c r="B1592" s="27"/>
      <c r="C1592" s="27"/>
      <c r="D1592" s="27"/>
      <c r="E1592" s="27"/>
      <c r="F1592" s="27"/>
      <c r="G1592" s="27"/>
      <c r="H1592" s="28"/>
      <c r="I1592" s="27"/>
      <c r="J1592" s="29"/>
      <c r="K1592" s="30"/>
      <c r="L1592" s="31"/>
      <c r="M1592" s="32"/>
      <c r="N1592" s="30"/>
      <c r="O1592" s="30"/>
      <c r="P1592" s="39"/>
      <c r="Q1592" s="34"/>
      <c r="R1592" s="35"/>
      <c r="S1592" s="36"/>
      <c r="T1592" s="35"/>
      <c r="U1592" s="36"/>
      <c r="V1592" s="37"/>
    </row>
    <row r="1593" spans="1:22" x14ac:dyDescent="0.25">
      <c r="A1593" s="27"/>
      <c r="B1593" s="27"/>
      <c r="C1593" s="27"/>
      <c r="D1593" s="27"/>
      <c r="E1593" s="27"/>
      <c r="F1593" s="27"/>
      <c r="G1593" s="27"/>
      <c r="H1593" s="28"/>
      <c r="I1593" s="27"/>
      <c r="J1593" s="29"/>
      <c r="K1593" s="30"/>
      <c r="L1593" s="31"/>
      <c r="M1593" s="32"/>
      <c r="N1593" s="30"/>
      <c r="O1593" s="30"/>
      <c r="P1593" s="39"/>
      <c r="Q1593" s="34"/>
      <c r="R1593" s="35"/>
      <c r="S1593" s="36"/>
      <c r="T1593" s="35"/>
      <c r="U1593" s="36"/>
      <c r="V1593" s="37"/>
    </row>
    <row r="1594" spans="1:22" x14ac:dyDescent="0.25">
      <c r="A1594" s="27"/>
      <c r="B1594" s="27"/>
      <c r="C1594" s="27"/>
      <c r="D1594" s="27"/>
      <c r="E1594" s="27"/>
      <c r="F1594" s="27"/>
      <c r="G1594" s="27"/>
      <c r="H1594" s="28"/>
      <c r="I1594" s="27"/>
      <c r="J1594" s="29"/>
      <c r="K1594" s="30"/>
      <c r="L1594" s="31"/>
      <c r="M1594" s="32"/>
      <c r="N1594" s="30"/>
      <c r="O1594" s="30"/>
      <c r="P1594" s="39"/>
      <c r="Q1594" s="34"/>
      <c r="R1594" s="35"/>
      <c r="S1594" s="36"/>
      <c r="T1594" s="35"/>
      <c r="U1594" s="36"/>
      <c r="V1594" s="37"/>
    </row>
    <row r="1595" spans="1:22" x14ac:dyDescent="0.25">
      <c r="A1595" s="27"/>
      <c r="B1595" s="27"/>
      <c r="C1595" s="27"/>
      <c r="D1595" s="27"/>
      <c r="E1595" s="27"/>
      <c r="F1595" s="27"/>
      <c r="G1595" s="27"/>
      <c r="H1595" s="28"/>
      <c r="I1595" s="27"/>
      <c r="J1595" s="29"/>
      <c r="K1595" s="30"/>
      <c r="L1595" s="31"/>
      <c r="M1595" s="32"/>
      <c r="N1595" s="30"/>
      <c r="O1595" s="30"/>
      <c r="P1595" s="39"/>
      <c r="Q1595" s="34"/>
      <c r="R1595" s="35"/>
      <c r="S1595" s="36"/>
      <c r="T1595" s="35"/>
      <c r="U1595" s="36"/>
      <c r="V1595" s="37"/>
    </row>
    <row r="1596" spans="1:22" x14ac:dyDescent="0.25">
      <c r="A1596" s="27"/>
      <c r="B1596" s="27"/>
      <c r="C1596" s="27"/>
      <c r="D1596" s="27"/>
      <c r="E1596" s="27"/>
      <c r="F1596" s="27"/>
      <c r="G1596" s="27"/>
      <c r="H1596" s="28"/>
      <c r="I1596" s="27"/>
      <c r="J1596" s="29"/>
      <c r="K1596" s="30"/>
      <c r="L1596" s="31"/>
      <c r="M1596" s="32"/>
      <c r="N1596" s="30"/>
      <c r="O1596" s="30"/>
      <c r="P1596" s="39"/>
      <c r="Q1596" s="34"/>
      <c r="R1596" s="35"/>
      <c r="S1596" s="36"/>
      <c r="T1596" s="35"/>
      <c r="U1596" s="36"/>
      <c r="V1596" s="37"/>
    </row>
    <row r="1597" spans="1:22" x14ac:dyDescent="0.25">
      <c r="A1597" s="27"/>
      <c r="B1597" s="27"/>
      <c r="C1597" s="27"/>
      <c r="D1597" s="27"/>
      <c r="E1597" s="27"/>
      <c r="F1597" s="27"/>
      <c r="G1597" s="27"/>
      <c r="H1597" s="28"/>
      <c r="I1597" s="27"/>
      <c r="J1597" s="29"/>
      <c r="K1597" s="30"/>
      <c r="L1597" s="31"/>
      <c r="M1597" s="32"/>
      <c r="N1597" s="30"/>
      <c r="O1597" s="30"/>
      <c r="P1597" s="39"/>
      <c r="Q1597" s="34"/>
      <c r="R1597" s="35"/>
      <c r="S1597" s="36"/>
      <c r="T1597" s="35"/>
      <c r="U1597" s="36"/>
      <c r="V1597" s="37"/>
    </row>
    <row r="1598" spans="1:22" x14ac:dyDescent="0.25">
      <c r="A1598" s="27"/>
      <c r="B1598" s="27"/>
      <c r="C1598" s="27"/>
      <c r="D1598" s="27"/>
      <c r="E1598" s="27"/>
      <c r="F1598" s="27"/>
      <c r="G1598" s="27"/>
      <c r="H1598" s="28"/>
      <c r="I1598" s="27"/>
      <c r="J1598" s="29"/>
      <c r="K1598" s="30"/>
      <c r="L1598" s="31"/>
      <c r="M1598" s="32"/>
      <c r="N1598" s="30"/>
      <c r="O1598" s="30"/>
      <c r="P1598" s="39"/>
      <c r="Q1598" s="34"/>
      <c r="R1598" s="35"/>
      <c r="S1598" s="36"/>
      <c r="T1598" s="35"/>
      <c r="U1598" s="36"/>
      <c r="V1598" s="37"/>
    </row>
    <row r="1599" spans="1:22" x14ac:dyDescent="0.25">
      <c r="A1599" s="27"/>
      <c r="B1599" s="27"/>
      <c r="C1599" s="27"/>
      <c r="D1599" s="27"/>
      <c r="E1599" s="27"/>
      <c r="F1599" s="27"/>
      <c r="G1599" s="27"/>
      <c r="H1599" s="28"/>
      <c r="I1599" s="27"/>
      <c r="J1599" s="29"/>
      <c r="K1599" s="30"/>
      <c r="L1599" s="31"/>
      <c r="M1599" s="32"/>
      <c r="N1599" s="30"/>
      <c r="O1599" s="30"/>
      <c r="P1599" s="39"/>
      <c r="Q1599" s="34"/>
      <c r="R1599" s="35"/>
      <c r="S1599" s="36"/>
      <c r="T1599" s="35"/>
      <c r="U1599" s="36"/>
      <c r="V1599" s="37"/>
    </row>
    <row r="1600" spans="1:22" x14ac:dyDescent="0.25">
      <c r="A1600" s="27"/>
      <c r="B1600" s="27"/>
      <c r="C1600" s="27"/>
      <c r="D1600" s="27"/>
      <c r="E1600" s="27"/>
      <c r="F1600" s="27"/>
      <c r="G1600" s="27"/>
      <c r="H1600" s="28"/>
      <c r="I1600" s="27"/>
      <c r="J1600" s="29"/>
      <c r="K1600" s="30"/>
      <c r="L1600" s="31"/>
      <c r="M1600" s="32"/>
      <c r="N1600" s="30"/>
      <c r="O1600" s="30"/>
      <c r="P1600" s="39"/>
      <c r="Q1600" s="34"/>
      <c r="R1600" s="35"/>
      <c r="S1600" s="36"/>
      <c r="T1600" s="35"/>
      <c r="U1600" s="36"/>
      <c r="V1600" s="37"/>
    </row>
    <row r="1601" spans="1:22" x14ac:dyDescent="0.25">
      <c r="A1601" s="27"/>
      <c r="B1601" s="27"/>
      <c r="C1601" s="27"/>
      <c r="D1601" s="27"/>
      <c r="E1601" s="27"/>
      <c r="F1601" s="27"/>
      <c r="G1601" s="27"/>
      <c r="H1601" s="28"/>
      <c r="I1601" s="27"/>
      <c r="J1601" s="29"/>
      <c r="K1601" s="30"/>
      <c r="L1601" s="31"/>
      <c r="M1601" s="32"/>
      <c r="N1601" s="30"/>
      <c r="O1601" s="30"/>
      <c r="P1601" s="39"/>
      <c r="Q1601" s="34"/>
      <c r="R1601" s="35"/>
      <c r="S1601" s="36"/>
      <c r="T1601" s="35"/>
      <c r="U1601" s="36"/>
      <c r="V1601" s="37"/>
    </row>
    <row r="1602" spans="1:22" x14ac:dyDescent="0.25">
      <c r="A1602" s="27"/>
      <c r="B1602" s="27"/>
      <c r="C1602" s="27"/>
      <c r="D1602" s="27"/>
      <c r="E1602" s="27"/>
      <c r="F1602" s="27"/>
      <c r="G1602" s="27"/>
      <c r="H1602" s="28"/>
      <c r="I1602" s="27"/>
      <c r="J1602" s="29"/>
      <c r="K1602" s="30"/>
      <c r="L1602" s="31"/>
      <c r="M1602" s="32"/>
      <c r="N1602" s="30"/>
      <c r="O1602" s="30"/>
      <c r="P1602" s="39"/>
      <c r="Q1602" s="34"/>
      <c r="R1602" s="35"/>
      <c r="S1602" s="36"/>
      <c r="T1602" s="35"/>
      <c r="U1602" s="36"/>
      <c r="V1602" s="37"/>
    </row>
    <row r="1603" spans="1:22" x14ac:dyDescent="0.25">
      <c r="A1603" s="27"/>
      <c r="B1603" s="27"/>
      <c r="C1603" s="27"/>
      <c r="D1603" s="27"/>
      <c r="E1603" s="27"/>
      <c r="F1603" s="27"/>
      <c r="G1603" s="27"/>
      <c r="H1603" s="28"/>
      <c r="I1603" s="27"/>
      <c r="J1603" s="29"/>
      <c r="K1603" s="30"/>
      <c r="L1603" s="31"/>
      <c r="M1603" s="32"/>
      <c r="N1603" s="30"/>
      <c r="O1603" s="30"/>
      <c r="P1603" s="39"/>
      <c r="Q1603" s="34"/>
      <c r="R1603" s="35"/>
      <c r="S1603" s="36"/>
      <c r="T1603" s="35"/>
      <c r="U1603" s="36"/>
      <c r="V1603" s="37"/>
    </row>
    <row r="1604" spans="1:22" x14ac:dyDescent="0.25">
      <c r="A1604" s="27"/>
      <c r="B1604" s="27"/>
      <c r="C1604" s="27"/>
      <c r="D1604" s="27"/>
      <c r="E1604" s="27"/>
      <c r="F1604" s="27"/>
      <c r="G1604" s="27"/>
      <c r="H1604" s="28"/>
      <c r="I1604" s="27"/>
      <c r="J1604" s="29"/>
      <c r="K1604" s="30"/>
      <c r="L1604" s="31"/>
      <c r="M1604" s="32"/>
      <c r="N1604" s="30"/>
      <c r="O1604" s="30"/>
      <c r="P1604" s="39"/>
      <c r="Q1604" s="34"/>
      <c r="R1604" s="35"/>
      <c r="S1604" s="36"/>
      <c r="T1604" s="35"/>
      <c r="U1604" s="36"/>
      <c r="V1604" s="37"/>
    </row>
    <row r="1605" spans="1:22" x14ac:dyDescent="0.25">
      <c r="A1605" s="27"/>
      <c r="B1605" s="27"/>
      <c r="C1605" s="27"/>
      <c r="D1605" s="27"/>
      <c r="E1605" s="27"/>
      <c r="F1605" s="27"/>
      <c r="G1605" s="27"/>
      <c r="H1605" s="28"/>
      <c r="I1605" s="27"/>
      <c r="J1605" s="29"/>
      <c r="K1605" s="30"/>
      <c r="L1605" s="31"/>
      <c r="M1605" s="32"/>
      <c r="N1605" s="30"/>
      <c r="O1605" s="30"/>
      <c r="P1605" s="39"/>
      <c r="Q1605" s="34"/>
      <c r="R1605" s="35"/>
      <c r="S1605" s="36"/>
      <c r="T1605" s="35"/>
      <c r="U1605" s="36"/>
      <c r="V1605" s="37"/>
    </row>
    <row r="1606" spans="1:22" x14ac:dyDescent="0.25">
      <c r="A1606" s="27"/>
      <c r="B1606" s="27"/>
      <c r="C1606" s="27"/>
      <c r="D1606" s="27"/>
      <c r="E1606" s="27"/>
      <c r="F1606" s="27"/>
      <c r="G1606" s="27"/>
      <c r="H1606" s="28"/>
      <c r="I1606" s="27"/>
      <c r="J1606" s="29"/>
      <c r="K1606" s="30"/>
      <c r="L1606" s="31"/>
      <c r="M1606" s="32"/>
      <c r="N1606" s="30"/>
      <c r="O1606" s="30"/>
      <c r="P1606" s="39"/>
      <c r="Q1606" s="34"/>
      <c r="R1606" s="35"/>
      <c r="S1606" s="36"/>
      <c r="T1606" s="35"/>
      <c r="U1606" s="36"/>
      <c r="V1606" s="37"/>
    </row>
    <row r="1607" spans="1:22" x14ac:dyDescent="0.25">
      <c r="A1607" s="27"/>
      <c r="B1607" s="27"/>
      <c r="C1607" s="27"/>
      <c r="D1607" s="27"/>
      <c r="E1607" s="27"/>
      <c r="F1607" s="27"/>
      <c r="G1607" s="27"/>
      <c r="H1607" s="28"/>
      <c r="I1607" s="27"/>
      <c r="J1607" s="29"/>
      <c r="K1607" s="30"/>
      <c r="L1607" s="31"/>
      <c r="M1607" s="32"/>
      <c r="N1607" s="30"/>
      <c r="O1607" s="30"/>
      <c r="P1607" s="39"/>
      <c r="Q1607" s="34"/>
      <c r="R1607" s="35"/>
      <c r="S1607" s="36"/>
      <c r="T1607" s="35"/>
      <c r="U1607" s="36"/>
      <c r="V1607" s="37"/>
    </row>
    <row r="1608" spans="1:22" x14ac:dyDescent="0.25">
      <c r="A1608" s="27"/>
      <c r="B1608" s="27"/>
      <c r="C1608" s="27"/>
      <c r="D1608" s="27"/>
      <c r="E1608" s="27"/>
      <c r="F1608" s="27"/>
      <c r="G1608" s="27"/>
      <c r="H1608" s="28"/>
      <c r="I1608" s="27"/>
      <c r="J1608" s="29"/>
      <c r="K1608" s="30"/>
      <c r="L1608" s="31"/>
      <c r="M1608" s="32"/>
      <c r="N1608" s="30"/>
      <c r="O1608" s="30"/>
      <c r="P1608" s="39"/>
      <c r="Q1608" s="34"/>
      <c r="R1608" s="35"/>
      <c r="S1608" s="36"/>
      <c r="T1608" s="35"/>
      <c r="U1608" s="36"/>
      <c r="V1608" s="37"/>
    </row>
    <row r="1609" spans="1:22" x14ac:dyDescent="0.25">
      <c r="A1609" s="27"/>
      <c r="B1609" s="27"/>
      <c r="C1609" s="27"/>
      <c r="D1609" s="27"/>
      <c r="E1609" s="27"/>
      <c r="F1609" s="27"/>
      <c r="G1609" s="27"/>
      <c r="H1609" s="28"/>
      <c r="I1609" s="27"/>
      <c r="J1609" s="29"/>
      <c r="K1609" s="30"/>
      <c r="L1609" s="31"/>
      <c r="M1609" s="32"/>
      <c r="N1609" s="30"/>
      <c r="O1609" s="30"/>
      <c r="P1609" s="39"/>
      <c r="Q1609" s="34"/>
      <c r="R1609" s="35"/>
      <c r="S1609" s="36"/>
      <c r="T1609" s="35"/>
      <c r="U1609" s="36"/>
      <c r="V1609" s="37"/>
    </row>
    <row r="1610" spans="1:22" x14ac:dyDescent="0.25">
      <c r="A1610" s="27"/>
      <c r="B1610" s="27"/>
      <c r="C1610" s="27"/>
      <c r="D1610" s="27"/>
      <c r="E1610" s="27"/>
      <c r="F1610" s="27"/>
      <c r="G1610" s="27"/>
      <c r="H1610" s="28"/>
      <c r="I1610" s="27"/>
      <c r="J1610" s="29"/>
      <c r="K1610" s="30"/>
      <c r="L1610" s="31"/>
      <c r="M1610" s="32"/>
      <c r="N1610" s="30"/>
      <c r="O1610" s="30"/>
      <c r="P1610" s="39"/>
      <c r="Q1610" s="34"/>
      <c r="R1610" s="35"/>
      <c r="S1610" s="36"/>
      <c r="T1610" s="35"/>
      <c r="U1610" s="36"/>
      <c r="V1610" s="37"/>
    </row>
    <row r="1611" spans="1:22" x14ac:dyDescent="0.25">
      <c r="A1611" s="27"/>
      <c r="B1611" s="27"/>
      <c r="C1611" s="27"/>
      <c r="D1611" s="27"/>
      <c r="E1611" s="27"/>
      <c r="F1611" s="27"/>
      <c r="G1611" s="27"/>
      <c r="H1611" s="28"/>
      <c r="I1611" s="27"/>
      <c r="J1611" s="29"/>
      <c r="K1611" s="30"/>
      <c r="L1611" s="31"/>
      <c r="M1611" s="32"/>
      <c r="N1611" s="30"/>
      <c r="O1611" s="30"/>
      <c r="P1611" s="39"/>
      <c r="Q1611" s="34"/>
      <c r="R1611" s="35"/>
      <c r="S1611" s="36"/>
      <c r="T1611" s="35"/>
      <c r="U1611" s="36"/>
      <c r="V1611" s="37"/>
    </row>
    <row r="1612" spans="1:22" x14ac:dyDescent="0.25">
      <c r="A1612" s="27"/>
      <c r="B1612" s="27"/>
      <c r="C1612" s="27"/>
      <c r="D1612" s="27"/>
      <c r="E1612" s="27"/>
      <c r="F1612" s="27"/>
      <c r="G1612" s="27"/>
      <c r="H1612" s="28"/>
      <c r="I1612" s="27"/>
      <c r="J1612" s="29"/>
      <c r="K1612" s="30"/>
      <c r="L1612" s="31"/>
      <c r="M1612" s="32"/>
      <c r="N1612" s="30"/>
      <c r="O1612" s="30"/>
      <c r="P1612" s="39"/>
      <c r="Q1612" s="34"/>
      <c r="R1612" s="35"/>
      <c r="S1612" s="36"/>
      <c r="T1612" s="35"/>
      <c r="U1612" s="36"/>
      <c r="V1612" s="37"/>
    </row>
    <row r="1613" spans="1:22" x14ac:dyDescent="0.25">
      <c r="A1613" s="27"/>
      <c r="B1613" s="27"/>
      <c r="C1613" s="27"/>
      <c r="D1613" s="27"/>
      <c r="E1613" s="27"/>
      <c r="F1613" s="27"/>
      <c r="G1613" s="27"/>
      <c r="H1613" s="28"/>
      <c r="I1613" s="27"/>
      <c r="J1613" s="29"/>
      <c r="K1613" s="30"/>
      <c r="L1613" s="31"/>
      <c r="M1613" s="32"/>
      <c r="N1613" s="30"/>
      <c r="O1613" s="30"/>
      <c r="P1613" s="39"/>
      <c r="Q1613" s="34"/>
      <c r="R1613" s="35"/>
      <c r="S1613" s="36"/>
      <c r="T1613" s="35"/>
      <c r="U1613" s="36"/>
      <c r="V1613" s="37"/>
    </row>
    <row r="1614" spans="1:22" x14ac:dyDescent="0.25">
      <c r="A1614" s="27"/>
      <c r="B1614" s="27"/>
      <c r="C1614" s="27"/>
      <c r="D1614" s="27"/>
      <c r="E1614" s="27"/>
      <c r="F1614" s="27"/>
      <c r="G1614" s="27"/>
      <c r="H1614" s="28"/>
      <c r="I1614" s="27"/>
      <c r="J1614" s="29"/>
      <c r="K1614" s="30"/>
      <c r="L1614" s="31"/>
      <c r="M1614" s="32"/>
      <c r="N1614" s="30"/>
      <c r="O1614" s="30"/>
      <c r="P1614" s="39"/>
      <c r="Q1614" s="34"/>
      <c r="R1614" s="35"/>
      <c r="S1614" s="36"/>
      <c r="T1614" s="35"/>
      <c r="U1614" s="36"/>
      <c r="V1614" s="37"/>
    </row>
    <row r="1615" spans="1:22" x14ac:dyDescent="0.25">
      <c r="A1615" s="27"/>
      <c r="B1615" s="27"/>
      <c r="C1615" s="27"/>
      <c r="D1615" s="27"/>
      <c r="E1615" s="27"/>
      <c r="F1615" s="27"/>
      <c r="G1615" s="27"/>
      <c r="H1615" s="28"/>
      <c r="I1615" s="27"/>
      <c r="J1615" s="29"/>
      <c r="K1615" s="30"/>
      <c r="L1615" s="31"/>
      <c r="M1615" s="32"/>
      <c r="N1615" s="30"/>
      <c r="O1615" s="30"/>
      <c r="P1615" s="39"/>
      <c r="Q1615" s="34"/>
      <c r="R1615" s="35"/>
      <c r="S1615" s="36"/>
      <c r="T1615" s="35"/>
      <c r="U1615" s="36"/>
      <c r="V1615" s="37"/>
    </row>
    <row r="1616" spans="1:22" x14ac:dyDescent="0.25">
      <c r="A1616" s="27"/>
      <c r="B1616" s="27"/>
      <c r="C1616" s="27"/>
      <c r="D1616" s="27"/>
      <c r="E1616" s="27"/>
      <c r="F1616" s="27"/>
      <c r="G1616" s="27"/>
      <c r="H1616" s="28"/>
      <c r="I1616" s="27"/>
      <c r="J1616" s="29"/>
      <c r="K1616" s="30"/>
      <c r="L1616" s="31"/>
      <c r="M1616" s="32"/>
      <c r="N1616" s="30"/>
      <c r="O1616" s="30"/>
      <c r="P1616" s="39"/>
      <c r="Q1616" s="34"/>
      <c r="R1616" s="35"/>
      <c r="S1616" s="36"/>
      <c r="T1616" s="35"/>
      <c r="U1616" s="36"/>
      <c r="V1616" s="37"/>
    </row>
    <row r="1617" spans="1:22" x14ac:dyDescent="0.25">
      <c r="A1617" s="27"/>
      <c r="B1617" s="27"/>
      <c r="C1617" s="27"/>
      <c r="D1617" s="27"/>
      <c r="E1617" s="27"/>
      <c r="F1617" s="27"/>
      <c r="G1617" s="27"/>
      <c r="H1617" s="28"/>
      <c r="I1617" s="27"/>
      <c r="J1617" s="29"/>
      <c r="K1617" s="30"/>
      <c r="L1617" s="31"/>
      <c r="M1617" s="32"/>
      <c r="N1617" s="30"/>
      <c r="O1617" s="30"/>
      <c r="P1617" s="39"/>
      <c r="Q1617" s="34"/>
      <c r="R1617" s="35"/>
      <c r="S1617" s="36"/>
      <c r="T1617" s="35"/>
      <c r="U1617" s="36"/>
      <c r="V1617" s="37"/>
    </row>
    <row r="1618" spans="1:22" x14ac:dyDescent="0.25">
      <c r="A1618" s="27"/>
      <c r="B1618" s="27"/>
      <c r="C1618" s="27"/>
      <c r="D1618" s="27"/>
      <c r="E1618" s="27"/>
      <c r="F1618" s="27"/>
      <c r="G1618" s="27"/>
      <c r="H1618" s="28"/>
      <c r="I1618" s="27"/>
      <c r="J1618" s="29"/>
      <c r="K1618" s="30"/>
      <c r="L1618" s="31"/>
      <c r="M1618" s="32"/>
      <c r="N1618" s="30"/>
      <c r="O1618" s="30"/>
      <c r="P1618" s="39"/>
      <c r="Q1618" s="34"/>
      <c r="R1618" s="35"/>
      <c r="S1618" s="36"/>
      <c r="T1618" s="35"/>
      <c r="U1618" s="36"/>
      <c r="V1618" s="37"/>
    </row>
    <row r="1619" spans="1:22" x14ac:dyDescent="0.25">
      <c r="A1619" s="27"/>
      <c r="B1619" s="27"/>
      <c r="C1619" s="27"/>
      <c r="D1619" s="27"/>
      <c r="E1619" s="27"/>
      <c r="F1619" s="27"/>
      <c r="G1619" s="27"/>
      <c r="H1619" s="28"/>
      <c r="I1619" s="27"/>
      <c r="J1619" s="29"/>
      <c r="K1619" s="30"/>
      <c r="L1619" s="31"/>
      <c r="M1619" s="32"/>
      <c r="N1619" s="30"/>
      <c r="O1619" s="30"/>
      <c r="P1619" s="39"/>
      <c r="Q1619" s="34"/>
      <c r="R1619" s="35"/>
      <c r="S1619" s="36"/>
      <c r="T1619" s="35"/>
      <c r="U1619" s="36"/>
      <c r="V1619" s="37"/>
    </row>
    <row r="1620" spans="1:22" x14ac:dyDescent="0.25">
      <c r="A1620" s="27"/>
      <c r="B1620" s="27"/>
      <c r="C1620" s="27"/>
      <c r="D1620" s="27"/>
      <c r="E1620" s="27"/>
      <c r="F1620" s="27"/>
      <c r="G1620" s="27"/>
      <c r="H1620" s="28"/>
      <c r="I1620" s="27"/>
      <c r="J1620" s="29"/>
      <c r="K1620" s="30"/>
      <c r="L1620" s="31"/>
      <c r="M1620" s="32"/>
      <c r="N1620" s="30"/>
      <c r="O1620" s="30"/>
      <c r="P1620" s="39"/>
      <c r="Q1620" s="34"/>
      <c r="R1620" s="35"/>
      <c r="S1620" s="36"/>
      <c r="T1620" s="35"/>
      <c r="U1620" s="36"/>
      <c r="V1620" s="37"/>
    </row>
    <row r="1621" spans="1:22" x14ac:dyDescent="0.25">
      <c r="A1621" s="27"/>
      <c r="B1621" s="27"/>
      <c r="C1621" s="27"/>
      <c r="D1621" s="27"/>
      <c r="E1621" s="27"/>
      <c r="F1621" s="27"/>
      <c r="G1621" s="27"/>
      <c r="H1621" s="28"/>
      <c r="I1621" s="27"/>
      <c r="J1621" s="29"/>
      <c r="K1621" s="30"/>
      <c r="L1621" s="31"/>
      <c r="M1621" s="32"/>
      <c r="N1621" s="30"/>
      <c r="O1621" s="30"/>
      <c r="P1621" s="39"/>
      <c r="Q1621" s="34"/>
      <c r="R1621" s="35"/>
      <c r="S1621" s="36"/>
      <c r="T1621" s="35"/>
      <c r="U1621" s="36"/>
      <c r="V1621" s="37"/>
    </row>
    <row r="1622" spans="1:22" x14ac:dyDescent="0.25">
      <c r="A1622" s="27"/>
      <c r="B1622" s="27"/>
      <c r="C1622" s="27"/>
      <c r="D1622" s="27"/>
      <c r="E1622" s="27"/>
      <c r="F1622" s="27"/>
      <c r="G1622" s="27"/>
      <c r="H1622" s="28"/>
      <c r="I1622" s="27"/>
      <c r="J1622" s="29"/>
      <c r="K1622" s="30"/>
      <c r="L1622" s="31"/>
      <c r="M1622" s="32"/>
      <c r="N1622" s="30"/>
      <c r="O1622" s="30"/>
      <c r="P1622" s="39"/>
      <c r="Q1622" s="34"/>
      <c r="R1622" s="35"/>
      <c r="S1622" s="36"/>
      <c r="T1622" s="35"/>
      <c r="U1622" s="36"/>
      <c r="V1622" s="37"/>
    </row>
    <row r="1623" spans="1:22" x14ac:dyDescent="0.25">
      <c r="A1623" s="27"/>
      <c r="B1623" s="27"/>
      <c r="C1623" s="27"/>
      <c r="D1623" s="27"/>
      <c r="E1623" s="27"/>
      <c r="F1623" s="27"/>
      <c r="G1623" s="27"/>
      <c r="H1623" s="28"/>
      <c r="I1623" s="27"/>
      <c r="J1623" s="29"/>
      <c r="K1623" s="30"/>
      <c r="L1623" s="31"/>
      <c r="M1623" s="32"/>
      <c r="N1623" s="30"/>
      <c r="O1623" s="30"/>
      <c r="P1623" s="39"/>
      <c r="Q1623" s="34"/>
      <c r="R1623" s="35"/>
      <c r="S1623" s="36"/>
      <c r="T1623" s="35"/>
      <c r="U1623" s="36"/>
      <c r="V1623" s="37"/>
    </row>
    <row r="1624" spans="1:22" x14ac:dyDescent="0.25">
      <c r="A1624" s="27"/>
      <c r="B1624" s="27"/>
      <c r="C1624" s="27"/>
      <c r="D1624" s="27"/>
      <c r="E1624" s="27"/>
      <c r="F1624" s="27"/>
      <c r="G1624" s="27"/>
      <c r="H1624" s="28"/>
      <c r="I1624" s="27"/>
      <c r="J1624" s="29"/>
      <c r="K1624" s="30"/>
      <c r="L1624" s="31"/>
      <c r="M1624" s="32"/>
      <c r="N1624" s="30"/>
      <c r="O1624" s="30"/>
      <c r="P1624" s="39"/>
      <c r="Q1624" s="34"/>
      <c r="R1624" s="35"/>
      <c r="S1624" s="36"/>
      <c r="T1624" s="35"/>
      <c r="U1624" s="36"/>
      <c r="V1624" s="37"/>
    </row>
    <row r="1625" spans="1:22" x14ac:dyDescent="0.25">
      <c r="A1625" s="27"/>
      <c r="B1625" s="27"/>
      <c r="C1625" s="27"/>
      <c r="D1625" s="27"/>
      <c r="E1625" s="27"/>
      <c r="F1625" s="27"/>
      <c r="G1625" s="27"/>
      <c r="H1625" s="28"/>
      <c r="I1625" s="27"/>
      <c r="J1625" s="29"/>
      <c r="K1625" s="30"/>
      <c r="L1625" s="31"/>
      <c r="M1625" s="32"/>
      <c r="N1625" s="30"/>
      <c r="O1625" s="30"/>
      <c r="P1625" s="39"/>
      <c r="Q1625" s="34"/>
      <c r="R1625" s="35"/>
      <c r="S1625" s="36"/>
      <c r="T1625" s="35"/>
      <c r="U1625" s="36"/>
      <c r="V1625" s="37"/>
    </row>
    <row r="1626" spans="1:22" x14ac:dyDescent="0.25">
      <c r="A1626" s="27"/>
      <c r="B1626" s="27"/>
      <c r="C1626" s="27"/>
      <c r="D1626" s="27"/>
      <c r="E1626" s="27"/>
      <c r="F1626" s="27"/>
      <c r="G1626" s="27"/>
      <c r="H1626" s="28"/>
      <c r="I1626" s="27"/>
      <c r="J1626" s="29"/>
      <c r="K1626" s="30"/>
      <c r="L1626" s="31"/>
      <c r="M1626" s="32"/>
      <c r="N1626" s="30"/>
      <c r="O1626" s="30"/>
      <c r="P1626" s="39"/>
      <c r="Q1626" s="34"/>
      <c r="R1626" s="35"/>
      <c r="S1626" s="36"/>
      <c r="T1626" s="35"/>
      <c r="U1626" s="36"/>
      <c r="V1626" s="37"/>
    </row>
    <row r="1627" spans="1:22" x14ac:dyDescent="0.25">
      <c r="A1627" s="27"/>
      <c r="B1627" s="27"/>
      <c r="C1627" s="27"/>
      <c r="D1627" s="27"/>
      <c r="E1627" s="27"/>
      <c r="F1627" s="27"/>
      <c r="G1627" s="27"/>
      <c r="H1627" s="28"/>
      <c r="I1627" s="27"/>
      <c r="J1627" s="29"/>
      <c r="K1627" s="30"/>
      <c r="L1627" s="31"/>
      <c r="M1627" s="32"/>
      <c r="N1627" s="30"/>
      <c r="O1627" s="30"/>
      <c r="P1627" s="39"/>
      <c r="Q1627" s="34"/>
      <c r="R1627" s="35"/>
      <c r="S1627" s="36"/>
      <c r="T1627" s="35"/>
      <c r="U1627" s="36"/>
      <c r="V1627" s="37"/>
    </row>
    <row r="1628" spans="1:22" x14ac:dyDescent="0.25">
      <c r="A1628" s="27"/>
      <c r="B1628" s="27"/>
      <c r="C1628" s="27"/>
      <c r="D1628" s="27"/>
      <c r="E1628" s="27"/>
      <c r="F1628" s="27"/>
      <c r="G1628" s="27"/>
      <c r="H1628" s="28"/>
      <c r="I1628" s="27"/>
      <c r="J1628" s="29"/>
      <c r="K1628" s="30"/>
      <c r="L1628" s="31"/>
      <c r="M1628" s="32"/>
      <c r="N1628" s="30"/>
      <c r="O1628" s="30"/>
      <c r="P1628" s="39"/>
      <c r="Q1628" s="34"/>
      <c r="R1628" s="35"/>
      <c r="S1628" s="36"/>
      <c r="T1628" s="35"/>
      <c r="U1628" s="36"/>
      <c r="V1628" s="37"/>
    </row>
    <row r="1629" spans="1:22" x14ac:dyDescent="0.25">
      <c r="A1629" s="27"/>
      <c r="B1629" s="27"/>
      <c r="C1629" s="27"/>
      <c r="D1629" s="27"/>
      <c r="E1629" s="27"/>
      <c r="F1629" s="27"/>
      <c r="G1629" s="27"/>
      <c r="H1629" s="28"/>
      <c r="I1629" s="27"/>
      <c r="J1629" s="29"/>
      <c r="K1629" s="30"/>
      <c r="L1629" s="31"/>
      <c r="M1629" s="32"/>
      <c r="N1629" s="30"/>
      <c r="O1629" s="30"/>
      <c r="P1629" s="39"/>
      <c r="Q1629" s="34"/>
      <c r="R1629" s="35"/>
      <c r="S1629" s="36"/>
      <c r="T1629" s="35"/>
      <c r="U1629" s="36"/>
      <c r="V1629" s="37"/>
    </row>
    <row r="1630" spans="1:22" x14ac:dyDescent="0.25">
      <c r="A1630" s="27"/>
      <c r="B1630" s="27"/>
      <c r="C1630" s="27"/>
      <c r="D1630" s="27"/>
      <c r="E1630" s="27"/>
      <c r="F1630" s="27"/>
      <c r="G1630" s="27"/>
      <c r="H1630" s="28"/>
      <c r="I1630" s="27"/>
      <c r="J1630" s="29"/>
      <c r="K1630" s="30"/>
      <c r="L1630" s="31"/>
      <c r="M1630" s="32"/>
      <c r="N1630" s="30"/>
      <c r="O1630" s="30"/>
      <c r="P1630" s="39"/>
      <c r="Q1630" s="34"/>
      <c r="R1630" s="35"/>
      <c r="S1630" s="36"/>
      <c r="T1630" s="35"/>
      <c r="U1630" s="36"/>
      <c r="V1630" s="37"/>
    </row>
    <row r="1631" spans="1:22" x14ac:dyDescent="0.25">
      <c r="A1631" s="27"/>
      <c r="B1631" s="27"/>
      <c r="C1631" s="27"/>
      <c r="D1631" s="27"/>
      <c r="E1631" s="27"/>
      <c r="F1631" s="27"/>
      <c r="G1631" s="27"/>
      <c r="H1631" s="28"/>
      <c r="I1631" s="27"/>
      <c r="J1631" s="29"/>
      <c r="K1631" s="30"/>
      <c r="L1631" s="31"/>
      <c r="M1631" s="32"/>
      <c r="N1631" s="30"/>
      <c r="O1631" s="30"/>
      <c r="P1631" s="39"/>
      <c r="Q1631" s="34"/>
      <c r="R1631" s="35"/>
      <c r="S1631" s="36"/>
      <c r="T1631" s="35"/>
      <c r="U1631" s="36"/>
      <c r="V1631" s="37"/>
    </row>
    <row r="1632" spans="1:22" x14ac:dyDescent="0.25">
      <c r="A1632" s="27"/>
      <c r="B1632" s="27"/>
      <c r="C1632" s="27"/>
      <c r="D1632" s="27"/>
      <c r="E1632" s="27"/>
      <c r="F1632" s="27"/>
      <c r="G1632" s="27"/>
      <c r="H1632" s="28"/>
      <c r="I1632" s="27"/>
      <c r="J1632" s="29"/>
      <c r="K1632" s="30"/>
      <c r="L1632" s="31"/>
      <c r="M1632" s="32"/>
      <c r="N1632" s="30"/>
      <c r="O1632" s="30"/>
      <c r="P1632" s="39"/>
      <c r="Q1632" s="34"/>
      <c r="R1632" s="35"/>
      <c r="S1632" s="36"/>
      <c r="T1632" s="35"/>
      <c r="U1632" s="36"/>
      <c r="V1632" s="37"/>
    </row>
    <row r="1633" spans="1:22" x14ac:dyDescent="0.25">
      <c r="A1633" s="27"/>
      <c r="B1633" s="27"/>
      <c r="C1633" s="27"/>
      <c r="D1633" s="27"/>
      <c r="E1633" s="27"/>
      <c r="F1633" s="27"/>
      <c r="G1633" s="27"/>
      <c r="H1633" s="28"/>
      <c r="I1633" s="27"/>
      <c r="J1633" s="29"/>
      <c r="K1633" s="30"/>
      <c r="L1633" s="31"/>
      <c r="M1633" s="32"/>
      <c r="N1633" s="30"/>
      <c r="O1633" s="30"/>
      <c r="P1633" s="39"/>
      <c r="Q1633" s="34"/>
      <c r="R1633" s="35"/>
      <c r="S1633" s="36"/>
      <c r="T1633" s="35"/>
      <c r="U1633" s="36"/>
      <c r="V1633" s="37"/>
    </row>
    <row r="1634" spans="1:22" x14ac:dyDescent="0.25">
      <c r="A1634" s="27"/>
      <c r="B1634" s="27"/>
      <c r="C1634" s="27"/>
      <c r="D1634" s="27"/>
      <c r="E1634" s="27"/>
      <c r="F1634" s="27"/>
      <c r="G1634" s="27"/>
      <c r="H1634" s="28"/>
      <c r="I1634" s="27"/>
      <c r="J1634" s="29"/>
      <c r="K1634" s="30"/>
      <c r="L1634" s="31"/>
      <c r="M1634" s="32"/>
      <c r="N1634" s="30"/>
      <c r="O1634" s="30"/>
      <c r="P1634" s="39"/>
      <c r="Q1634" s="34"/>
      <c r="R1634" s="35"/>
      <c r="S1634" s="36"/>
      <c r="T1634" s="35"/>
      <c r="U1634" s="36"/>
      <c r="V1634" s="37"/>
    </row>
    <row r="1635" spans="1:22" x14ac:dyDescent="0.25">
      <c r="A1635" s="27"/>
      <c r="B1635" s="27"/>
      <c r="C1635" s="27"/>
      <c r="D1635" s="27"/>
      <c r="E1635" s="27"/>
      <c r="F1635" s="27"/>
      <c r="G1635" s="27"/>
      <c r="H1635" s="28"/>
      <c r="I1635" s="27"/>
      <c r="J1635" s="29"/>
      <c r="K1635" s="30"/>
      <c r="L1635" s="31"/>
      <c r="M1635" s="32"/>
      <c r="N1635" s="30"/>
      <c r="O1635" s="30"/>
      <c r="P1635" s="39"/>
      <c r="Q1635" s="34"/>
      <c r="R1635" s="35"/>
      <c r="S1635" s="36"/>
      <c r="T1635" s="35"/>
      <c r="U1635" s="36"/>
      <c r="V1635" s="37"/>
    </row>
    <row r="1636" spans="1:22" x14ac:dyDescent="0.25">
      <c r="A1636" s="27"/>
      <c r="B1636" s="27"/>
      <c r="C1636" s="27"/>
      <c r="D1636" s="27"/>
      <c r="E1636" s="27"/>
      <c r="F1636" s="27"/>
      <c r="G1636" s="27"/>
      <c r="H1636" s="28"/>
      <c r="I1636" s="27"/>
      <c r="J1636" s="29"/>
      <c r="K1636" s="30"/>
      <c r="L1636" s="31"/>
      <c r="M1636" s="32"/>
      <c r="N1636" s="30"/>
      <c r="O1636" s="30"/>
      <c r="P1636" s="39"/>
      <c r="Q1636" s="34"/>
      <c r="R1636" s="35"/>
      <c r="S1636" s="36"/>
      <c r="T1636" s="35"/>
      <c r="U1636" s="36"/>
      <c r="V1636" s="37"/>
    </row>
    <row r="1637" spans="1:22" x14ac:dyDescent="0.25">
      <c r="A1637" s="27"/>
      <c r="B1637" s="27"/>
      <c r="C1637" s="27"/>
      <c r="D1637" s="27"/>
      <c r="E1637" s="27"/>
      <c r="F1637" s="27"/>
      <c r="G1637" s="27"/>
      <c r="H1637" s="28"/>
      <c r="I1637" s="27"/>
      <c r="J1637" s="29"/>
      <c r="K1637" s="30"/>
      <c r="L1637" s="31"/>
      <c r="M1637" s="32"/>
      <c r="N1637" s="30"/>
      <c r="O1637" s="30"/>
      <c r="P1637" s="39"/>
      <c r="Q1637" s="34"/>
      <c r="R1637" s="35"/>
      <c r="S1637" s="36"/>
      <c r="T1637" s="35"/>
      <c r="U1637" s="36"/>
      <c r="V1637" s="37"/>
    </row>
    <row r="1638" spans="1:22" x14ac:dyDescent="0.25">
      <c r="A1638" s="27"/>
      <c r="B1638" s="27"/>
      <c r="C1638" s="27"/>
      <c r="D1638" s="27"/>
      <c r="E1638" s="27"/>
      <c r="F1638" s="27"/>
      <c r="G1638" s="27"/>
      <c r="H1638" s="28"/>
      <c r="I1638" s="27"/>
      <c r="J1638" s="29"/>
      <c r="K1638" s="30"/>
      <c r="L1638" s="31"/>
      <c r="M1638" s="32"/>
      <c r="N1638" s="30"/>
      <c r="O1638" s="30"/>
      <c r="P1638" s="39"/>
      <c r="Q1638" s="34"/>
      <c r="R1638" s="35"/>
      <c r="S1638" s="36"/>
      <c r="T1638" s="35"/>
      <c r="U1638" s="36"/>
      <c r="V1638" s="37"/>
    </row>
    <row r="1639" spans="1:22" x14ac:dyDescent="0.25">
      <c r="A1639" s="27"/>
      <c r="B1639" s="27"/>
      <c r="C1639" s="27"/>
      <c r="D1639" s="27"/>
      <c r="E1639" s="27"/>
      <c r="F1639" s="27"/>
      <c r="G1639" s="27"/>
      <c r="H1639" s="28"/>
      <c r="I1639" s="27"/>
      <c r="J1639" s="29"/>
      <c r="K1639" s="30"/>
      <c r="L1639" s="31"/>
      <c r="M1639" s="32"/>
      <c r="N1639" s="30"/>
      <c r="O1639" s="30"/>
      <c r="P1639" s="39"/>
      <c r="Q1639" s="34"/>
      <c r="R1639" s="35"/>
      <c r="S1639" s="36"/>
      <c r="T1639" s="35"/>
      <c r="U1639" s="36"/>
      <c r="V1639" s="37"/>
    </row>
    <row r="1640" spans="1:22" x14ac:dyDescent="0.25">
      <c r="A1640" s="27"/>
      <c r="B1640" s="27"/>
      <c r="C1640" s="27"/>
      <c r="D1640" s="27"/>
      <c r="E1640" s="27"/>
      <c r="F1640" s="27"/>
      <c r="G1640" s="27"/>
      <c r="H1640" s="28"/>
      <c r="I1640" s="27"/>
      <c r="J1640" s="29"/>
      <c r="K1640" s="30"/>
      <c r="L1640" s="31"/>
      <c r="M1640" s="32"/>
      <c r="N1640" s="30"/>
      <c r="O1640" s="30"/>
      <c r="P1640" s="39"/>
      <c r="Q1640" s="34"/>
      <c r="R1640" s="35"/>
      <c r="S1640" s="36"/>
      <c r="T1640" s="35"/>
      <c r="U1640" s="36"/>
      <c r="V1640" s="37"/>
    </row>
    <row r="1641" spans="1:22" x14ac:dyDescent="0.25">
      <c r="A1641" s="27"/>
      <c r="B1641" s="27"/>
      <c r="C1641" s="27"/>
      <c r="D1641" s="27"/>
      <c r="E1641" s="27"/>
      <c r="F1641" s="27"/>
      <c r="G1641" s="27"/>
      <c r="H1641" s="28"/>
      <c r="I1641" s="27"/>
      <c r="J1641" s="29"/>
      <c r="K1641" s="30"/>
      <c r="L1641" s="31"/>
      <c r="M1641" s="32"/>
      <c r="N1641" s="30"/>
      <c r="O1641" s="30"/>
      <c r="P1641" s="39"/>
      <c r="Q1641" s="34"/>
      <c r="R1641" s="35"/>
      <c r="S1641" s="36"/>
      <c r="T1641" s="35"/>
      <c r="U1641" s="36"/>
      <c r="V1641" s="37"/>
    </row>
    <row r="1642" spans="1:22" x14ac:dyDescent="0.25">
      <c r="A1642" s="27"/>
      <c r="B1642" s="27"/>
      <c r="C1642" s="27"/>
      <c r="D1642" s="27"/>
      <c r="E1642" s="27"/>
      <c r="F1642" s="27"/>
      <c r="G1642" s="27"/>
      <c r="H1642" s="28"/>
      <c r="I1642" s="27"/>
      <c r="J1642" s="29"/>
      <c r="K1642" s="30"/>
      <c r="L1642" s="31"/>
      <c r="M1642" s="32"/>
      <c r="N1642" s="30"/>
      <c r="O1642" s="30"/>
      <c r="P1642" s="39"/>
      <c r="Q1642" s="34"/>
      <c r="R1642" s="35"/>
      <c r="S1642" s="36"/>
      <c r="T1642" s="35"/>
      <c r="U1642" s="36"/>
      <c r="V1642" s="37"/>
    </row>
    <row r="1643" spans="1:22" x14ac:dyDescent="0.25">
      <c r="A1643" s="27"/>
      <c r="B1643" s="27"/>
      <c r="C1643" s="27"/>
      <c r="D1643" s="27"/>
      <c r="E1643" s="27"/>
      <c r="F1643" s="27"/>
      <c r="G1643" s="27"/>
      <c r="H1643" s="28"/>
      <c r="I1643" s="27"/>
      <c r="J1643" s="29"/>
      <c r="K1643" s="30"/>
      <c r="L1643" s="31"/>
      <c r="M1643" s="32"/>
      <c r="N1643" s="30"/>
      <c r="O1643" s="30"/>
      <c r="P1643" s="39"/>
      <c r="Q1643" s="34"/>
      <c r="R1643" s="35"/>
      <c r="S1643" s="36"/>
      <c r="T1643" s="35"/>
      <c r="U1643" s="36"/>
      <c r="V1643" s="37"/>
    </row>
    <row r="1644" spans="1:22" x14ac:dyDescent="0.25">
      <c r="A1644" s="27"/>
      <c r="B1644" s="27"/>
      <c r="C1644" s="27"/>
      <c r="D1644" s="27"/>
      <c r="E1644" s="27"/>
      <c r="F1644" s="27"/>
      <c r="G1644" s="27"/>
      <c r="H1644" s="28"/>
      <c r="I1644" s="27"/>
      <c r="J1644" s="29"/>
      <c r="K1644" s="30"/>
      <c r="L1644" s="31"/>
      <c r="M1644" s="32"/>
      <c r="N1644" s="30"/>
      <c r="O1644" s="30"/>
      <c r="P1644" s="39"/>
      <c r="Q1644" s="34"/>
      <c r="R1644" s="35"/>
      <c r="S1644" s="36"/>
      <c r="T1644" s="35"/>
      <c r="U1644" s="36"/>
      <c r="V1644" s="37"/>
    </row>
    <row r="1645" spans="1:22" x14ac:dyDescent="0.25">
      <c r="A1645" s="27"/>
      <c r="B1645" s="27"/>
      <c r="C1645" s="27"/>
      <c r="D1645" s="27"/>
      <c r="E1645" s="27"/>
      <c r="F1645" s="27"/>
      <c r="G1645" s="27"/>
      <c r="H1645" s="28"/>
      <c r="I1645" s="27"/>
      <c r="J1645" s="29"/>
      <c r="K1645" s="30"/>
      <c r="L1645" s="31"/>
      <c r="M1645" s="32"/>
      <c r="N1645" s="30"/>
      <c r="O1645" s="30"/>
      <c r="P1645" s="39"/>
      <c r="Q1645" s="34"/>
      <c r="R1645" s="35"/>
      <c r="S1645" s="36"/>
      <c r="T1645" s="35"/>
      <c r="U1645" s="36"/>
      <c r="V1645" s="37"/>
    </row>
    <row r="1646" spans="1:22" x14ac:dyDescent="0.25">
      <c r="A1646" s="27"/>
      <c r="B1646" s="27"/>
      <c r="C1646" s="27"/>
      <c r="D1646" s="27"/>
      <c r="E1646" s="27"/>
      <c r="F1646" s="27"/>
      <c r="G1646" s="27"/>
      <c r="H1646" s="28"/>
      <c r="I1646" s="27"/>
      <c r="J1646" s="29"/>
      <c r="K1646" s="30"/>
      <c r="L1646" s="31"/>
      <c r="M1646" s="32"/>
      <c r="N1646" s="30"/>
      <c r="O1646" s="30"/>
      <c r="P1646" s="39"/>
      <c r="Q1646" s="34"/>
      <c r="R1646" s="35"/>
      <c r="S1646" s="36"/>
      <c r="T1646" s="35"/>
      <c r="U1646" s="36"/>
      <c r="V1646" s="37"/>
    </row>
    <row r="1647" spans="1:22" x14ac:dyDescent="0.25">
      <c r="A1647" s="27"/>
      <c r="B1647" s="27"/>
      <c r="C1647" s="27"/>
      <c r="D1647" s="27"/>
      <c r="E1647" s="27"/>
      <c r="F1647" s="27"/>
      <c r="G1647" s="27"/>
      <c r="H1647" s="28"/>
      <c r="I1647" s="27"/>
      <c r="J1647" s="29"/>
      <c r="K1647" s="30"/>
      <c r="L1647" s="31"/>
      <c r="M1647" s="32"/>
      <c r="N1647" s="30"/>
      <c r="O1647" s="30"/>
      <c r="P1647" s="39"/>
      <c r="Q1647" s="34"/>
      <c r="R1647" s="35"/>
      <c r="S1647" s="36"/>
      <c r="T1647" s="35"/>
      <c r="U1647" s="36"/>
      <c r="V1647" s="37"/>
    </row>
    <row r="1648" spans="1:22" x14ac:dyDescent="0.25">
      <c r="A1648" s="27"/>
      <c r="B1648" s="27"/>
      <c r="C1648" s="27"/>
      <c r="D1648" s="27"/>
      <c r="E1648" s="27"/>
      <c r="F1648" s="27"/>
      <c r="G1648" s="27"/>
      <c r="H1648" s="28"/>
      <c r="I1648" s="27"/>
      <c r="J1648" s="29"/>
      <c r="K1648" s="30"/>
      <c r="L1648" s="31"/>
      <c r="M1648" s="32"/>
      <c r="N1648" s="30"/>
      <c r="O1648" s="30"/>
      <c r="P1648" s="39"/>
      <c r="Q1648" s="34"/>
      <c r="R1648" s="35"/>
      <c r="S1648" s="36"/>
      <c r="T1648" s="35"/>
      <c r="U1648" s="36"/>
      <c r="V1648" s="37"/>
    </row>
    <row r="1649" spans="1:22" x14ac:dyDescent="0.25">
      <c r="A1649" s="27"/>
      <c r="B1649" s="27"/>
      <c r="C1649" s="27"/>
      <c r="D1649" s="27"/>
      <c r="E1649" s="27"/>
      <c r="F1649" s="27"/>
      <c r="G1649" s="27"/>
      <c r="H1649" s="28"/>
      <c r="I1649" s="27"/>
      <c r="J1649" s="29"/>
      <c r="K1649" s="30"/>
      <c r="L1649" s="31"/>
      <c r="M1649" s="32"/>
      <c r="N1649" s="30"/>
      <c r="O1649" s="30"/>
      <c r="P1649" s="39"/>
      <c r="Q1649" s="34"/>
      <c r="R1649" s="35"/>
      <c r="S1649" s="36"/>
      <c r="T1649" s="35"/>
      <c r="U1649" s="36"/>
      <c r="V1649" s="37"/>
    </row>
    <row r="1650" spans="1:22" x14ac:dyDescent="0.25">
      <c r="A1650" s="27"/>
      <c r="B1650" s="27"/>
      <c r="C1650" s="27"/>
      <c r="D1650" s="27"/>
      <c r="E1650" s="27"/>
      <c r="F1650" s="27"/>
      <c r="G1650" s="27"/>
      <c r="H1650" s="28"/>
      <c r="I1650" s="27"/>
      <c r="J1650" s="29"/>
      <c r="K1650" s="30"/>
      <c r="L1650" s="31"/>
      <c r="M1650" s="32"/>
      <c r="N1650" s="30"/>
      <c r="O1650" s="30"/>
      <c r="P1650" s="39"/>
      <c r="Q1650" s="34"/>
      <c r="R1650" s="35"/>
      <c r="S1650" s="36"/>
      <c r="T1650" s="35"/>
      <c r="U1650" s="36"/>
      <c r="V1650" s="37"/>
    </row>
    <row r="1651" spans="1:22" x14ac:dyDescent="0.25">
      <c r="A1651" s="27"/>
      <c r="B1651" s="27"/>
      <c r="C1651" s="27"/>
      <c r="D1651" s="27"/>
      <c r="E1651" s="27"/>
      <c r="F1651" s="27"/>
      <c r="G1651" s="27"/>
      <c r="H1651" s="28"/>
      <c r="I1651" s="27"/>
      <c r="J1651" s="29"/>
      <c r="K1651" s="30"/>
      <c r="L1651" s="31"/>
      <c r="M1651" s="32"/>
      <c r="N1651" s="30"/>
      <c r="O1651" s="30"/>
      <c r="P1651" s="39"/>
      <c r="Q1651" s="34"/>
      <c r="R1651" s="35"/>
      <c r="S1651" s="36"/>
      <c r="T1651" s="35"/>
      <c r="U1651" s="36"/>
      <c r="V1651" s="37"/>
    </row>
    <row r="1652" spans="1:22" x14ac:dyDescent="0.25">
      <c r="A1652" s="27"/>
      <c r="B1652" s="27"/>
      <c r="C1652" s="27"/>
      <c r="D1652" s="27"/>
      <c r="E1652" s="27"/>
      <c r="F1652" s="27"/>
      <c r="G1652" s="27"/>
      <c r="H1652" s="28"/>
      <c r="I1652" s="27"/>
      <c r="J1652" s="29"/>
      <c r="K1652" s="30"/>
      <c r="L1652" s="31"/>
      <c r="M1652" s="32"/>
      <c r="N1652" s="30"/>
      <c r="O1652" s="30"/>
      <c r="P1652" s="39"/>
      <c r="Q1652" s="34"/>
      <c r="R1652" s="35"/>
      <c r="S1652" s="36"/>
      <c r="T1652" s="35"/>
      <c r="U1652" s="36"/>
      <c r="V1652" s="37"/>
    </row>
    <row r="1653" spans="1:22" x14ac:dyDescent="0.25">
      <c r="A1653" s="27"/>
      <c r="B1653" s="27"/>
      <c r="C1653" s="27"/>
      <c r="D1653" s="27"/>
      <c r="E1653" s="27"/>
      <c r="F1653" s="27"/>
      <c r="G1653" s="27"/>
      <c r="H1653" s="28"/>
      <c r="I1653" s="27"/>
      <c r="J1653" s="29"/>
      <c r="K1653" s="30"/>
      <c r="L1653" s="31"/>
      <c r="M1653" s="32"/>
      <c r="N1653" s="30"/>
      <c r="O1653" s="30"/>
      <c r="P1653" s="39"/>
      <c r="Q1653" s="34"/>
      <c r="R1653" s="35"/>
      <c r="S1653" s="36"/>
      <c r="T1653" s="35"/>
      <c r="U1653" s="36"/>
      <c r="V1653" s="37"/>
    </row>
    <row r="1654" spans="1:22" x14ac:dyDescent="0.25">
      <c r="A1654" s="27"/>
      <c r="B1654" s="27"/>
      <c r="C1654" s="27"/>
      <c r="D1654" s="27"/>
      <c r="E1654" s="27"/>
      <c r="F1654" s="27"/>
      <c r="G1654" s="27"/>
      <c r="H1654" s="28"/>
      <c r="I1654" s="27"/>
      <c r="J1654" s="29"/>
      <c r="K1654" s="30"/>
      <c r="L1654" s="31"/>
      <c r="M1654" s="32"/>
      <c r="N1654" s="30"/>
      <c r="O1654" s="30"/>
      <c r="P1654" s="39"/>
      <c r="Q1654" s="34"/>
      <c r="R1654" s="35"/>
      <c r="S1654" s="36"/>
      <c r="T1654" s="35"/>
      <c r="U1654" s="36"/>
      <c r="V1654" s="37"/>
    </row>
    <row r="1655" spans="1:22" x14ac:dyDescent="0.25">
      <c r="A1655" s="27"/>
      <c r="B1655" s="27"/>
      <c r="C1655" s="27"/>
      <c r="D1655" s="27"/>
      <c r="E1655" s="27"/>
      <c r="F1655" s="27"/>
      <c r="G1655" s="27"/>
      <c r="H1655" s="28"/>
      <c r="I1655" s="27"/>
      <c r="J1655" s="29"/>
      <c r="K1655" s="30"/>
      <c r="L1655" s="31"/>
      <c r="M1655" s="32"/>
      <c r="N1655" s="30"/>
      <c r="O1655" s="30"/>
      <c r="P1655" s="39"/>
      <c r="Q1655" s="34"/>
      <c r="R1655" s="35"/>
      <c r="S1655" s="36"/>
      <c r="T1655" s="35"/>
      <c r="U1655" s="36"/>
      <c r="V1655" s="37"/>
    </row>
    <row r="1656" spans="1:22" x14ac:dyDescent="0.25">
      <c r="A1656" s="27"/>
      <c r="B1656" s="27"/>
      <c r="C1656" s="27"/>
      <c r="D1656" s="27"/>
      <c r="E1656" s="27"/>
      <c r="F1656" s="27"/>
      <c r="G1656" s="27"/>
      <c r="H1656" s="28"/>
      <c r="I1656" s="27"/>
      <c r="J1656" s="29"/>
      <c r="K1656" s="30"/>
      <c r="L1656" s="31"/>
      <c r="M1656" s="32"/>
      <c r="N1656" s="30"/>
      <c r="O1656" s="30"/>
      <c r="P1656" s="39"/>
      <c r="Q1656" s="34"/>
      <c r="R1656" s="35"/>
      <c r="S1656" s="36"/>
      <c r="T1656" s="35"/>
      <c r="U1656" s="36"/>
      <c r="V1656" s="37"/>
    </row>
    <row r="1657" spans="1:22" x14ac:dyDescent="0.25">
      <c r="A1657" s="27"/>
      <c r="B1657" s="27"/>
      <c r="C1657" s="27"/>
      <c r="D1657" s="27"/>
      <c r="E1657" s="27"/>
      <c r="F1657" s="27"/>
      <c r="G1657" s="27"/>
      <c r="H1657" s="28"/>
      <c r="I1657" s="27"/>
      <c r="J1657" s="29"/>
      <c r="K1657" s="30"/>
      <c r="L1657" s="31"/>
      <c r="M1657" s="32"/>
      <c r="N1657" s="30"/>
      <c r="O1657" s="30"/>
      <c r="P1657" s="39"/>
      <c r="Q1657" s="34"/>
      <c r="R1657" s="35"/>
      <c r="S1657" s="36"/>
      <c r="T1657" s="35"/>
      <c r="U1657" s="36"/>
      <c r="V1657" s="37"/>
    </row>
    <row r="1658" spans="1:22" x14ac:dyDescent="0.25">
      <c r="A1658" s="27"/>
      <c r="B1658" s="27"/>
      <c r="C1658" s="27"/>
      <c r="D1658" s="27"/>
      <c r="E1658" s="27"/>
      <c r="F1658" s="27"/>
      <c r="G1658" s="27"/>
      <c r="H1658" s="28"/>
      <c r="I1658" s="27"/>
      <c r="J1658" s="29"/>
      <c r="K1658" s="30"/>
      <c r="L1658" s="31"/>
      <c r="M1658" s="32"/>
      <c r="N1658" s="30"/>
      <c r="O1658" s="30"/>
      <c r="P1658" s="39"/>
      <c r="Q1658" s="34"/>
      <c r="R1658" s="35"/>
      <c r="S1658" s="36"/>
      <c r="T1658" s="35"/>
      <c r="U1658" s="36"/>
      <c r="V1658" s="37"/>
    </row>
    <row r="1659" spans="1:22" x14ac:dyDescent="0.25">
      <c r="A1659" s="27"/>
      <c r="B1659" s="27"/>
      <c r="C1659" s="27"/>
      <c r="D1659" s="27"/>
      <c r="E1659" s="27"/>
      <c r="F1659" s="27"/>
      <c r="G1659" s="27"/>
      <c r="H1659" s="28"/>
      <c r="I1659" s="27"/>
      <c r="J1659" s="29"/>
      <c r="K1659" s="30"/>
      <c r="L1659" s="31"/>
      <c r="M1659" s="32"/>
      <c r="N1659" s="30"/>
      <c r="O1659" s="30"/>
      <c r="P1659" s="39"/>
      <c r="Q1659" s="34"/>
      <c r="R1659" s="35"/>
      <c r="S1659" s="36"/>
      <c r="T1659" s="35"/>
      <c r="U1659" s="36"/>
      <c r="V1659" s="37"/>
    </row>
    <row r="1660" spans="1:22" x14ac:dyDescent="0.25">
      <c r="A1660" s="27"/>
      <c r="B1660" s="27"/>
      <c r="C1660" s="27"/>
      <c r="D1660" s="27"/>
      <c r="E1660" s="27"/>
      <c r="F1660" s="27"/>
      <c r="G1660" s="27"/>
      <c r="H1660" s="28"/>
      <c r="I1660" s="27"/>
      <c r="J1660" s="29"/>
      <c r="K1660" s="30"/>
      <c r="L1660" s="31"/>
      <c r="M1660" s="32"/>
      <c r="N1660" s="30"/>
      <c r="O1660" s="30"/>
      <c r="P1660" s="39"/>
      <c r="Q1660" s="34"/>
      <c r="R1660" s="35"/>
      <c r="S1660" s="36"/>
      <c r="T1660" s="35"/>
      <c r="U1660" s="36"/>
      <c r="V1660" s="37"/>
    </row>
    <row r="1661" spans="1:22" x14ac:dyDescent="0.25">
      <c r="A1661" s="27"/>
      <c r="B1661" s="27"/>
      <c r="C1661" s="27"/>
      <c r="D1661" s="27"/>
      <c r="E1661" s="27"/>
      <c r="F1661" s="27"/>
      <c r="G1661" s="27"/>
      <c r="H1661" s="28"/>
      <c r="I1661" s="27"/>
      <c r="J1661" s="29"/>
      <c r="K1661" s="30"/>
      <c r="L1661" s="31"/>
      <c r="M1661" s="32"/>
      <c r="N1661" s="30"/>
      <c r="O1661" s="30"/>
      <c r="P1661" s="39"/>
      <c r="Q1661" s="34"/>
      <c r="R1661" s="35"/>
      <c r="S1661" s="36"/>
      <c r="T1661" s="35"/>
      <c r="U1661" s="36"/>
      <c r="V1661" s="37"/>
    </row>
    <row r="1662" spans="1:22" x14ac:dyDescent="0.25">
      <c r="A1662" s="27"/>
      <c r="B1662" s="27"/>
      <c r="C1662" s="27"/>
      <c r="D1662" s="27"/>
      <c r="E1662" s="27"/>
      <c r="F1662" s="27"/>
      <c r="G1662" s="27"/>
      <c r="H1662" s="28"/>
      <c r="I1662" s="27"/>
      <c r="J1662" s="29"/>
      <c r="K1662" s="30"/>
      <c r="L1662" s="31"/>
      <c r="M1662" s="32"/>
      <c r="N1662" s="30"/>
      <c r="O1662" s="30"/>
      <c r="P1662" s="39"/>
      <c r="Q1662" s="34"/>
      <c r="R1662" s="35"/>
      <c r="S1662" s="36"/>
      <c r="T1662" s="35"/>
      <c r="U1662" s="36"/>
      <c r="V1662" s="37"/>
    </row>
    <row r="1663" spans="1:22" x14ac:dyDescent="0.25">
      <c r="A1663" s="27"/>
      <c r="B1663" s="27"/>
      <c r="C1663" s="27"/>
      <c r="D1663" s="27"/>
      <c r="E1663" s="27"/>
      <c r="F1663" s="27"/>
      <c r="G1663" s="27"/>
      <c r="H1663" s="28"/>
      <c r="I1663" s="27"/>
      <c r="J1663" s="29"/>
      <c r="K1663" s="30"/>
      <c r="L1663" s="31"/>
      <c r="M1663" s="32"/>
      <c r="N1663" s="30"/>
      <c r="O1663" s="30"/>
      <c r="P1663" s="39"/>
      <c r="Q1663" s="34"/>
      <c r="R1663" s="35"/>
      <c r="S1663" s="36"/>
      <c r="T1663" s="35"/>
      <c r="U1663" s="36"/>
      <c r="V1663" s="37"/>
    </row>
    <row r="1664" spans="1:22" x14ac:dyDescent="0.25">
      <c r="A1664" s="27"/>
      <c r="B1664" s="27"/>
      <c r="C1664" s="27"/>
      <c r="D1664" s="27"/>
      <c r="E1664" s="27"/>
      <c r="F1664" s="27"/>
      <c r="G1664" s="27"/>
      <c r="H1664" s="28"/>
      <c r="I1664" s="27"/>
      <c r="J1664" s="29"/>
      <c r="K1664" s="30"/>
      <c r="L1664" s="31"/>
      <c r="M1664" s="32"/>
      <c r="N1664" s="30"/>
      <c r="O1664" s="30"/>
      <c r="P1664" s="39"/>
      <c r="Q1664" s="34"/>
      <c r="R1664" s="35"/>
      <c r="S1664" s="36"/>
      <c r="T1664" s="35"/>
      <c r="U1664" s="36"/>
      <c r="V1664" s="37"/>
    </row>
    <row r="1665" spans="1:22" x14ac:dyDescent="0.25">
      <c r="A1665" s="27"/>
      <c r="B1665" s="27"/>
      <c r="C1665" s="27"/>
      <c r="D1665" s="27"/>
      <c r="E1665" s="27"/>
      <c r="F1665" s="27"/>
      <c r="G1665" s="27"/>
      <c r="H1665" s="28"/>
      <c r="I1665" s="27"/>
      <c r="J1665" s="29"/>
      <c r="K1665" s="30"/>
      <c r="L1665" s="31"/>
      <c r="M1665" s="32"/>
      <c r="N1665" s="30"/>
      <c r="O1665" s="30"/>
      <c r="P1665" s="39"/>
      <c r="Q1665" s="34"/>
      <c r="R1665" s="35"/>
      <c r="S1665" s="36"/>
      <c r="T1665" s="35"/>
      <c r="U1665" s="36"/>
      <c r="V1665" s="37"/>
    </row>
    <row r="1666" spans="1:22" x14ac:dyDescent="0.25">
      <c r="A1666" s="27"/>
      <c r="B1666" s="27"/>
      <c r="C1666" s="27"/>
      <c r="D1666" s="27"/>
      <c r="E1666" s="27"/>
      <c r="F1666" s="27"/>
      <c r="G1666" s="27"/>
      <c r="H1666" s="28"/>
      <c r="I1666" s="27"/>
      <c r="J1666" s="29"/>
      <c r="K1666" s="30"/>
      <c r="L1666" s="31"/>
      <c r="M1666" s="32"/>
      <c r="N1666" s="30"/>
      <c r="O1666" s="30"/>
      <c r="P1666" s="39"/>
      <c r="Q1666" s="34"/>
      <c r="R1666" s="35"/>
      <c r="S1666" s="36"/>
      <c r="T1666" s="35"/>
      <c r="U1666" s="36"/>
      <c r="V1666" s="37"/>
    </row>
    <row r="1667" spans="1:22" x14ac:dyDescent="0.25">
      <c r="A1667" s="27"/>
      <c r="B1667" s="27"/>
      <c r="C1667" s="27"/>
      <c r="D1667" s="27"/>
      <c r="E1667" s="27"/>
      <c r="F1667" s="27"/>
      <c r="G1667" s="27"/>
      <c r="H1667" s="28"/>
      <c r="I1667" s="27"/>
      <c r="J1667" s="29"/>
      <c r="K1667" s="30"/>
      <c r="L1667" s="31"/>
      <c r="M1667" s="32"/>
      <c r="N1667" s="30"/>
      <c r="O1667" s="30"/>
      <c r="P1667" s="39"/>
      <c r="Q1667" s="34"/>
      <c r="R1667" s="35"/>
      <c r="S1667" s="36"/>
      <c r="T1667" s="35"/>
      <c r="U1667" s="36"/>
      <c r="V1667" s="37"/>
    </row>
    <row r="1668" spans="1:22" x14ac:dyDescent="0.25">
      <c r="A1668" s="27"/>
      <c r="B1668" s="27"/>
      <c r="C1668" s="27"/>
      <c r="D1668" s="27"/>
      <c r="E1668" s="27"/>
      <c r="F1668" s="27"/>
      <c r="G1668" s="27"/>
      <c r="H1668" s="28"/>
      <c r="I1668" s="27"/>
      <c r="J1668" s="29"/>
      <c r="K1668" s="30"/>
      <c r="L1668" s="31"/>
      <c r="M1668" s="32"/>
      <c r="N1668" s="30"/>
      <c r="O1668" s="30"/>
      <c r="P1668" s="39"/>
      <c r="Q1668" s="34"/>
      <c r="R1668" s="35"/>
      <c r="S1668" s="36"/>
      <c r="T1668" s="35"/>
      <c r="U1668" s="36"/>
      <c r="V1668" s="37"/>
    </row>
    <row r="1669" spans="1:22" x14ac:dyDescent="0.25">
      <c r="A1669" s="27"/>
      <c r="B1669" s="27"/>
      <c r="C1669" s="27"/>
      <c r="D1669" s="27"/>
      <c r="E1669" s="27"/>
      <c r="F1669" s="27"/>
      <c r="G1669" s="27"/>
      <c r="H1669" s="28"/>
      <c r="I1669" s="27"/>
      <c r="J1669" s="29"/>
      <c r="K1669" s="30"/>
      <c r="L1669" s="31"/>
      <c r="M1669" s="32"/>
      <c r="N1669" s="30"/>
      <c r="O1669" s="30"/>
      <c r="P1669" s="39"/>
      <c r="Q1669" s="34"/>
      <c r="R1669" s="35"/>
      <c r="S1669" s="36"/>
      <c r="T1669" s="35"/>
      <c r="U1669" s="36"/>
      <c r="V1669" s="37"/>
    </row>
    <row r="1670" spans="1:22" x14ac:dyDescent="0.25">
      <c r="A1670" s="27"/>
      <c r="B1670" s="27"/>
      <c r="C1670" s="27"/>
      <c r="D1670" s="27"/>
      <c r="E1670" s="27"/>
      <c r="F1670" s="27"/>
      <c r="G1670" s="27"/>
      <c r="H1670" s="28"/>
      <c r="I1670" s="27"/>
      <c r="J1670" s="29"/>
      <c r="K1670" s="30"/>
      <c r="L1670" s="31"/>
      <c r="M1670" s="32"/>
      <c r="N1670" s="30"/>
      <c r="O1670" s="30"/>
      <c r="P1670" s="39"/>
      <c r="Q1670" s="34"/>
      <c r="R1670" s="35"/>
      <c r="S1670" s="36"/>
      <c r="T1670" s="35"/>
      <c r="U1670" s="36"/>
      <c r="V1670" s="37"/>
    </row>
    <row r="1671" spans="1:22" x14ac:dyDescent="0.25">
      <c r="A1671" s="27"/>
      <c r="B1671" s="27"/>
      <c r="C1671" s="27"/>
      <c r="D1671" s="27"/>
      <c r="E1671" s="27"/>
      <c r="F1671" s="27"/>
      <c r="G1671" s="27"/>
      <c r="H1671" s="28"/>
      <c r="I1671" s="27"/>
      <c r="J1671" s="29"/>
      <c r="K1671" s="30"/>
      <c r="L1671" s="31"/>
      <c r="M1671" s="32"/>
      <c r="N1671" s="30"/>
      <c r="O1671" s="30"/>
      <c r="P1671" s="39"/>
      <c r="Q1671" s="34"/>
      <c r="R1671" s="35"/>
      <c r="S1671" s="36"/>
      <c r="T1671" s="35"/>
      <c r="U1671" s="36"/>
      <c r="V1671" s="37"/>
    </row>
    <row r="1672" spans="1:22" x14ac:dyDescent="0.25">
      <c r="A1672" s="27"/>
      <c r="B1672" s="27"/>
      <c r="C1672" s="27"/>
      <c r="D1672" s="27"/>
      <c r="E1672" s="27"/>
      <c r="F1672" s="27"/>
      <c r="G1672" s="27"/>
      <c r="H1672" s="28"/>
      <c r="I1672" s="27"/>
      <c r="J1672" s="29"/>
      <c r="K1672" s="30"/>
      <c r="L1672" s="31"/>
      <c r="M1672" s="32"/>
      <c r="N1672" s="30"/>
      <c r="O1672" s="30"/>
      <c r="P1672" s="39"/>
      <c r="Q1672" s="34"/>
      <c r="R1672" s="35"/>
      <c r="S1672" s="36"/>
      <c r="T1672" s="35"/>
      <c r="U1672" s="36"/>
      <c r="V1672" s="37"/>
    </row>
    <row r="1673" spans="1:22" x14ac:dyDescent="0.25">
      <c r="A1673" s="27"/>
      <c r="B1673" s="27"/>
      <c r="C1673" s="27"/>
      <c r="D1673" s="27"/>
      <c r="E1673" s="27"/>
      <c r="F1673" s="27"/>
      <c r="G1673" s="27"/>
      <c r="H1673" s="28"/>
      <c r="I1673" s="27"/>
      <c r="J1673" s="29"/>
      <c r="K1673" s="30"/>
      <c r="L1673" s="31"/>
      <c r="M1673" s="32"/>
      <c r="N1673" s="30"/>
      <c r="O1673" s="30"/>
      <c r="P1673" s="39"/>
      <c r="Q1673" s="34"/>
      <c r="R1673" s="35"/>
      <c r="S1673" s="36"/>
      <c r="T1673" s="35"/>
      <c r="U1673" s="36"/>
      <c r="V1673" s="37"/>
    </row>
    <row r="1674" spans="1:22" x14ac:dyDescent="0.25">
      <c r="A1674" s="27"/>
      <c r="B1674" s="27"/>
      <c r="C1674" s="27"/>
      <c r="D1674" s="27"/>
      <c r="E1674" s="27"/>
      <c r="F1674" s="27"/>
      <c r="G1674" s="27"/>
      <c r="H1674" s="28"/>
      <c r="I1674" s="27"/>
      <c r="J1674" s="29"/>
      <c r="K1674" s="30"/>
      <c r="L1674" s="31"/>
      <c r="M1674" s="32"/>
      <c r="N1674" s="30"/>
      <c r="O1674" s="30"/>
      <c r="P1674" s="39"/>
      <c r="Q1674" s="34"/>
      <c r="R1674" s="35"/>
      <c r="S1674" s="36"/>
      <c r="T1674" s="35"/>
      <c r="U1674" s="36"/>
      <c r="V1674" s="37"/>
    </row>
    <row r="1675" spans="1:22" x14ac:dyDescent="0.25">
      <c r="A1675" s="27"/>
      <c r="B1675" s="27"/>
      <c r="C1675" s="27"/>
      <c r="D1675" s="27"/>
      <c r="E1675" s="27"/>
      <c r="F1675" s="27"/>
      <c r="G1675" s="27"/>
      <c r="H1675" s="28"/>
      <c r="I1675" s="27"/>
      <c r="J1675" s="29"/>
      <c r="K1675" s="30"/>
      <c r="L1675" s="31"/>
      <c r="M1675" s="32"/>
      <c r="N1675" s="30"/>
      <c r="O1675" s="30"/>
      <c r="P1675" s="39"/>
      <c r="Q1675" s="34"/>
      <c r="R1675" s="35"/>
      <c r="S1675" s="36"/>
      <c r="T1675" s="35"/>
      <c r="U1675" s="36"/>
      <c r="V1675" s="37"/>
    </row>
    <row r="1676" spans="1:22" x14ac:dyDescent="0.25">
      <c r="A1676" s="27"/>
      <c r="B1676" s="27"/>
      <c r="C1676" s="27"/>
      <c r="D1676" s="27"/>
      <c r="E1676" s="27"/>
      <c r="F1676" s="27"/>
      <c r="G1676" s="27"/>
      <c r="H1676" s="28"/>
      <c r="I1676" s="27"/>
      <c r="J1676" s="29"/>
      <c r="K1676" s="30"/>
      <c r="L1676" s="31"/>
      <c r="M1676" s="32"/>
      <c r="N1676" s="30"/>
      <c r="O1676" s="30"/>
      <c r="P1676" s="39"/>
      <c r="Q1676" s="34"/>
      <c r="R1676" s="35"/>
      <c r="S1676" s="36"/>
      <c r="T1676" s="35"/>
      <c r="U1676" s="36"/>
      <c r="V1676" s="37"/>
    </row>
    <row r="1677" spans="1:22" x14ac:dyDescent="0.25">
      <c r="A1677" s="27"/>
      <c r="B1677" s="27"/>
      <c r="C1677" s="27"/>
      <c r="D1677" s="27"/>
      <c r="E1677" s="27"/>
      <c r="F1677" s="27"/>
      <c r="G1677" s="27"/>
      <c r="H1677" s="28"/>
      <c r="I1677" s="27"/>
      <c r="J1677" s="29"/>
      <c r="K1677" s="30"/>
      <c r="L1677" s="31"/>
      <c r="M1677" s="32"/>
      <c r="N1677" s="30"/>
      <c r="O1677" s="30"/>
      <c r="P1677" s="39"/>
      <c r="Q1677" s="34"/>
      <c r="R1677" s="35"/>
      <c r="S1677" s="36"/>
      <c r="T1677" s="35"/>
      <c r="U1677" s="36"/>
      <c r="V1677" s="37"/>
    </row>
    <row r="1678" spans="1:22" x14ac:dyDescent="0.25">
      <c r="A1678" s="27"/>
      <c r="B1678" s="27"/>
      <c r="C1678" s="27"/>
      <c r="D1678" s="27"/>
      <c r="E1678" s="27"/>
      <c r="F1678" s="27"/>
      <c r="G1678" s="27"/>
      <c r="H1678" s="28"/>
      <c r="I1678" s="27"/>
      <c r="J1678" s="29"/>
      <c r="K1678" s="30"/>
      <c r="L1678" s="31"/>
      <c r="M1678" s="32"/>
      <c r="N1678" s="30"/>
      <c r="O1678" s="30"/>
      <c r="P1678" s="39"/>
      <c r="Q1678" s="34"/>
      <c r="R1678" s="35"/>
      <c r="S1678" s="36"/>
      <c r="T1678" s="35"/>
      <c r="U1678" s="36"/>
      <c r="V1678" s="37"/>
    </row>
    <row r="1679" spans="1:22" x14ac:dyDescent="0.25">
      <c r="A1679" s="27"/>
      <c r="B1679" s="27"/>
      <c r="C1679" s="27"/>
      <c r="D1679" s="27"/>
      <c r="E1679" s="27"/>
      <c r="F1679" s="27"/>
      <c r="G1679" s="27"/>
      <c r="H1679" s="28"/>
      <c r="I1679" s="27"/>
      <c r="J1679" s="29"/>
      <c r="K1679" s="30"/>
      <c r="L1679" s="31"/>
      <c r="M1679" s="32"/>
      <c r="N1679" s="30"/>
      <c r="O1679" s="30"/>
      <c r="P1679" s="39"/>
      <c r="Q1679" s="34"/>
      <c r="R1679" s="35"/>
      <c r="S1679" s="36"/>
      <c r="T1679" s="35"/>
      <c r="U1679" s="36"/>
      <c r="V1679" s="37"/>
    </row>
    <row r="1680" spans="1:22" x14ac:dyDescent="0.25">
      <c r="A1680" s="27"/>
      <c r="B1680" s="27"/>
      <c r="C1680" s="27"/>
      <c r="D1680" s="27"/>
      <c r="E1680" s="27"/>
      <c r="F1680" s="27"/>
      <c r="G1680" s="27"/>
      <c r="H1680" s="28"/>
      <c r="I1680" s="27"/>
      <c r="J1680" s="29"/>
      <c r="K1680" s="30"/>
      <c r="L1680" s="31"/>
      <c r="M1680" s="32"/>
      <c r="N1680" s="30"/>
      <c r="O1680" s="30"/>
      <c r="P1680" s="39"/>
      <c r="Q1680" s="34"/>
      <c r="R1680" s="35"/>
      <c r="S1680" s="36"/>
      <c r="T1680" s="35"/>
      <c r="U1680" s="36"/>
      <c r="V1680" s="37"/>
    </row>
    <row r="1681" spans="1:22" x14ac:dyDescent="0.25">
      <c r="A1681" s="27"/>
      <c r="B1681" s="27"/>
      <c r="C1681" s="27"/>
      <c r="D1681" s="27"/>
      <c r="E1681" s="27"/>
      <c r="F1681" s="27"/>
      <c r="G1681" s="27"/>
      <c r="H1681" s="28"/>
      <c r="I1681" s="27"/>
      <c r="J1681" s="29"/>
      <c r="K1681" s="30"/>
      <c r="L1681" s="31"/>
      <c r="M1681" s="32"/>
      <c r="N1681" s="30"/>
      <c r="O1681" s="30"/>
      <c r="P1681" s="39"/>
      <c r="Q1681" s="34"/>
      <c r="R1681" s="35"/>
      <c r="S1681" s="36"/>
      <c r="T1681" s="35"/>
      <c r="U1681" s="36"/>
      <c r="V1681" s="37"/>
    </row>
    <row r="1682" spans="1:22" x14ac:dyDescent="0.25">
      <c r="A1682" s="27"/>
      <c r="B1682" s="27"/>
      <c r="C1682" s="27"/>
      <c r="D1682" s="27"/>
      <c r="E1682" s="27"/>
      <c r="F1682" s="27"/>
      <c r="G1682" s="27"/>
      <c r="H1682" s="28"/>
      <c r="I1682" s="27"/>
      <c r="J1682" s="29"/>
      <c r="K1682" s="30"/>
      <c r="L1682" s="31"/>
      <c r="M1682" s="32"/>
      <c r="N1682" s="30"/>
      <c r="O1682" s="30"/>
      <c r="P1682" s="39"/>
      <c r="Q1682" s="34"/>
      <c r="R1682" s="35"/>
      <c r="S1682" s="36"/>
      <c r="T1682" s="35"/>
      <c r="U1682" s="36"/>
      <c r="V1682" s="37"/>
    </row>
    <row r="1683" spans="1:22" x14ac:dyDescent="0.25">
      <c r="A1683" s="27"/>
      <c r="B1683" s="27"/>
      <c r="C1683" s="27"/>
      <c r="D1683" s="27"/>
      <c r="E1683" s="27"/>
      <c r="F1683" s="27"/>
      <c r="G1683" s="27"/>
      <c r="H1683" s="28"/>
      <c r="I1683" s="27"/>
      <c r="J1683" s="29"/>
      <c r="K1683" s="30"/>
      <c r="L1683" s="31"/>
      <c r="M1683" s="32"/>
      <c r="N1683" s="30"/>
      <c r="O1683" s="30"/>
      <c r="P1683" s="39"/>
      <c r="Q1683" s="34"/>
      <c r="R1683" s="35"/>
      <c r="S1683" s="36"/>
      <c r="T1683" s="35"/>
      <c r="U1683" s="36"/>
      <c r="V1683" s="37"/>
    </row>
    <row r="1684" spans="1:22" x14ac:dyDescent="0.25">
      <c r="A1684" s="27"/>
      <c r="B1684" s="27"/>
      <c r="C1684" s="27"/>
      <c r="D1684" s="27"/>
      <c r="E1684" s="27"/>
      <c r="F1684" s="27"/>
      <c r="G1684" s="27"/>
      <c r="H1684" s="28"/>
      <c r="I1684" s="27"/>
      <c r="J1684" s="29"/>
      <c r="K1684" s="30"/>
      <c r="L1684" s="31"/>
      <c r="M1684" s="32"/>
      <c r="N1684" s="30"/>
      <c r="O1684" s="30"/>
      <c r="P1684" s="39"/>
      <c r="Q1684" s="34"/>
      <c r="R1684" s="35"/>
      <c r="S1684" s="36"/>
      <c r="T1684" s="35"/>
      <c r="U1684" s="36"/>
      <c r="V1684" s="37"/>
    </row>
    <row r="1685" spans="1:22" x14ac:dyDescent="0.25">
      <c r="A1685" s="27"/>
      <c r="B1685" s="27"/>
      <c r="C1685" s="27"/>
      <c r="D1685" s="27"/>
      <c r="E1685" s="27"/>
      <c r="F1685" s="27"/>
      <c r="G1685" s="27"/>
      <c r="H1685" s="28"/>
      <c r="I1685" s="27"/>
      <c r="J1685" s="29"/>
      <c r="K1685" s="30"/>
      <c r="L1685" s="31"/>
      <c r="M1685" s="32"/>
      <c r="N1685" s="30"/>
      <c r="O1685" s="30"/>
      <c r="P1685" s="39"/>
      <c r="Q1685" s="34"/>
      <c r="R1685" s="35"/>
      <c r="S1685" s="36"/>
      <c r="T1685" s="35"/>
      <c r="U1685" s="36"/>
      <c r="V1685" s="37"/>
    </row>
    <row r="1686" spans="1:22" x14ac:dyDescent="0.25">
      <c r="A1686" s="27"/>
      <c r="B1686" s="27"/>
      <c r="C1686" s="27"/>
      <c r="D1686" s="27"/>
      <c r="E1686" s="27"/>
      <c r="F1686" s="27"/>
      <c r="G1686" s="27"/>
      <c r="H1686" s="28"/>
      <c r="I1686" s="27"/>
      <c r="J1686" s="29"/>
      <c r="K1686" s="30"/>
      <c r="L1686" s="31"/>
      <c r="M1686" s="32"/>
      <c r="N1686" s="30"/>
      <c r="O1686" s="30"/>
      <c r="P1686" s="39"/>
      <c r="Q1686" s="34"/>
      <c r="R1686" s="35"/>
      <c r="S1686" s="36"/>
      <c r="T1686" s="35"/>
      <c r="U1686" s="36"/>
      <c r="V1686" s="37"/>
    </row>
    <row r="1687" spans="1:22" x14ac:dyDescent="0.25">
      <c r="A1687" s="27"/>
      <c r="B1687" s="27"/>
      <c r="C1687" s="27"/>
      <c r="D1687" s="27"/>
      <c r="E1687" s="27"/>
      <c r="F1687" s="27"/>
      <c r="G1687" s="27"/>
      <c r="H1687" s="28"/>
      <c r="I1687" s="27"/>
      <c r="J1687" s="29"/>
      <c r="K1687" s="30"/>
      <c r="L1687" s="31"/>
      <c r="M1687" s="32"/>
      <c r="N1687" s="30"/>
      <c r="O1687" s="30"/>
      <c r="P1687" s="39"/>
      <c r="Q1687" s="34"/>
      <c r="R1687" s="35"/>
      <c r="S1687" s="36"/>
      <c r="T1687" s="35"/>
      <c r="U1687" s="36"/>
      <c r="V1687" s="37"/>
    </row>
    <row r="1688" spans="1:22" x14ac:dyDescent="0.25">
      <c r="A1688" s="27"/>
      <c r="B1688" s="27"/>
      <c r="C1688" s="27"/>
      <c r="D1688" s="27"/>
      <c r="E1688" s="27"/>
      <c r="F1688" s="27"/>
      <c r="G1688" s="27"/>
      <c r="H1688" s="28"/>
      <c r="I1688" s="27"/>
      <c r="J1688" s="29"/>
      <c r="K1688" s="30"/>
      <c r="L1688" s="31"/>
      <c r="M1688" s="32"/>
      <c r="N1688" s="30"/>
      <c r="O1688" s="30"/>
      <c r="P1688" s="39"/>
      <c r="Q1688" s="34"/>
      <c r="R1688" s="35"/>
      <c r="S1688" s="36"/>
      <c r="T1688" s="35"/>
      <c r="U1688" s="36"/>
      <c r="V1688" s="37"/>
    </row>
    <row r="1689" spans="1:22" x14ac:dyDescent="0.25">
      <c r="A1689" s="27"/>
      <c r="B1689" s="27"/>
      <c r="C1689" s="27"/>
      <c r="D1689" s="27"/>
      <c r="E1689" s="27"/>
      <c r="F1689" s="27"/>
      <c r="G1689" s="27"/>
      <c r="H1689" s="28"/>
      <c r="I1689" s="27"/>
      <c r="J1689" s="29"/>
      <c r="K1689" s="30"/>
      <c r="L1689" s="31"/>
      <c r="M1689" s="32"/>
      <c r="N1689" s="30"/>
      <c r="O1689" s="30"/>
      <c r="P1689" s="39"/>
      <c r="Q1689" s="34"/>
      <c r="R1689" s="35"/>
      <c r="S1689" s="36"/>
      <c r="T1689" s="35"/>
      <c r="U1689" s="36"/>
      <c r="V1689" s="37"/>
    </row>
    <row r="1690" spans="1:22" x14ac:dyDescent="0.25">
      <c r="A1690" s="27"/>
      <c r="B1690" s="27"/>
      <c r="C1690" s="27"/>
      <c r="D1690" s="27"/>
      <c r="E1690" s="27"/>
      <c r="F1690" s="27"/>
      <c r="G1690" s="27"/>
      <c r="H1690" s="28"/>
      <c r="I1690" s="27"/>
      <c r="J1690" s="29"/>
      <c r="K1690" s="30"/>
      <c r="L1690" s="31"/>
      <c r="M1690" s="32"/>
      <c r="N1690" s="30"/>
      <c r="O1690" s="30"/>
      <c r="P1690" s="39"/>
      <c r="Q1690" s="34"/>
      <c r="R1690" s="35"/>
      <c r="S1690" s="36"/>
      <c r="T1690" s="35"/>
      <c r="U1690" s="36"/>
      <c r="V1690" s="37"/>
    </row>
    <row r="1691" spans="1:22" x14ac:dyDescent="0.25">
      <c r="A1691" s="27"/>
      <c r="B1691" s="27"/>
      <c r="C1691" s="27"/>
      <c r="D1691" s="27"/>
      <c r="E1691" s="27"/>
      <c r="F1691" s="27"/>
      <c r="G1691" s="27"/>
      <c r="H1691" s="28"/>
      <c r="I1691" s="27"/>
      <c r="J1691" s="29"/>
      <c r="K1691" s="30"/>
      <c r="L1691" s="31"/>
      <c r="M1691" s="32"/>
      <c r="N1691" s="30"/>
      <c r="O1691" s="30"/>
      <c r="P1691" s="39"/>
      <c r="Q1691" s="34"/>
      <c r="R1691" s="35"/>
      <c r="S1691" s="36"/>
      <c r="T1691" s="35"/>
      <c r="U1691" s="36"/>
      <c r="V1691" s="37"/>
    </row>
    <row r="1692" spans="1:22" x14ac:dyDescent="0.25">
      <c r="A1692" s="27"/>
      <c r="B1692" s="27"/>
      <c r="C1692" s="27"/>
      <c r="D1692" s="27"/>
      <c r="E1692" s="27"/>
      <c r="F1692" s="27"/>
      <c r="G1692" s="27"/>
      <c r="H1692" s="28"/>
      <c r="I1692" s="27"/>
      <c r="J1692" s="29"/>
      <c r="K1692" s="30"/>
      <c r="L1692" s="31"/>
      <c r="M1692" s="32"/>
      <c r="N1692" s="30"/>
      <c r="O1692" s="30"/>
      <c r="P1692" s="39"/>
      <c r="Q1692" s="34"/>
      <c r="R1692" s="35"/>
      <c r="S1692" s="36"/>
      <c r="T1692" s="35"/>
      <c r="U1692" s="36"/>
      <c r="V1692" s="37"/>
    </row>
    <row r="1693" spans="1:22" x14ac:dyDescent="0.25">
      <c r="A1693" s="27"/>
      <c r="B1693" s="27"/>
      <c r="C1693" s="27"/>
      <c r="D1693" s="27"/>
      <c r="E1693" s="27"/>
      <c r="F1693" s="27"/>
      <c r="G1693" s="27"/>
      <c r="H1693" s="28"/>
      <c r="I1693" s="27"/>
      <c r="J1693" s="29"/>
      <c r="K1693" s="30"/>
      <c r="L1693" s="31"/>
      <c r="M1693" s="32"/>
      <c r="N1693" s="30"/>
      <c r="O1693" s="30"/>
      <c r="P1693" s="39"/>
      <c r="Q1693" s="34"/>
      <c r="R1693" s="35"/>
      <c r="S1693" s="36"/>
      <c r="T1693" s="35"/>
      <c r="U1693" s="36"/>
      <c r="V1693" s="37"/>
    </row>
    <row r="1694" spans="1:22" x14ac:dyDescent="0.25">
      <c r="A1694" s="27"/>
      <c r="B1694" s="27"/>
      <c r="C1694" s="27"/>
      <c r="D1694" s="27"/>
      <c r="E1694" s="27"/>
      <c r="F1694" s="27"/>
      <c r="G1694" s="27"/>
      <c r="H1694" s="28"/>
      <c r="I1694" s="27"/>
      <c r="J1694" s="29"/>
      <c r="K1694" s="30"/>
      <c r="L1694" s="31"/>
      <c r="M1694" s="32"/>
      <c r="N1694" s="30"/>
      <c r="O1694" s="30"/>
      <c r="P1694" s="39"/>
      <c r="Q1694" s="34"/>
      <c r="R1694" s="35"/>
      <c r="S1694" s="36"/>
      <c r="T1694" s="35"/>
      <c r="U1694" s="36"/>
      <c r="V1694" s="37"/>
    </row>
    <row r="1695" spans="1:22" x14ac:dyDescent="0.25">
      <c r="A1695" s="27"/>
      <c r="B1695" s="27"/>
      <c r="C1695" s="27"/>
      <c r="D1695" s="27"/>
      <c r="E1695" s="27"/>
      <c r="F1695" s="27"/>
      <c r="G1695" s="27"/>
      <c r="H1695" s="28"/>
      <c r="I1695" s="27"/>
      <c r="J1695" s="29"/>
      <c r="K1695" s="30"/>
      <c r="L1695" s="31"/>
      <c r="M1695" s="32"/>
      <c r="N1695" s="30"/>
      <c r="O1695" s="30"/>
      <c r="P1695" s="39"/>
      <c r="Q1695" s="34"/>
      <c r="R1695" s="35"/>
      <c r="S1695" s="36"/>
      <c r="T1695" s="35"/>
      <c r="U1695" s="36"/>
      <c r="V1695" s="37"/>
    </row>
    <row r="1696" spans="1:22" x14ac:dyDescent="0.25">
      <c r="A1696" s="27"/>
      <c r="B1696" s="27"/>
      <c r="C1696" s="27"/>
      <c r="D1696" s="27"/>
      <c r="E1696" s="27"/>
      <c r="F1696" s="27"/>
      <c r="G1696" s="27"/>
      <c r="H1696" s="28"/>
      <c r="I1696" s="27"/>
      <c r="J1696" s="29"/>
      <c r="K1696" s="30"/>
      <c r="L1696" s="31"/>
      <c r="M1696" s="32"/>
      <c r="N1696" s="30"/>
      <c r="O1696" s="30"/>
      <c r="P1696" s="39"/>
      <c r="Q1696" s="34"/>
      <c r="R1696" s="35"/>
      <c r="S1696" s="36"/>
      <c r="T1696" s="35"/>
      <c r="U1696" s="36"/>
      <c r="V1696" s="37"/>
    </row>
    <row r="1697" spans="1:22" x14ac:dyDescent="0.25">
      <c r="A1697" s="27"/>
      <c r="B1697" s="27"/>
      <c r="C1697" s="27"/>
      <c r="D1697" s="27"/>
      <c r="E1697" s="27"/>
      <c r="F1697" s="27"/>
      <c r="G1697" s="27"/>
      <c r="H1697" s="28"/>
      <c r="I1697" s="27"/>
      <c r="J1697" s="29"/>
      <c r="K1697" s="30"/>
      <c r="L1697" s="31"/>
      <c r="M1697" s="32"/>
      <c r="N1697" s="30"/>
      <c r="O1697" s="30"/>
      <c r="P1697" s="39"/>
      <c r="Q1697" s="34"/>
      <c r="R1697" s="35"/>
      <c r="S1697" s="36"/>
      <c r="T1697" s="35"/>
      <c r="U1697" s="36"/>
      <c r="V1697" s="37"/>
    </row>
    <row r="1698" spans="1:22" x14ac:dyDescent="0.25">
      <c r="A1698" s="27"/>
      <c r="B1698" s="27"/>
      <c r="C1698" s="27"/>
      <c r="D1698" s="27"/>
      <c r="E1698" s="27"/>
      <c r="F1698" s="27"/>
      <c r="G1698" s="27"/>
      <c r="H1698" s="28"/>
      <c r="I1698" s="27"/>
      <c r="J1698" s="29"/>
      <c r="K1698" s="30"/>
      <c r="L1698" s="31"/>
      <c r="M1698" s="32"/>
      <c r="N1698" s="30"/>
      <c r="O1698" s="30"/>
      <c r="P1698" s="39"/>
      <c r="Q1698" s="34"/>
      <c r="R1698" s="35"/>
      <c r="S1698" s="36"/>
      <c r="T1698" s="35"/>
      <c r="U1698" s="36"/>
      <c r="V1698" s="37"/>
    </row>
    <row r="1699" spans="1:22" x14ac:dyDescent="0.25">
      <c r="A1699" s="27"/>
      <c r="B1699" s="27"/>
      <c r="C1699" s="27"/>
      <c r="D1699" s="27"/>
      <c r="E1699" s="27"/>
      <c r="F1699" s="27"/>
      <c r="G1699" s="27"/>
      <c r="H1699" s="28"/>
      <c r="I1699" s="27"/>
      <c r="J1699" s="29"/>
      <c r="K1699" s="30"/>
      <c r="L1699" s="31"/>
      <c r="M1699" s="32"/>
      <c r="N1699" s="30"/>
      <c r="O1699" s="30"/>
      <c r="P1699" s="39"/>
      <c r="Q1699" s="34"/>
      <c r="R1699" s="35"/>
      <c r="S1699" s="36"/>
      <c r="T1699" s="35"/>
      <c r="U1699" s="36"/>
      <c r="V1699" s="37"/>
    </row>
    <row r="1700" spans="1:22" x14ac:dyDescent="0.25">
      <c r="A1700" s="27"/>
      <c r="B1700" s="27"/>
      <c r="C1700" s="27"/>
      <c r="D1700" s="27"/>
      <c r="E1700" s="27"/>
      <c r="F1700" s="27"/>
      <c r="G1700" s="27"/>
      <c r="H1700" s="28"/>
      <c r="I1700" s="27"/>
      <c r="J1700" s="29"/>
      <c r="K1700" s="30"/>
      <c r="L1700" s="31"/>
      <c r="M1700" s="32"/>
      <c r="N1700" s="30"/>
      <c r="O1700" s="30"/>
      <c r="P1700" s="39"/>
      <c r="Q1700" s="34"/>
      <c r="R1700" s="35"/>
      <c r="S1700" s="36"/>
      <c r="T1700" s="35"/>
      <c r="U1700" s="36"/>
      <c r="V1700" s="37"/>
    </row>
    <row r="1701" spans="1:22" x14ac:dyDescent="0.25">
      <c r="A1701" s="27"/>
      <c r="B1701" s="27"/>
      <c r="C1701" s="27"/>
      <c r="D1701" s="27"/>
      <c r="E1701" s="27"/>
      <c r="F1701" s="27"/>
      <c r="G1701" s="27"/>
      <c r="H1701" s="28"/>
      <c r="I1701" s="27"/>
      <c r="J1701" s="29"/>
      <c r="K1701" s="30"/>
      <c r="L1701" s="31"/>
      <c r="M1701" s="32"/>
      <c r="N1701" s="30"/>
      <c r="O1701" s="30"/>
      <c r="P1701" s="39"/>
      <c r="Q1701" s="34"/>
      <c r="R1701" s="35"/>
      <c r="S1701" s="36"/>
      <c r="T1701" s="35"/>
      <c r="U1701" s="36"/>
      <c r="V1701" s="37"/>
    </row>
    <row r="1702" spans="1:22" x14ac:dyDescent="0.25">
      <c r="A1702" s="27"/>
      <c r="B1702" s="27"/>
      <c r="C1702" s="27"/>
      <c r="D1702" s="27"/>
      <c r="E1702" s="27"/>
      <c r="F1702" s="27"/>
      <c r="G1702" s="27"/>
      <c r="H1702" s="28"/>
      <c r="I1702" s="27"/>
      <c r="J1702" s="29"/>
      <c r="K1702" s="30"/>
      <c r="L1702" s="31"/>
      <c r="M1702" s="32"/>
      <c r="N1702" s="30"/>
      <c r="O1702" s="30"/>
      <c r="P1702" s="39"/>
      <c r="Q1702" s="34"/>
      <c r="R1702" s="35"/>
      <c r="S1702" s="36"/>
      <c r="T1702" s="35"/>
      <c r="U1702" s="36"/>
      <c r="V1702" s="37"/>
    </row>
    <row r="1703" spans="1:22" x14ac:dyDescent="0.25">
      <c r="A1703" s="27"/>
      <c r="B1703" s="27"/>
      <c r="C1703" s="27"/>
      <c r="D1703" s="27"/>
      <c r="E1703" s="27"/>
      <c r="F1703" s="27"/>
      <c r="G1703" s="27"/>
      <c r="H1703" s="28"/>
      <c r="I1703" s="27"/>
      <c r="J1703" s="29"/>
      <c r="K1703" s="30"/>
      <c r="L1703" s="31"/>
      <c r="M1703" s="32"/>
      <c r="N1703" s="30"/>
      <c r="O1703" s="30"/>
      <c r="P1703" s="39"/>
      <c r="Q1703" s="34"/>
      <c r="R1703" s="35"/>
      <c r="S1703" s="36"/>
      <c r="T1703" s="35"/>
      <c r="U1703" s="36"/>
      <c r="V1703" s="37"/>
    </row>
    <row r="1704" spans="1:22" x14ac:dyDescent="0.25">
      <c r="A1704" s="27"/>
      <c r="B1704" s="27"/>
      <c r="C1704" s="27"/>
      <c r="D1704" s="27"/>
      <c r="E1704" s="27"/>
      <c r="F1704" s="27"/>
      <c r="G1704" s="27"/>
      <c r="H1704" s="28"/>
      <c r="I1704" s="27"/>
      <c r="J1704" s="29"/>
      <c r="K1704" s="30"/>
      <c r="L1704" s="31"/>
      <c r="M1704" s="32"/>
      <c r="N1704" s="30"/>
      <c r="O1704" s="30"/>
      <c r="P1704" s="39"/>
      <c r="Q1704" s="34"/>
      <c r="R1704" s="35"/>
      <c r="S1704" s="36"/>
      <c r="T1704" s="35"/>
      <c r="U1704" s="36"/>
      <c r="V1704" s="37"/>
    </row>
    <row r="1705" spans="1:22" x14ac:dyDescent="0.25">
      <c r="A1705" s="27"/>
      <c r="B1705" s="27"/>
      <c r="C1705" s="27"/>
      <c r="D1705" s="27"/>
      <c r="E1705" s="27"/>
      <c r="F1705" s="27"/>
      <c r="G1705" s="27"/>
      <c r="H1705" s="28"/>
      <c r="I1705" s="27"/>
      <c r="J1705" s="29"/>
      <c r="K1705" s="30"/>
      <c r="L1705" s="31"/>
      <c r="M1705" s="32"/>
      <c r="N1705" s="30"/>
      <c r="O1705" s="30"/>
      <c r="P1705" s="39"/>
      <c r="Q1705" s="34"/>
      <c r="R1705" s="35"/>
      <c r="S1705" s="36"/>
      <c r="T1705" s="35"/>
      <c r="U1705" s="36"/>
      <c r="V1705" s="37"/>
    </row>
    <row r="1706" spans="1:22" x14ac:dyDescent="0.25">
      <c r="A1706" s="27"/>
      <c r="B1706" s="27"/>
      <c r="C1706" s="27"/>
      <c r="D1706" s="27"/>
      <c r="E1706" s="27"/>
      <c r="F1706" s="27"/>
      <c r="G1706" s="27"/>
      <c r="H1706" s="28"/>
      <c r="I1706" s="27"/>
      <c r="J1706" s="29"/>
      <c r="K1706" s="30"/>
      <c r="L1706" s="31"/>
      <c r="M1706" s="32"/>
      <c r="N1706" s="30"/>
      <c r="O1706" s="30"/>
      <c r="P1706" s="39"/>
      <c r="Q1706" s="34"/>
      <c r="R1706" s="35"/>
      <c r="S1706" s="36"/>
      <c r="T1706" s="35"/>
      <c r="U1706" s="36"/>
      <c r="V1706" s="37"/>
    </row>
    <row r="1707" spans="1:22" x14ac:dyDescent="0.25">
      <c r="A1707" s="27"/>
      <c r="B1707" s="27"/>
      <c r="C1707" s="27"/>
      <c r="D1707" s="27"/>
      <c r="E1707" s="27"/>
      <c r="F1707" s="27"/>
      <c r="G1707" s="27"/>
      <c r="H1707" s="28"/>
      <c r="I1707" s="27"/>
      <c r="J1707" s="29"/>
      <c r="K1707" s="30"/>
      <c r="L1707" s="31"/>
      <c r="M1707" s="32"/>
      <c r="N1707" s="30"/>
      <c r="O1707" s="30"/>
      <c r="P1707" s="39"/>
      <c r="Q1707" s="34"/>
      <c r="R1707" s="35"/>
      <c r="S1707" s="36"/>
      <c r="T1707" s="35"/>
      <c r="U1707" s="36"/>
      <c r="V1707" s="37"/>
    </row>
    <row r="1708" spans="1:22" x14ac:dyDescent="0.25">
      <c r="A1708" s="27"/>
      <c r="B1708" s="27"/>
      <c r="C1708" s="27"/>
      <c r="D1708" s="27"/>
      <c r="E1708" s="27"/>
      <c r="F1708" s="27"/>
      <c r="G1708" s="27"/>
      <c r="H1708" s="28"/>
      <c r="I1708" s="27"/>
      <c r="J1708" s="29"/>
      <c r="K1708" s="30"/>
      <c r="L1708" s="31"/>
      <c r="M1708" s="32"/>
      <c r="N1708" s="30"/>
      <c r="O1708" s="30"/>
      <c r="P1708" s="39"/>
      <c r="Q1708" s="34"/>
      <c r="R1708" s="35"/>
      <c r="S1708" s="36"/>
      <c r="T1708" s="35"/>
      <c r="U1708" s="36"/>
      <c r="V1708" s="37"/>
    </row>
    <row r="1709" spans="1:22" x14ac:dyDescent="0.25">
      <c r="A1709" s="27"/>
      <c r="B1709" s="27"/>
      <c r="C1709" s="27"/>
      <c r="D1709" s="27"/>
      <c r="E1709" s="27"/>
      <c r="F1709" s="27"/>
      <c r="G1709" s="27"/>
      <c r="H1709" s="28"/>
      <c r="I1709" s="27"/>
      <c r="J1709" s="29"/>
      <c r="K1709" s="30"/>
      <c r="L1709" s="31"/>
      <c r="M1709" s="32"/>
      <c r="N1709" s="30"/>
      <c r="O1709" s="30"/>
      <c r="P1709" s="39"/>
      <c r="Q1709" s="34"/>
      <c r="R1709" s="35"/>
      <c r="S1709" s="36"/>
      <c r="T1709" s="35"/>
      <c r="U1709" s="36"/>
      <c r="V1709" s="37"/>
    </row>
    <row r="1710" spans="1:22" x14ac:dyDescent="0.25">
      <c r="A1710" s="27"/>
      <c r="B1710" s="27"/>
      <c r="C1710" s="27"/>
      <c r="D1710" s="27"/>
      <c r="E1710" s="27"/>
      <c r="F1710" s="27"/>
      <c r="G1710" s="27"/>
      <c r="H1710" s="28"/>
      <c r="I1710" s="27"/>
      <c r="J1710" s="29"/>
      <c r="K1710" s="30"/>
      <c r="L1710" s="31"/>
      <c r="M1710" s="32"/>
      <c r="N1710" s="30"/>
      <c r="O1710" s="30"/>
      <c r="P1710" s="39"/>
      <c r="Q1710" s="34"/>
      <c r="R1710" s="35"/>
      <c r="S1710" s="36"/>
      <c r="T1710" s="35"/>
      <c r="U1710" s="36"/>
      <c r="V1710" s="37"/>
    </row>
    <row r="1711" spans="1:22" x14ac:dyDescent="0.25">
      <c r="A1711" s="27"/>
      <c r="B1711" s="27"/>
      <c r="C1711" s="27"/>
      <c r="D1711" s="27"/>
      <c r="E1711" s="27"/>
      <c r="F1711" s="27"/>
      <c r="G1711" s="27"/>
      <c r="H1711" s="28"/>
      <c r="I1711" s="27"/>
      <c r="J1711" s="29"/>
      <c r="K1711" s="30"/>
      <c r="L1711" s="31"/>
      <c r="M1711" s="32"/>
      <c r="N1711" s="30"/>
      <c r="O1711" s="30"/>
      <c r="P1711" s="39"/>
      <c r="Q1711" s="34"/>
      <c r="R1711" s="35"/>
      <c r="S1711" s="36"/>
      <c r="T1711" s="35"/>
      <c r="U1711" s="36"/>
      <c r="V1711" s="37"/>
    </row>
    <row r="1712" spans="1:22" x14ac:dyDescent="0.25">
      <c r="A1712" s="27"/>
      <c r="B1712" s="27"/>
      <c r="C1712" s="27"/>
      <c r="D1712" s="27"/>
      <c r="E1712" s="27"/>
      <c r="F1712" s="27"/>
      <c r="G1712" s="27"/>
      <c r="H1712" s="28"/>
      <c r="I1712" s="27"/>
      <c r="J1712" s="29"/>
      <c r="K1712" s="30"/>
      <c r="L1712" s="31"/>
      <c r="M1712" s="32"/>
      <c r="N1712" s="30"/>
      <c r="O1712" s="30"/>
      <c r="P1712" s="39"/>
      <c r="Q1712" s="34"/>
      <c r="R1712" s="35"/>
      <c r="S1712" s="36"/>
      <c r="T1712" s="35"/>
      <c r="U1712" s="36"/>
      <c r="V1712" s="37"/>
    </row>
    <row r="1713" spans="1:22" x14ac:dyDescent="0.25">
      <c r="A1713" s="27"/>
      <c r="B1713" s="27"/>
      <c r="C1713" s="27"/>
      <c r="D1713" s="27"/>
      <c r="E1713" s="27"/>
      <c r="F1713" s="27"/>
      <c r="G1713" s="27"/>
      <c r="H1713" s="28"/>
      <c r="I1713" s="27"/>
      <c r="J1713" s="29"/>
      <c r="K1713" s="30"/>
      <c r="L1713" s="31"/>
      <c r="M1713" s="32"/>
      <c r="N1713" s="30"/>
      <c r="O1713" s="30"/>
      <c r="P1713" s="39"/>
      <c r="Q1713" s="34"/>
      <c r="R1713" s="35"/>
      <c r="S1713" s="36"/>
      <c r="T1713" s="35"/>
      <c r="U1713" s="36"/>
      <c r="V1713" s="37"/>
    </row>
    <row r="1714" spans="1:22" x14ac:dyDescent="0.25">
      <c r="A1714" s="27"/>
      <c r="B1714" s="27"/>
      <c r="C1714" s="27"/>
      <c r="D1714" s="27"/>
      <c r="E1714" s="27"/>
      <c r="F1714" s="27"/>
      <c r="G1714" s="27"/>
      <c r="H1714" s="28"/>
      <c r="I1714" s="27"/>
      <c r="J1714" s="29"/>
      <c r="K1714" s="30"/>
      <c r="L1714" s="31"/>
      <c r="M1714" s="32"/>
      <c r="N1714" s="30"/>
      <c r="O1714" s="30"/>
      <c r="P1714" s="39"/>
      <c r="Q1714" s="34"/>
      <c r="R1714" s="35"/>
      <c r="S1714" s="36"/>
      <c r="T1714" s="35"/>
      <c r="U1714" s="36"/>
      <c r="V1714" s="37"/>
    </row>
    <row r="1715" spans="1:22" x14ac:dyDescent="0.25">
      <c r="A1715" s="27"/>
      <c r="B1715" s="27"/>
      <c r="C1715" s="27"/>
      <c r="D1715" s="27"/>
      <c r="E1715" s="27"/>
      <c r="F1715" s="27"/>
      <c r="G1715" s="27"/>
      <c r="H1715" s="28"/>
      <c r="I1715" s="27"/>
      <c r="J1715" s="29"/>
      <c r="K1715" s="30"/>
      <c r="L1715" s="31"/>
      <c r="M1715" s="32"/>
      <c r="N1715" s="30"/>
      <c r="O1715" s="30"/>
      <c r="P1715" s="39"/>
      <c r="Q1715" s="34"/>
      <c r="R1715" s="35"/>
      <c r="S1715" s="36"/>
      <c r="T1715" s="35"/>
      <c r="U1715" s="36"/>
      <c r="V1715" s="37"/>
    </row>
    <row r="1716" spans="1:22" x14ac:dyDescent="0.25">
      <c r="A1716" s="27"/>
      <c r="B1716" s="27"/>
      <c r="C1716" s="27"/>
      <c r="D1716" s="27"/>
      <c r="E1716" s="27"/>
      <c r="F1716" s="27"/>
      <c r="G1716" s="27"/>
      <c r="H1716" s="28"/>
      <c r="I1716" s="27"/>
      <c r="J1716" s="29"/>
      <c r="K1716" s="30"/>
      <c r="L1716" s="31"/>
      <c r="M1716" s="32"/>
      <c r="N1716" s="30"/>
      <c r="O1716" s="30"/>
      <c r="P1716" s="39"/>
      <c r="Q1716" s="34"/>
      <c r="R1716" s="35"/>
      <c r="S1716" s="36"/>
      <c r="T1716" s="35"/>
      <c r="U1716" s="36"/>
      <c r="V1716" s="37"/>
    </row>
    <row r="1717" spans="1:22" x14ac:dyDescent="0.25">
      <c r="A1717" s="27"/>
      <c r="B1717" s="27"/>
      <c r="C1717" s="27"/>
      <c r="D1717" s="27"/>
      <c r="E1717" s="27"/>
      <c r="F1717" s="27"/>
      <c r="G1717" s="27"/>
      <c r="H1717" s="28"/>
      <c r="I1717" s="27"/>
      <c r="J1717" s="29"/>
      <c r="K1717" s="30"/>
      <c r="L1717" s="31"/>
      <c r="M1717" s="32"/>
      <c r="N1717" s="30"/>
      <c r="O1717" s="30"/>
      <c r="P1717" s="39"/>
      <c r="Q1717" s="34"/>
      <c r="R1717" s="35"/>
      <c r="S1717" s="36"/>
      <c r="T1717" s="35"/>
      <c r="U1717" s="36"/>
      <c r="V1717" s="37"/>
    </row>
    <row r="1718" spans="1:22" x14ac:dyDescent="0.25">
      <c r="A1718" s="27"/>
      <c r="B1718" s="27"/>
      <c r="C1718" s="27"/>
      <c r="D1718" s="27"/>
      <c r="E1718" s="27"/>
      <c r="F1718" s="27"/>
      <c r="G1718" s="27"/>
      <c r="H1718" s="28"/>
      <c r="I1718" s="27"/>
      <c r="J1718" s="29"/>
      <c r="K1718" s="30"/>
      <c r="L1718" s="31"/>
      <c r="M1718" s="32"/>
      <c r="N1718" s="30"/>
      <c r="O1718" s="30"/>
      <c r="P1718" s="39"/>
      <c r="Q1718" s="34"/>
      <c r="R1718" s="35"/>
      <c r="S1718" s="36"/>
      <c r="T1718" s="35"/>
      <c r="U1718" s="36"/>
      <c r="V1718" s="37"/>
    </row>
    <row r="1719" spans="1:22" x14ac:dyDescent="0.25">
      <c r="A1719" s="27"/>
      <c r="B1719" s="27"/>
      <c r="C1719" s="27"/>
      <c r="D1719" s="27"/>
      <c r="E1719" s="27"/>
      <c r="F1719" s="27"/>
      <c r="G1719" s="27"/>
      <c r="H1719" s="28"/>
      <c r="I1719" s="27"/>
      <c r="J1719" s="29"/>
      <c r="K1719" s="30"/>
      <c r="L1719" s="31"/>
      <c r="M1719" s="32"/>
      <c r="N1719" s="30"/>
      <c r="O1719" s="30"/>
      <c r="P1719" s="39"/>
      <c r="Q1719" s="34"/>
      <c r="R1719" s="35"/>
      <c r="S1719" s="36"/>
      <c r="T1719" s="35"/>
      <c r="U1719" s="36"/>
      <c r="V1719" s="37"/>
    </row>
    <row r="1720" spans="1:22" x14ac:dyDescent="0.25">
      <c r="A1720" s="27"/>
      <c r="B1720" s="27"/>
      <c r="C1720" s="27"/>
      <c r="D1720" s="27"/>
      <c r="E1720" s="27"/>
      <c r="F1720" s="27"/>
      <c r="G1720" s="27"/>
      <c r="H1720" s="28"/>
      <c r="I1720" s="27"/>
      <c r="J1720" s="29"/>
      <c r="K1720" s="30"/>
      <c r="L1720" s="31"/>
      <c r="M1720" s="32"/>
      <c r="N1720" s="30"/>
      <c r="O1720" s="30"/>
      <c r="P1720" s="39"/>
      <c r="Q1720" s="34"/>
      <c r="R1720" s="35"/>
      <c r="S1720" s="36"/>
      <c r="T1720" s="35"/>
      <c r="U1720" s="36"/>
      <c r="V1720" s="37"/>
    </row>
    <row r="1721" spans="1:22" x14ac:dyDescent="0.25">
      <c r="A1721" s="27"/>
      <c r="B1721" s="27"/>
      <c r="C1721" s="27"/>
      <c r="D1721" s="27"/>
      <c r="E1721" s="27"/>
      <c r="F1721" s="27"/>
      <c r="G1721" s="27"/>
      <c r="H1721" s="28"/>
      <c r="I1721" s="27"/>
      <c r="J1721" s="29"/>
      <c r="K1721" s="30"/>
      <c r="L1721" s="31"/>
      <c r="M1721" s="32"/>
      <c r="N1721" s="30"/>
      <c r="O1721" s="30"/>
      <c r="P1721" s="39"/>
      <c r="Q1721" s="34"/>
      <c r="R1721" s="35"/>
      <c r="S1721" s="36"/>
      <c r="T1721" s="35"/>
      <c r="U1721" s="36"/>
      <c r="V1721" s="37"/>
    </row>
    <row r="1722" spans="1:22" x14ac:dyDescent="0.25">
      <c r="A1722" s="27"/>
      <c r="B1722" s="27"/>
      <c r="C1722" s="27"/>
      <c r="D1722" s="27"/>
      <c r="E1722" s="27"/>
      <c r="F1722" s="27"/>
      <c r="G1722" s="27"/>
      <c r="H1722" s="28"/>
      <c r="I1722" s="27"/>
      <c r="J1722" s="29"/>
      <c r="K1722" s="30"/>
      <c r="L1722" s="31"/>
      <c r="M1722" s="32"/>
      <c r="N1722" s="30"/>
      <c r="O1722" s="30"/>
      <c r="P1722" s="39"/>
      <c r="Q1722" s="34"/>
      <c r="R1722" s="35"/>
      <c r="S1722" s="36"/>
      <c r="T1722" s="35"/>
      <c r="U1722" s="36"/>
      <c r="V1722" s="37"/>
    </row>
    <row r="1723" spans="1:22" x14ac:dyDescent="0.25">
      <c r="A1723" s="27"/>
      <c r="B1723" s="27"/>
      <c r="C1723" s="27"/>
      <c r="D1723" s="27"/>
      <c r="E1723" s="27"/>
      <c r="F1723" s="27"/>
      <c r="G1723" s="27"/>
      <c r="H1723" s="28"/>
      <c r="I1723" s="27"/>
      <c r="J1723" s="29"/>
      <c r="K1723" s="30"/>
      <c r="L1723" s="31"/>
      <c r="M1723" s="32"/>
      <c r="N1723" s="30"/>
      <c r="O1723" s="30"/>
      <c r="P1723" s="39"/>
      <c r="Q1723" s="34"/>
      <c r="R1723" s="35"/>
      <c r="S1723" s="36"/>
      <c r="T1723" s="35"/>
      <c r="U1723" s="36"/>
      <c r="V1723" s="37"/>
    </row>
    <row r="1724" spans="1:22" x14ac:dyDescent="0.25">
      <c r="A1724" s="27"/>
      <c r="B1724" s="27"/>
      <c r="C1724" s="27"/>
      <c r="D1724" s="27"/>
      <c r="E1724" s="27"/>
      <c r="F1724" s="27"/>
      <c r="G1724" s="27"/>
      <c r="H1724" s="28"/>
      <c r="I1724" s="27"/>
      <c r="J1724" s="29"/>
      <c r="K1724" s="30"/>
      <c r="L1724" s="31"/>
      <c r="M1724" s="32"/>
      <c r="N1724" s="30"/>
      <c r="O1724" s="30"/>
      <c r="P1724" s="39"/>
      <c r="Q1724" s="34"/>
      <c r="R1724" s="35"/>
      <c r="S1724" s="36"/>
      <c r="T1724" s="35"/>
      <c r="U1724" s="36"/>
      <c r="V1724" s="37"/>
    </row>
    <row r="1725" spans="1:22" x14ac:dyDescent="0.25">
      <c r="A1725" s="27"/>
      <c r="B1725" s="27"/>
      <c r="C1725" s="27"/>
      <c r="D1725" s="27"/>
      <c r="E1725" s="27"/>
      <c r="F1725" s="27"/>
      <c r="G1725" s="27"/>
      <c r="H1725" s="28"/>
      <c r="I1725" s="27"/>
      <c r="J1725" s="29"/>
      <c r="K1725" s="30"/>
      <c r="L1725" s="31"/>
      <c r="M1725" s="32"/>
      <c r="N1725" s="30"/>
      <c r="O1725" s="30"/>
      <c r="P1725" s="39"/>
      <c r="Q1725" s="34"/>
      <c r="R1725" s="35"/>
      <c r="S1725" s="36"/>
      <c r="T1725" s="35"/>
      <c r="U1725" s="36"/>
      <c r="V1725" s="37"/>
    </row>
    <row r="1726" spans="1:22" x14ac:dyDescent="0.25">
      <c r="A1726" s="27"/>
      <c r="B1726" s="27"/>
      <c r="C1726" s="27"/>
      <c r="D1726" s="27"/>
      <c r="E1726" s="27"/>
      <c r="F1726" s="27"/>
      <c r="G1726" s="27"/>
      <c r="H1726" s="28"/>
      <c r="I1726" s="27"/>
      <c r="J1726" s="29"/>
      <c r="K1726" s="30"/>
      <c r="L1726" s="31"/>
      <c r="M1726" s="32"/>
      <c r="N1726" s="30"/>
      <c r="O1726" s="30"/>
      <c r="P1726" s="39"/>
      <c r="Q1726" s="34"/>
      <c r="R1726" s="35"/>
      <c r="S1726" s="36"/>
      <c r="T1726" s="35"/>
      <c r="U1726" s="36"/>
      <c r="V1726" s="37"/>
    </row>
    <row r="1727" spans="1:22" x14ac:dyDescent="0.25">
      <c r="A1727" s="27"/>
      <c r="B1727" s="27"/>
      <c r="C1727" s="27"/>
      <c r="D1727" s="27"/>
      <c r="E1727" s="27"/>
      <c r="F1727" s="27"/>
      <c r="G1727" s="27"/>
      <c r="H1727" s="28"/>
      <c r="I1727" s="27"/>
      <c r="J1727" s="29"/>
      <c r="K1727" s="30"/>
      <c r="L1727" s="31"/>
      <c r="M1727" s="32"/>
      <c r="N1727" s="30"/>
      <c r="O1727" s="30"/>
      <c r="P1727" s="39"/>
      <c r="Q1727" s="34"/>
      <c r="R1727" s="35"/>
      <c r="S1727" s="36"/>
      <c r="T1727" s="35"/>
      <c r="U1727" s="36"/>
      <c r="V1727" s="37"/>
    </row>
    <row r="1728" spans="1:22" x14ac:dyDescent="0.25">
      <c r="A1728" s="27"/>
      <c r="B1728" s="27"/>
      <c r="C1728" s="27"/>
      <c r="D1728" s="27"/>
      <c r="E1728" s="27"/>
      <c r="F1728" s="27"/>
      <c r="G1728" s="27"/>
      <c r="H1728" s="28"/>
      <c r="I1728" s="27"/>
      <c r="J1728" s="29"/>
      <c r="K1728" s="30"/>
      <c r="L1728" s="31"/>
      <c r="M1728" s="32"/>
      <c r="N1728" s="30"/>
      <c r="O1728" s="30"/>
      <c r="P1728" s="39"/>
      <c r="Q1728" s="34"/>
      <c r="R1728" s="35"/>
      <c r="S1728" s="36"/>
      <c r="T1728" s="35"/>
      <c r="U1728" s="36"/>
      <c r="V1728" s="37"/>
    </row>
    <row r="1729" spans="1:22" x14ac:dyDescent="0.25">
      <c r="A1729" s="27"/>
      <c r="B1729" s="27"/>
      <c r="C1729" s="27"/>
      <c r="D1729" s="27"/>
      <c r="E1729" s="27"/>
      <c r="F1729" s="27"/>
      <c r="G1729" s="27"/>
      <c r="H1729" s="28"/>
      <c r="I1729" s="27"/>
      <c r="J1729" s="29"/>
      <c r="K1729" s="30"/>
      <c r="L1729" s="31"/>
      <c r="M1729" s="32"/>
      <c r="N1729" s="30"/>
      <c r="O1729" s="30"/>
      <c r="P1729" s="39"/>
      <c r="Q1729" s="34"/>
      <c r="R1729" s="35"/>
      <c r="S1729" s="36"/>
      <c r="T1729" s="35"/>
      <c r="U1729" s="36"/>
      <c r="V1729" s="37"/>
    </row>
    <row r="1730" spans="1:22" x14ac:dyDescent="0.25">
      <c r="A1730" s="27"/>
      <c r="B1730" s="27"/>
      <c r="C1730" s="27"/>
      <c r="D1730" s="27"/>
      <c r="E1730" s="27"/>
      <c r="F1730" s="27"/>
      <c r="G1730" s="27"/>
      <c r="H1730" s="28"/>
      <c r="I1730" s="27"/>
      <c r="J1730" s="29"/>
      <c r="K1730" s="30"/>
      <c r="L1730" s="31"/>
      <c r="M1730" s="32"/>
      <c r="N1730" s="30"/>
      <c r="O1730" s="30"/>
      <c r="P1730" s="39"/>
      <c r="Q1730" s="34"/>
      <c r="R1730" s="35"/>
      <c r="S1730" s="36"/>
      <c r="T1730" s="35"/>
      <c r="U1730" s="36"/>
      <c r="V1730" s="37"/>
    </row>
    <row r="1731" spans="1:22" x14ac:dyDescent="0.25">
      <c r="A1731" s="27"/>
      <c r="B1731" s="27"/>
      <c r="C1731" s="27"/>
      <c r="D1731" s="27"/>
      <c r="E1731" s="27"/>
      <c r="F1731" s="27"/>
      <c r="G1731" s="27"/>
      <c r="H1731" s="28"/>
      <c r="I1731" s="27"/>
      <c r="J1731" s="29"/>
      <c r="K1731" s="30"/>
      <c r="L1731" s="31"/>
      <c r="M1731" s="32"/>
      <c r="N1731" s="30"/>
      <c r="O1731" s="30"/>
      <c r="P1731" s="39"/>
      <c r="Q1731" s="34"/>
      <c r="R1731" s="35"/>
      <c r="S1731" s="36"/>
      <c r="T1731" s="35"/>
      <c r="U1731" s="36"/>
      <c r="V1731" s="37"/>
    </row>
    <row r="1732" spans="1:22" x14ac:dyDescent="0.25">
      <c r="A1732" s="27"/>
      <c r="B1732" s="27"/>
      <c r="C1732" s="27"/>
      <c r="D1732" s="27"/>
      <c r="E1732" s="27"/>
      <c r="F1732" s="27"/>
      <c r="G1732" s="27"/>
      <c r="H1732" s="28"/>
      <c r="I1732" s="27"/>
      <c r="J1732" s="29"/>
      <c r="K1732" s="30"/>
      <c r="L1732" s="31"/>
      <c r="M1732" s="32"/>
      <c r="N1732" s="30"/>
      <c r="O1732" s="30"/>
      <c r="P1732" s="39"/>
      <c r="Q1732" s="34"/>
      <c r="R1732" s="35"/>
      <c r="S1732" s="36"/>
      <c r="T1732" s="35"/>
      <c r="U1732" s="36"/>
      <c r="V1732" s="37"/>
    </row>
    <row r="1733" spans="1:22" x14ac:dyDescent="0.25">
      <c r="A1733" s="27"/>
      <c r="B1733" s="27"/>
      <c r="C1733" s="27"/>
      <c r="D1733" s="27"/>
      <c r="E1733" s="27"/>
      <c r="F1733" s="27"/>
      <c r="G1733" s="27"/>
      <c r="H1733" s="28"/>
      <c r="I1733" s="27"/>
      <c r="J1733" s="29"/>
      <c r="K1733" s="30"/>
      <c r="L1733" s="31"/>
      <c r="M1733" s="32"/>
      <c r="N1733" s="30"/>
      <c r="O1733" s="30"/>
      <c r="P1733" s="39"/>
      <c r="Q1733" s="34"/>
      <c r="R1733" s="35"/>
      <c r="S1733" s="36"/>
      <c r="T1733" s="35"/>
      <c r="U1733" s="36"/>
      <c r="V1733" s="37"/>
    </row>
    <row r="1734" spans="1:22" x14ac:dyDescent="0.25">
      <c r="A1734" s="27"/>
      <c r="B1734" s="27"/>
      <c r="C1734" s="27"/>
      <c r="D1734" s="27"/>
      <c r="E1734" s="27"/>
      <c r="F1734" s="27"/>
      <c r="G1734" s="27"/>
      <c r="H1734" s="28"/>
      <c r="I1734" s="27"/>
      <c r="J1734" s="29"/>
      <c r="K1734" s="30"/>
      <c r="L1734" s="31"/>
      <c r="M1734" s="32"/>
      <c r="N1734" s="30"/>
      <c r="O1734" s="30"/>
      <c r="P1734" s="39"/>
      <c r="Q1734" s="34"/>
      <c r="R1734" s="35"/>
      <c r="S1734" s="36"/>
      <c r="T1734" s="35"/>
      <c r="U1734" s="36"/>
      <c r="V1734" s="37"/>
    </row>
    <row r="1735" spans="1:22" x14ac:dyDescent="0.25">
      <c r="A1735" s="27"/>
      <c r="B1735" s="27"/>
      <c r="C1735" s="27"/>
      <c r="D1735" s="27"/>
      <c r="E1735" s="27"/>
      <c r="F1735" s="27"/>
      <c r="G1735" s="27"/>
      <c r="H1735" s="28"/>
      <c r="I1735" s="27"/>
      <c r="J1735" s="29"/>
      <c r="K1735" s="30"/>
      <c r="L1735" s="31"/>
      <c r="M1735" s="32"/>
      <c r="N1735" s="30"/>
      <c r="O1735" s="30"/>
      <c r="P1735" s="39"/>
      <c r="Q1735" s="34"/>
      <c r="R1735" s="35"/>
      <c r="S1735" s="36"/>
      <c r="T1735" s="35"/>
      <c r="U1735" s="36"/>
      <c r="V1735" s="37"/>
    </row>
    <row r="1736" spans="1:22" x14ac:dyDescent="0.25">
      <c r="A1736" s="27"/>
      <c r="B1736" s="27"/>
      <c r="C1736" s="27"/>
      <c r="D1736" s="27"/>
      <c r="E1736" s="27"/>
      <c r="F1736" s="27"/>
      <c r="G1736" s="27"/>
      <c r="H1736" s="28"/>
      <c r="I1736" s="27"/>
      <c r="J1736" s="29"/>
      <c r="K1736" s="30"/>
      <c r="L1736" s="31"/>
      <c r="M1736" s="32"/>
      <c r="N1736" s="30"/>
      <c r="O1736" s="30"/>
      <c r="P1736" s="39"/>
      <c r="Q1736" s="34"/>
      <c r="R1736" s="35"/>
      <c r="S1736" s="36"/>
      <c r="T1736" s="35"/>
      <c r="U1736" s="36"/>
      <c r="V1736" s="37"/>
    </row>
    <row r="1737" spans="1:22" x14ac:dyDescent="0.25">
      <c r="A1737" s="27"/>
      <c r="B1737" s="27"/>
      <c r="C1737" s="27"/>
      <c r="D1737" s="27"/>
      <c r="E1737" s="27"/>
      <c r="F1737" s="27"/>
      <c r="G1737" s="27"/>
      <c r="H1737" s="28"/>
      <c r="I1737" s="27"/>
      <c r="J1737" s="29"/>
      <c r="K1737" s="30"/>
      <c r="L1737" s="31"/>
      <c r="M1737" s="32"/>
      <c r="N1737" s="30"/>
      <c r="O1737" s="30"/>
      <c r="P1737" s="39"/>
      <c r="Q1737" s="34"/>
      <c r="R1737" s="35"/>
      <c r="S1737" s="36"/>
      <c r="T1737" s="35"/>
      <c r="U1737" s="36"/>
      <c r="V1737" s="37"/>
    </row>
    <row r="1738" spans="1:22" x14ac:dyDescent="0.25">
      <c r="A1738" s="27"/>
      <c r="B1738" s="27"/>
      <c r="C1738" s="27"/>
      <c r="D1738" s="27"/>
      <c r="E1738" s="27"/>
      <c r="F1738" s="27"/>
      <c r="G1738" s="27"/>
      <c r="H1738" s="28"/>
      <c r="I1738" s="27"/>
      <c r="J1738" s="29"/>
      <c r="K1738" s="30"/>
      <c r="L1738" s="31"/>
      <c r="M1738" s="32"/>
      <c r="N1738" s="30"/>
      <c r="O1738" s="30"/>
      <c r="P1738" s="39"/>
      <c r="Q1738" s="34"/>
      <c r="R1738" s="35"/>
      <c r="S1738" s="36"/>
      <c r="T1738" s="35"/>
      <c r="U1738" s="36"/>
      <c r="V1738" s="37"/>
    </row>
    <row r="1739" spans="1:22" x14ac:dyDescent="0.25">
      <c r="A1739" s="27"/>
      <c r="B1739" s="27"/>
      <c r="C1739" s="27"/>
      <c r="D1739" s="27"/>
      <c r="E1739" s="27"/>
      <c r="F1739" s="27"/>
      <c r="G1739" s="27"/>
      <c r="H1739" s="28"/>
      <c r="I1739" s="27"/>
      <c r="J1739" s="29"/>
      <c r="K1739" s="30"/>
      <c r="L1739" s="31"/>
      <c r="M1739" s="32"/>
      <c r="N1739" s="30"/>
      <c r="O1739" s="30"/>
      <c r="P1739" s="39"/>
      <c r="Q1739" s="34"/>
      <c r="R1739" s="35"/>
      <c r="S1739" s="36"/>
      <c r="T1739" s="35"/>
      <c r="U1739" s="36"/>
      <c r="V1739" s="37"/>
    </row>
    <row r="1740" spans="1:22" x14ac:dyDescent="0.25">
      <c r="A1740" s="27"/>
      <c r="B1740" s="27"/>
      <c r="C1740" s="27"/>
      <c r="D1740" s="27"/>
      <c r="E1740" s="27"/>
      <c r="F1740" s="27"/>
      <c r="G1740" s="27"/>
      <c r="H1740" s="28"/>
      <c r="I1740" s="27"/>
      <c r="J1740" s="29"/>
      <c r="K1740" s="30"/>
      <c r="L1740" s="31"/>
      <c r="M1740" s="32"/>
      <c r="N1740" s="30"/>
      <c r="O1740" s="30"/>
      <c r="P1740" s="39"/>
      <c r="Q1740" s="34"/>
      <c r="R1740" s="35"/>
      <c r="S1740" s="36"/>
      <c r="T1740" s="35"/>
      <c r="U1740" s="36"/>
      <c r="V1740" s="37"/>
    </row>
    <row r="1741" spans="1:22" x14ac:dyDescent="0.25">
      <c r="A1741" s="27"/>
      <c r="B1741" s="27"/>
      <c r="C1741" s="27"/>
      <c r="D1741" s="27"/>
      <c r="E1741" s="27"/>
      <c r="F1741" s="27"/>
      <c r="G1741" s="27"/>
      <c r="H1741" s="28"/>
      <c r="I1741" s="27"/>
      <c r="J1741" s="29"/>
      <c r="K1741" s="30"/>
      <c r="L1741" s="31"/>
      <c r="M1741" s="32"/>
      <c r="N1741" s="30"/>
      <c r="O1741" s="30"/>
      <c r="P1741" s="39"/>
      <c r="Q1741" s="34"/>
      <c r="R1741" s="35"/>
      <c r="S1741" s="36"/>
      <c r="T1741" s="35"/>
      <c r="U1741" s="36"/>
      <c r="V1741" s="37"/>
    </row>
    <row r="1742" spans="1:22" x14ac:dyDescent="0.25">
      <c r="A1742" s="27"/>
      <c r="B1742" s="27"/>
      <c r="C1742" s="27"/>
      <c r="D1742" s="27"/>
      <c r="E1742" s="27"/>
      <c r="F1742" s="27"/>
      <c r="G1742" s="27"/>
      <c r="H1742" s="28"/>
      <c r="I1742" s="27"/>
      <c r="J1742" s="29"/>
      <c r="K1742" s="30"/>
      <c r="L1742" s="31"/>
      <c r="M1742" s="32"/>
      <c r="N1742" s="30"/>
      <c r="O1742" s="30"/>
      <c r="P1742" s="39"/>
      <c r="Q1742" s="34"/>
      <c r="R1742" s="35"/>
      <c r="S1742" s="36"/>
      <c r="T1742" s="35"/>
      <c r="U1742" s="36"/>
      <c r="V1742" s="37"/>
    </row>
    <row r="1743" spans="1:22" x14ac:dyDescent="0.25">
      <c r="A1743" s="27"/>
      <c r="B1743" s="27"/>
      <c r="C1743" s="27"/>
      <c r="D1743" s="27"/>
      <c r="E1743" s="27"/>
      <c r="F1743" s="27"/>
      <c r="G1743" s="27"/>
      <c r="H1743" s="28"/>
      <c r="I1743" s="27"/>
      <c r="J1743" s="29"/>
      <c r="K1743" s="30"/>
      <c r="L1743" s="31"/>
      <c r="M1743" s="32"/>
      <c r="N1743" s="30"/>
      <c r="O1743" s="30"/>
      <c r="P1743" s="39"/>
      <c r="Q1743" s="34"/>
      <c r="R1743" s="35"/>
      <c r="S1743" s="36"/>
      <c r="T1743" s="35"/>
      <c r="U1743" s="36"/>
      <c r="V1743" s="37"/>
    </row>
    <row r="1744" spans="1:22" x14ac:dyDescent="0.25">
      <c r="A1744" s="27"/>
      <c r="B1744" s="27"/>
      <c r="C1744" s="27"/>
      <c r="D1744" s="27"/>
      <c r="E1744" s="27"/>
      <c r="F1744" s="27"/>
      <c r="G1744" s="27"/>
      <c r="H1744" s="28"/>
      <c r="I1744" s="27"/>
      <c r="J1744" s="29"/>
      <c r="K1744" s="30"/>
      <c r="L1744" s="31"/>
      <c r="M1744" s="32"/>
      <c r="N1744" s="30"/>
      <c r="O1744" s="30"/>
      <c r="P1744" s="39"/>
      <c r="Q1744" s="34"/>
      <c r="R1744" s="35"/>
      <c r="S1744" s="36"/>
      <c r="T1744" s="35"/>
      <c r="U1744" s="36"/>
      <c r="V1744" s="37"/>
    </row>
    <row r="1745" spans="1:22" x14ac:dyDescent="0.25">
      <c r="A1745" s="27"/>
      <c r="B1745" s="27"/>
      <c r="C1745" s="27"/>
      <c r="D1745" s="27"/>
      <c r="E1745" s="27"/>
      <c r="F1745" s="27"/>
      <c r="G1745" s="27"/>
      <c r="H1745" s="28"/>
      <c r="I1745" s="27"/>
      <c r="J1745" s="29"/>
      <c r="K1745" s="30"/>
      <c r="L1745" s="31"/>
      <c r="M1745" s="32"/>
      <c r="N1745" s="30"/>
      <c r="O1745" s="30"/>
      <c r="P1745" s="39"/>
      <c r="Q1745" s="34"/>
      <c r="R1745" s="35"/>
      <c r="S1745" s="36"/>
      <c r="T1745" s="35"/>
      <c r="U1745" s="36"/>
      <c r="V1745" s="37"/>
    </row>
    <row r="1746" spans="1:22" x14ac:dyDescent="0.25">
      <c r="A1746" s="27"/>
      <c r="B1746" s="27"/>
      <c r="C1746" s="27"/>
      <c r="D1746" s="27"/>
      <c r="E1746" s="27"/>
      <c r="F1746" s="27"/>
      <c r="G1746" s="27"/>
      <c r="H1746" s="28"/>
      <c r="I1746" s="27"/>
      <c r="J1746" s="29"/>
      <c r="K1746" s="30"/>
      <c r="L1746" s="31"/>
      <c r="M1746" s="32"/>
      <c r="N1746" s="30"/>
      <c r="O1746" s="30"/>
      <c r="P1746" s="39"/>
      <c r="Q1746" s="34"/>
      <c r="R1746" s="35"/>
      <c r="S1746" s="36"/>
      <c r="T1746" s="35"/>
      <c r="U1746" s="36"/>
      <c r="V1746" s="37"/>
    </row>
    <row r="1747" spans="1:22" x14ac:dyDescent="0.25">
      <c r="A1747" s="27"/>
      <c r="B1747" s="27"/>
      <c r="C1747" s="27"/>
      <c r="D1747" s="27"/>
      <c r="E1747" s="27"/>
      <c r="F1747" s="27"/>
      <c r="G1747" s="27"/>
      <c r="H1747" s="28"/>
      <c r="I1747" s="27"/>
      <c r="J1747" s="29"/>
      <c r="K1747" s="30"/>
      <c r="L1747" s="31"/>
      <c r="M1747" s="32"/>
      <c r="N1747" s="30"/>
      <c r="O1747" s="30"/>
      <c r="P1747" s="39"/>
      <c r="Q1747" s="34"/>
      <c r="R1747" s="35"/>
      <c r="S1747" s="36"/>
      <c r="T1747" s="35"/>
      <c r="U1747" s="36"/>
      <c r="V1747" s="37"/>
    </row>
    <row r="1748" spans="1:22" x14ac:dyDescent="0.25">
      <c r="A1748" s="27"/>
      <c r="B1748" s="27"/>
      <c r="C1748" s="27"/>
      <c r="D1748" s="27"/>
      <c r="E1748" s="27"/>
      <c r="F1748" s="27"/>
      <c r="G1748" s="27"/>
      <c r="H1748" s="28"/>
      <c r="I1748" s="27"/>
      <c r="J1748" s="29"/>
      <c r="K1748" s="30"/>
      <c r="L1748" s="31"/>
      <c r="M1748" s="32"/>
      <c r="N1748" s="30"/>
      <c r="O1748" s="30"/>
      <c r="P1748" s="39"/>
      <c r="Q1748" s="34"/>
      <c r="R1748" s="35"/>
      <c r="S1748" s="36"/>
      <c r="T1748" s="35"/>
      <c r="U1748" s="36"/>
      <c r="V1748" s="37"/>
    </row>
    <row r="1749" spans="1:22" x14ac:dyDescent="0.25">
      <c r="A1749" s="27"/>
      <c r="B1749" s="27"/>
      <c r="C1749" s="27"/>
      <c r="D1749" s="27"/>
      <c r="E1749" s="27"/>
      <c r="F1749" s="27"/>
      <c r="G1749" s="27"/>
      <c r="H1749" s="28"/>
      <c r="I1749" s="27"/>
      <c r="J1749" s="29"/>
      <c r="K1749" s="30"/>
      <c r="L1749" s="31"/>
      <c r="M1749" s="32"/>
      <c r="N1749" s="30"/>
      <c r="O1749" s="30"/>
      <c r="P1749" s="39"/>
      <c r="Q1749" s="34"/>
      <c r="R1749" s="35"/>
      <c r="S1749" s="36"/>
      <c r="T1749" s="35"/>
      <c r="U1749" s="36"/>
      <c r="V1749" s="37"/>
    </row>
    <row r="1750" spans="1:22" x14ac:dyDescent="0.25">
      <c r="A1750" s="27"/>
      <c r="B1750" s="27"/>
      <c r="C1750" s="27"/>
      <c r="D1750" s="27"/>
      <c r="E1750" s="27"/>
      <c r="F1750" s="27"/>
      <c r="G1750" s="27"/>
      <c r="H1750" s="28"/>
      <c r="I1750" s="27"/>
      <c r="J1750" s="29"/>
      <c r="K1750" s="30"/>
      <c r="L1750" s="31"/>
      <c r="M1750" s="32"/>
      <c r="N1750" s="30"/>
      <c r="O1750" s="30"/>
      <c r="P1750" s="39"/>
      <c r="Q1750" s="34"/>
      <c r="R1750" s="35"/>
      <c r="S1750" s="36"/>
      <c r="T1750" s="35"/>
      <c r="U1750" s="36"/>
      <c r="V1750" s="37"/>
    </row>
    <row r="1751" spans="1:22" x14ac:dyDescent="0.25">
      <c r="A1751" s="27"/>
      <c r="B1751" s="27"/>
      <c r="C1751" s="27"/>
      <c r="D1751" s="27"/>
      <c r="E1751" s="27"/>
      <c r="F1751" s="27"/>
      <c r="G1751" s="27"/>
      <c r="H1751" s="28"/>
      <c r="I1751" s="27"/>
      <c r="J1751" s="29"/>
      <c r="K1751" s="30"/>
      <c r="L1751" s="31"/>
      <c r="M1751" s="32"/>
      <c r="N1751" s="30"/>
      <c r="O1751" s="30"/>
      <c r="P1751" s="39"/>
      <c r="Q1751" s="34"/>
      <c r="R1751" s="35"/>
      <c r="S1751" s="36"/>
      <c r="T1751" s="35"/>
      <c r="U1751" s="36"/>
      <c r="V1751" s="37"/>
    </row>
    <row r="1752" spans="1:22" x14ac:dyDescent="0.25">
      <c r="A1752" s="27"/>
      <c r="B1752" s="27"/>
      <c r="C1752" s="27"/>
      <c r="D1752" s="27"/>
      <c r="E1752" s="27"/>
      <c r="F1752" s="27"/>
      <c r="G1752" s="27"/>
      <c r="H1752" s="28"/>
      <c r="I1752" s="27"/>
      <c r="J1752" s="29"/>
      <c r="K1752" s="30"/>
      <c r="L1752" s="31"/>
      <c r="M1752" s="32"/>
      <c r="N1752" s="30"/>
      <c r="O1752" s="30"/>
      <c r="P1752" s="39"/>
      <c r="Q1752" s="34"/>
      <c r="R1752" s="35"/>
      <c r="S1752" s="36"/>
      <c r="T1752" s="35"/>
      <c r="U1752" s="36"/>
      <c r="V1752" s="37"/>
    </row>
    <row r="1753" spans="1:22" x14ac:dyDescent="0.25">
      <c r="A1753" s="27"/>
      <c r="B1753" s="27"/>
      <c r="C1753" s="27"/>
      <c r="D1753" s="27"/>
      <c r="E1753" s="27"/>
      <c r="F1753" s="27"/>
      <c r="G1753" s="27"/>
      <c r="H1753" s="28"/>
      <c r="I1753" s="27"/>
      <c r="J1753" s="29"/>
      <c r="K1753" s="30"/>
      <c r="L1753" s="31"/>
      <c r="M1753" s="32"/>
      <c r="N1753" s="30"/>
      <c r="O1753" s="30"/>
      <c r="P1753" s="39"/>
      <c r="Q1753" s="34"/>
      <c r="R1753" s="35"/>
      <c r="S1753" s="36"/>
      <c r="T1753" s="35"/>
      <c r="U1753" s="36"/>
      <c r="V1753" s="37"/>
    </row>
    <row r="1754" spans="1:22" x14ac:dyDescent="0.25">
      <c r="A1754" s="27"/>
      <c r="B1754" s="27"/>
      <c r="C1754" s="27"/>
      <c r="D1754" s="27"/>
      <c r="E1754" s="27"/>
      <c r="F1754" s="27"/>
      <c r="G1754" s="27"/>
      <c r="H1754" s="28"/>
      <c r="I1754" s="27"/>
      <c r="J1754" s="29"/>
      <c r="K1754" s="30"/>
      <c r="L1754" s="31"/>
      <c r="M1754" s="32"/>
      <c r="N1754" s="30"/>
      <c r="O1754" s="30"/>
      <c r="P1754" s="39"/>
      <c r="Q1754" s="34"/>
      <c r="R1754" s="35"/>
      <c r="S1754" s="36"/>
      <c r="T1754" s="35"/>
      <c r="U1754" s="36"/>
      <c r="V1754" s="37"/>
    </row>
    <row r="1755" spans="1:22" x14ac:dyDescent="0.25">
      <c r="A1755" s="27"/>
      <c r="B1755" s="27"/>
      <c r="C1755" s="27"/>
      <c r="D1755" s="27"/>
      <c r="E1755" s="27"/>
      <c r="F1755" s="27"/>
      <c r="G1755" s="27"/>
      <c r="H1755" s="28"/>
      <c r="I1755" s="27"/>
      <c r="J1755" s="29"/>
      <c r="K1755" s="30"/>
      <c r="L1755" s="31"/>
      <c r="M1755" s="32"/>
      <c r="N1755" s="30"/>
      <c r="O1755" s="30"/>
      <c r="P1755" s="39"/>
      <c r="Q1755" s="34"/>
      <c r="R1755" s="35"/>
      <c r="S1755" s="36"/>
      <c r="T1755" s="35"/>
      <c r="U1755" s="36"/>
      <c r="V1755" s="37"/>
    </row>
    <row r="1756" spans="1:22" x14ac:dyDescent="0.25">
      <c r="A1756" s="27"/>
      <c r="B1756" s="27"/>
      <c r="C1756" s="27"/>
      <c r="D1756" s="27"/>
      <c r="E1756" s="27"/>
      <c r="F1756" s="27"/>
      <c r="G1756" s="27"/>
      <c r="H1756" s="28"/>
      <c r="I1756" s="27"/>
      <c r="J1756" s="29"/>
      <c r="K1756" s="30"/>
      <c r="L1756" s="31"/>
      <c r="M1756" s="32"/>
      <c r="N1756" s="30"/>
      <c r="O1756" s="30"/>
      <c r="P1756" s="39"/>
      <c r="Q1756" s="34"/>
      <c r="R1756" s="35"/>
      <c r="S1756" s="36"/>
      <c r="T1756" s="35"/>
      <c r="U1756" s="36"/>
      <c r="V1756" s="37"/>
    </row>
    <row r="1757" spans="1:22" x14ac:dyDescent="0.25">
      <c r="A1757" s="27"/>
      <c r="B1757" s="27"/>
      <c r="C1757" s="27"/>
      <c r="D1757" s="27"/>
      <c r="E1757" s="27"/>
      <c r="F1757" s="27"/>
      <c r="G1757" s="27"/>
      <c r="H1757" s="28"/>
      <c r="I1757" s="27"/>
      <c r="J1757" s="29"/>
      <c r="K1757" s="30"/>
      <c r="L1757" s="31"/>
      <c r="M1757" s="32"/>
      <c r="N1757" s="30"/>
      <c r="O1757" s="30"/>
      <c r="P1757" s="39"/>
      <c r="Q1757" s="34"/>
      <c r="R1757" s="35"/>
      <c r="S1757" s="36"/>
      <c r="T1757" s="35"/>
      <c r="U1757" s="36"/>
      <c r="V1757" s="37"/>
    </row>
    <row r="1758" spans="1:22" x14ac:dyDescent="0.25">
      <c r="A1758" s="27"/>
      <c r="B1758" s="27"/>
      <c r="C1758" s="27"/>
      <c r="D1758" s="27"/>
      <c r="E1758" s="27"/>
      <c r="F1758" s="27"/>
      <c r="G1758" s="27"/>
      <c r="H1758" s="28"/>
      <c r="I1758" s="27"/>
      <c r="J1758" s="29"/>
      <c r="K1758" s="30"/>
      <c r="L1758" s="31"/>
      <c r="M1758" s="32"/>
      <c r="N1758" s="30"/>
      <c r="O1758" s="30"/>
      <c r="P1758" s="39"/>
      <c r="Q1758" s="34"/>
      <c r="R1758" s="35"/>
      <c r="S1758" s="36"/>
      <c r="T1758" s="35"/>
      <c r="U1758" s="36"/>
      <c r="V1758" s="37"/>
    </row>
    <row r="1759" spans="1:22" x14ac:dyDescent="0.25">
      <c r="A1759" s="27"/>
      <c r="B1759" s="27"/>
      <c r="C1759" s="27"/>
      <c r="D1759" s="27"/>
      <c r="E1759" s="27"/>
      <c r="F1759" s="27"/>
      <c r="G1759" s="27"/>
      <c r="H1759" s="28"/>
      <c r="I1759" s="27"/>
      <c r="J1759" s="29"/>
      <c r="K1759" s="30"/>
      <c r="L1759" s="31"/>
      <c r="M1759" s="32"/>
      <c r="N1759" s="30"/>
      <c r="O1759" s="30"/>
      <c r="P1759" s="39"/>
      <c r="Q1759" s="34"/>
      <c r="R1759" s="35"/>
      <c r="S1759" s="36"/>
      <c r="T1759" s="35"/>
      <c r="U1759" s="36"/>
      <c r="V1759" s="37"/>
    </row>
    <row r="1760" spans="1:22" x14ac:dyDescent="0.25">
      <c r="A1760" s="27"/>
      <c r="B1760" s="27"/>
      <c r="C1760" s="27"/>
      <c r="D1760" s="27"/>
      <c r="E1760" s="27"/>
      <c r="F1760" s="27"/>
      <c r="G1760" s="27"/>
      <c r="H1760" s="28"/>
      <c r="I1760" s="27"/>
      <c r="J1760" s="29"/>
      <c r="K1760" s="30"/>
      <c r="L1760" s="31"/>
      <c r="M1760" s="32"/>
      <c r="N1760" s="30"/>
      <c r="O1760" s="30"/>
      <c r="P1760" s="39"/>
      <c r="Q1760" s="34"/>
      <c r="R1760" s="35"/>
      <c r="S1760" s="36"/>
      <c r="T1760" s="35"/>
      <c r="U1760" s="36"/>
      <c r="V1760" s="37"/>
    </row>
    <row r="1761" spans="1:22" x14ac:dyDescent="0.25">
      <c r="A1761" s="27"/>
      <c r="B1761" s="27"/>
      <c r="C1761" s="27"/>
      <c r="D1761" s="27"/>
      <c r="E1761" s="27"/>
      <c r="F1761" s="27"/>
      <c r="G1761" s="27"/>
      <c r="H1761" s="28"/>
      <c r="I1761" s="27"/>
      <c r="J1761" s="29"/>
      <c r="K1761" s="30"/>
      <c r="L1761" s="31"/>
      <c r="M1761" s="32"/>
      <c r="N1761" s="30"/>
      <c r="O1761" s="30"/>
      <c r="P1761" s="39"/>
      <c r="Q1761" s="34"/>
      <c r="R1761" s="35"/>
      <c r="S1761" s="36"/>
      <c r="T1761" s="35"/>
      <c r="U1761" s="36"/>
      <c r="V1761" s="37"/>
    </row>
    <row r="1762" spans="1:22" x14ac:dyDescent="0.25">
      <c r="A1762" s="27"/>
      <c r="B1762" s="27"/>
      <c r="C1762" s="27"/>
      <c r="D1762" s="27"/>
      <c r="E1762" s="27"/>
      <c r="F1762" s="27"/>
      <c r="G1762" s="27"/>
      <c r="H1762" s="28"/>
      <c r="I1762" s="27"/>
      <c r="J1762" s="29"/>
      <c r="K1762" s="30"/>
      <c r="L1762" s="31"/>
      <c r="M1762" s="32"/>
      <c r="N1762" s="30"/>
      <c r="O1762" s="30"/>
      <c r="P1762" s="39"/>
      <c r="Q1762" s="34"/>
      <c r="R1762" s="35"/>
      <c r="S1762" s="36"/>
      <c r="T1762" s="35"/>
      <c r="U1762" s="36"/>
      <c r="V1762" s="37"/>
    </row>
    <row r="1763" spans="1:22" x14ac:dyDescent="0.25">
      <c r="A1763" s="27"/>
      <c r="B1763" s="27"/>
      <c r="C1763" s="27"/>
      <c r="D1763" s="27"/>
      <c r="E1763" s="27"/>
      <c r="F1763" s="27"/>
      <c r="G1763" s="27"/>
      <c r="H1763" s="28"/>
      <c r="I1763" s="27"/>
      <c r="J1763" s="29"/>
      <c r="K1763" s="30"/>
      <c r="L1763" s="31"/>
      <c r="M1763" s="32"/>
      <c r="N1763" s="30"/>
      <c r="O1763" s="30"/>
      <c r="P1763" s="39"/>
      <c r="Q1763" s="34"/>
      <c r="R1763" s="35"/>
      <c r="S1763" s="36"/>
      <c r="T1763" s="35"/>
      <c r="U1763" s="36"/>
      <c r="V1763" s="37"/>
    </row>
    <row r="1764" spans="1:22" x14ac:dyDescent="0.25">
      <c r="A1764" s="27"/>
      <c r="B1764" s="27"/>
      <c r="C1764" s="27"/>
      <c r="D1764" s="27"/>
      <c r="E1764" s="27"/>
      <c r="F1764" s="27"/>
      <c r="G1764" s="27"/>
      <c r="H1764" s="28"/>
      <c r="I1764" s="27"/>
      <c r="J1764" s="29"/>
      <c r="K1764" s="30"/>
      <c r="L1764" s="31"/>
      <c r="M1764" s="32"/>
      <c r="N1764" s="30"/>
      <c r="O1764" s="30"/>
      <c r="P1764" s="39"/>
      <c r="Q1764" s="34"/>
      <c r="R1764" s="35"/>
      <c r="S1764" s="36"/>
      <c r="T1764" s="35"/>
      <c r="U1764" s="36"/>
      <c r="V1764" s="37"/>
    </row>
    <row r="1765" spans="1:22" x14ac:dyDescent="0.25">
      <c r="A1765" s="27"/>
      <c r="B1765" s="27"/>
      <c r="C1765" s="27"/>
      <c r="D1765" s="27"/>
      <c r="E1765" s="27"/>
      <c r="F1765" s="27"/>
      <c r="G1765" s="27"/>
      <c r="H1765" s="28"/>
      <c r="I1765" s="27"/>
      <c r="J1765" s="29"/>
      <c r="K1765" s="30"/>
      <c r="L1765" s="31"/>
      <c r="M1765" s="32"/>
      <c r="N1765" s="30"/>
      <c r="O1765" s="30"/>
      <c r="P1765" s="39"/>
      <c r="Q1765" s="34"/>
      <c r="R1765" s="35"/>
      <c r="S1765" s="36"/>
      <c r="T1765" s="35"/>
      <c r="U1765" s="36"/>
      <c r="V1765" s="37"/>
    </row>
    <row r="1766" spans="1:22" x14ac:dyDescent="0.25">
      <c r="A1766" s="27"/>
      <c r="B1766" s="27"/>
      <c r="C1766" s="27"/>
      <c r="D1766" s="27"/>
      <c r="E1766" s="27"/>
      <c r="F1766" s="27"/>
      <c r="G1766" s="27"/>
      <c r="H1766" s="28"/>
      <c r="I1766" s="27"/>
      <c r="J1766" s="29"/>
      <c r="K1766" s="30"/>
      <c r="L1766" s="31"/>
      <c r="M1766" s="32"/>
      <c r="N1766" s="30"/>
      <c r="O1766" s="30"/>
      <c r="P1766" s="39"/>
      <c r="Q1766" s="34"/>
      <c r="R1766" s="35"/>
      <c r="S1766" s="36"/>
      <c r="T1766" s="35"/>
      <c r="U1766" s="36"/>
      <c r="V1766" s="37"/>
    </row>
    <row r="1767" spans="1:22" x14ac:dyDescent="0.25">
      <c r="A1767" s="27"/>
      <c r="B1767" s="27"/>
      <c r="C1767" s="27"/>
      <c r="D1767" s="27"/>
      <c r="E1767" s="27"/>
      <c r="F1767" s="27"/>
      <c r="G1767" s="27"/>
      <c r="H1767" s="28"/>
      <c r="I1767" s="27"/>
      <c r="J1767" s="29"/>
      <c r="K1767" s="30"/>
      <c r="L1767" s="31"/>
      <c r="M1767" s="32"/>
      <c r="N1767" s="30"/>
      <c r="O1767" s="30"/>
      <c r="P1767" s="39"/>
      <c r="Q1767" s="34"/>
      <c r="R1767" s="35"/>
      <c r="S1767" s="36"/>
      <c r="T1767" s="35"/>
      <c r="U1767" s="36"/>
      <c r="V1767" s="37"/>
    </row>
    <row r="1768" spans="1:22" x14ac:dyDescent="0.25">
      <c r="A1768" s="27"/>
      <c r="B1768" s="27"/>
      <c r="C1768" s="27"/>
      <c r="D1768" s="27"/>
      <c r="E1768" s="27"/>
      <c r="F1768" s="27"/>
      <c r="G1768" s="27"/>
      <c r="H1768" s="28"/>
      <c r="I1768" s="27"/>
      <c r="J1768" s="29"/>
      <c r="K1768" s="30"/>
      <c r="L1768" s="31"/>
      <c r="M1768" s="32"/>
      <c r="N1768" s="30"/>
      <c r="O1768" s="30"/>
      <c r="P1768" s="39"/>
      <c r="Q1768" s="34"/>
      <c r="R1768" s="35"/>
      <c r="S1768" s="36"/>
      <c r="T1768" s="35"/>
      <c r="U1768" s="36"/>
      <c r="V1768" s="37"/>
    </row>
    <row r="1769" spans="1:22" x14ac:dyDescent="0.25">
      <c r="A1769" s="27"/>
      <c r="B1769" s="27"/>
      <c r="C1769" s="27"/>
      <c r="D1769" s="27"/>
      <c r="E1769" s="27"/>
      <c r="F1769" s="27"/>
      <c r="G1769" s="27"/>
      <c r="H1769" s="28"/>
      <c r="I1769" s="27"/>
      <c r="J1769" s="29"/>
      <c r="K1769" s="30"/>
      <c r="L1769" s="31"/>
      <c r="M1769" s="32"/>
      <c r="N1769" s="30"/>
      <c r="O1769" s="30"/>
      <c r="P1769" s="39"/>
      <c r="Q1769" s="34"/>
      <c r="R1769" s="35"/>
      <c r="S1769" s="36"/>
      <c r="T1769" s="35"/>
      <c r="U1769" s="36"/>
      <c r="V1769" s="37"/>
    </row>
    <row r="1770" spans="1:22" x14ac:dyDescent="0.25">
      <c r="A1770" s="27"/>
      <c r="B1770" s="27"/>
      <c r="C1770" s="27"/>
      <c r="D1770" s="27"/>
      <c r="E1770" s="27"/>
      <c r="F1770" s="27"/>
      <c r="G1770" s="27"/>
      <c r="H1770" s="28"/>
      <c r="I1770" s="27"/>
      <c r="J1770" s="29"/>
      <c r="K1770" s="30"/>
      <c r="L1770" s="31"/>
      <c r="M1770" s="32"/>
      <c r="N1770" s="30"/>
      <c r="O1770" s="30"/>
      <c r="P1770" s="39"/>
      <c r="Q1770" s="34"/>
      <c r="R1770" s="35"/>
      <c r="S1770" s="36"/>
      <c r="T1770" s="35"/>
      <c r="U1770" s="36"/>
      <c r="V1770" s="37"/>
    </row>
    <row r="1771" spans="1:22" x14ac:dyDescent="0.25">
      <c r="A1771" s="27"/>
      <c r="B1771" s="27"/>
      <c r="C1771" s="27"/>
      <c r="D1771" s="27"/>
      <c r="E1771" s="27"/>
      <c r="F1771" s="27"/>
      <c r="G1771" s="27"/>
      <c r="H1771" s="28"/>
      <c r="I1771" s="27"/>
      <c r="J1771" s="29"/>
      <c r="K1771" s="30"/>
      <c r="L1771" s="31"/>
      <c r="M1771" s="32"/>
      <c r="N1771" s="30"/>
      <c r="O1771" s="30"/>
      <c r="P1771" s="39"/>
      <c r="Q1771" s="34"/>
      <c r="R1771" s="35"/>
      <c r="S1771" s="36"/>
      <c r="T1771" s="35"/>
      <c r="U1771" s="36"/>
      <c r="V1771" s="37"/>
    </row>
    <row r="1772" spans="1:22" x14ac:dyDescent="0.25">
      <c r="A1772" s="27"/>
      <c r="B1772" s="27"/>
      <c r="C1772" s="27"/>
      <c r="D1772" s="27"/>
      <c r="E1772" s="27"/>
      <c r="F1772" s="27"/>
      <c r="G1772" s="27"/>
      <c r="H1772" s="28"/>
      <c r="I1772" s="27"/>
      <c r="J1772" s="29"/>
      <c r="K1772" s="30"/>
      <c r="L1772" s="31"/>
      <c r="M1772" s="32"/>
      <c r="N1772" s="30"/>
      <c r="O1772" s="30"/>
      <c r="P1772" s="39"/>
      <c r="Q1772" s="34"/>
      <c r="R1772" s="35"/>
      <c r="S1772" s="36"/>
      <c r="T1772" s="35"/>
      <c r="U1772" s="36"/>
      <c r="V1772" s="37"/>
    </row>
    <row r="1773" spans="1:22" x14ac:dyDescent="0.25">
      <c r="A1773" s="27"/>
      <c r="B1773" s="27"/>
      <c r="C1773" s="27"/>
      <c r="D1773" s="27"/>
      <c r="E1773" s="27"/>
      <c r="F1773" s="27"/>
      <c r="G1773" s="27"/>
      <c r="H1773" s="28"/>
      <c r="I1773" s="27"/>
      <c r="J1773" s="29"/>
      <c r="K1773" s="30"/>
      <c r="L1773" s="31"/>
      <c r="M1773" s="32"/>
      <c r="N1773" s="30"/>
      <c r="O1773" s="30"/>
      <c r="P1773" s="39"/>
      <c r="Q1773" s="34"/>
      <c r="R1773" s="35"/>
      <c r="S1773" s="36"/>
      <c r="T1773" s="35"/>
      <c r="U1773" s="36"/>
      <c r="V1773" s="37"/>
    </row>
    <row r="1774" spans="1:22" x14ac:dyDescent="0.25">
      <c r="A1774" s="27"/>
      <c r="B1774" s="27"/>
      <c r="C1774" s="27"/>
      <c r="D1774" s="27"/>
      <c r="E1774" s="27"/>
      <c r="F1774" s="27"/>
      <c r="G1774" s="27"/>
      <c r="H1774" s="28"/>
      <c r="I1774" s="27"/>
      <c r="J1774" s="29"/>
      <c r="K1774" s="30"/>
      <c r="L1774" s="31"/>
      <c r="M1774" s="32"/>
      <c r="N1774" s="30"/>
      <c r="O1774" s="30"/>
      <c r="P1774" s="39"/>
      <c r="Q1774" s="34"/>
      <c r="R1774" s="35"/>
      <c r="S1774" s="36"/>
      <c r="T1774" s="35"/>
      <c r="U1774" s="36"/>
      <c r="V1774" s="37"/>
    </row>
    <row r="1775" spans="1:22" x14ac:dyDescent="0.25">
      <c r="A1775" s="27"/>
      <c r="B1775" s="27"/>
      <c r="C1775" s="27"/>
      <c r="D1775" s="27"/>
      <c r="E1775" s="27"/>
      <c r="F1775" s="27"/>
      <c r="G1775" s="27"/>
      <c r="H1775" s="28"/>
      <c r="I1775" s="27"/>
      <c r="J1775" s="29"/>
      <c r="K1775" s="30"/>
      <c r="L1775" s="31"/>
      <c r="M1775" s="32"/>
      <c r="N1775" s="30"/>
      <c r="O1775" s="30"/>
      <c r="P1775" s="39"/>
      <c r="Q1775" s="34"/>
      <c r="R1775" s="35"/>
      <c r="S1775" s="36"/>
      <c r="T1775" s="35"/>
      <c r="U1775" s="36"/>
      <c r="V1775" s="37"/>
    </row>
    <row r="1776" spans="1:22" x14ac:dyDescent="0.25">
      <c r="A1776" s="27"/>
      <c r="B1776" s="27"/>
      <c r="C1776" s="27"/>
      <c r="D1776" s="27"/>
      <c r="E1776" s="27"/>
      <c r="F1776" s="27"/>
      <c r="G1776" s="27"/>
      <c r="H1776" s="28"/>
      <c r="I1776" s="27"/>
      <c r="J1776" s="29"/>
      <c r="K1776" s="30"/>
      <c r="L1776" s="31"/>
      <c r="M1776" s="32"/>
      <c r="N1776" s="30"/>
      <c r="O1776" s="30"/>
      <c r="P1776" s="39"/>
      <c r="Q1776" s="34"/>
      <c r="R1776" s="35"/>
      <c r="S1776" s="36"/>
      <c r="T1776" s="35"/>
      <c r="U1776" s="36"/>
      <c r="V1776" s="37"/>
    </row>
    <row r="1777" spans="1:22" x14ac:dyDescent="0.25">
      <c r="A1777" s="27"/>
      <c r="B1777" s="27"/>
      <c r="C1777" s="27"/>
      <c r="D1777" s="27"/>
      <c r="E1777" s="27"/>
      <c r="F1777" s="27"/>
      <c r="G1777" s="27"/>
      <c r="H1777" s="28"/>
      <c r="I1777" s="27"/>
      <c r="J1777" s="29"/>
      <c r="K1777" s="30"/>
      <c r="L1777" s="31"/>
      <c r="M1777" s="32"/>
      <c r="N1777" s="30"/>
      <c r="O1777" s="30"/>
      <c r="P1777" s="39"/>
      <c r="Q1777" s="34"/>
      <c r="R1777" s="35"/>
      <c r="S1777" s="36"/>
      <c r="T1777" s="35"/>
      <c r="U1777" s="36"/>
      <c r="V1777" s="37"/>
    </row>
    <row r="1778" spans="1:22" x14ac:dyDescent="0.25">
      <c r="A1778" s="27"/>
      <c r="B1778" s="27"/>
      <c r="C1778" s="27"/>
      <c r="D1778" s="27"/>
      <c r="E1778" s="27"/>
      <c r="F1778" s="27"/>
      <c r="G1778" s="27"/>
      <c r="H1778" s="28"/>
      <c r="I1778" s="27"/>
      <c r="J1778" s="29"/>
      <c r="K1778" s="30"/>
      <c r="L1778" s="31"/>
      <c r="M1778" s="32"/>
      <c r="N1778" s="30"/>
      <c r="O1778" s="30"/>
      <c r="P1778" s="39"/>
      <c r="Q1778" s="34"/>
      <c r="R1778" s="35"/>
      <c r="S1778" s="36"/>
      <c r="T1778" s="35"/>
      <c r="U1778" s="36"/>
      <c r="V1778" s="37"/>
    </row>
    <row r="1779" spans="1:22" x14ac:dyDescent="0.25">
      <c r="A1779" s="27"/>
      <c r="B1779" s="27"/>
      <c r="C1779" s="27"/>
      <c r="D1779" s="27"/>
      <c r="E1779" s="27"/>
      <c r="F1779" s="27"/>
      <c r="G1779" s="27"/>
      <c r="H1779" s="28"/>
      <c r="I1779" s="27"/>
      <c r="J1779" s="29"/>
      <c r="K1779" s="30"/>
      <c r="L1779" s="31"/>
      <c r="M1779" s="32"/>
      <c r="N1779" s="30"/>
      <c r="O1779" s="30"/>
      <c r="P1779" s="39"/>
      <c r="Q1779" s="34"/>
      <c r="R1779" s="35"/>
      <c r="S1779" s="36"/>
      <c r="T1779" s="35"/>
      <c r="U1779" s="36"/>
      <c r="V1779" s="37"/>
    </row>
    <row r="1780" spans="1:22" x14ac:dyDescent="0.25">
      <c r="A1780" s="27"/>
      <c r="B1780" s="27"/>
      <c r="C1780" s="27"/>
      <c r="D1780" s="27"/>
      <c r="E1780" s="27"/>
      <c r="F1780" s="27"/>
      <c r="G1780" s="27"/>
      <c r="H1780" s="28"/>
      <c r="I1780" s="27"/>
      <c r="J1780" s="29"/>
      <c r="K1780" s="30"/>
      <c r="L1780" s="31"/>
      <c r="M1780" s="32"/>
      <c r="N1780" s="30"/>
      <c r="O1780" s="30"/>
      <c r="P1780" s="39"/>
      <c r="Q1780" s="34"/>
      <c r="R1780" s="35"/>
      <c r="S1780" s="36"/>
      <c r="T1780" s="35"/>
      <c r="U1780" s="36"/>
      <c r="V1780" s="37"/>
    </row>
    <row r="1781" spans="1:22" x14ac:dyDescent="0.25">
      <c r="A1781" s="27"/>
      <c r="B1781" s="27"/>
      <c r="C1781" s="27"/>
      <c r="D1781" s="27"/>
      <c r="E1781" s="27"/>
      <c r="F1781" s="27"/>
      <c r="G1781" s="27"/>
      <c r="H1781" s="28"/>
      <c r="I1781" s="27"/>
      <c r="J1781" s="29"/>
      <c r="K1781" s="30"/>
      <c r="L1781" s="31"/>
      <c r="M1781" s="32"/>
      <c r="N1781" s="30"/>
      <c r="O1781" s="30"/>
      <c r="P1781" s="39"/>
      <c r="Q1781" s="34"/>
      <c r="R1781" s="35"/>
      <c r="S1781" s="36"/>
      <c r="T1781" s="35"/>
      <c r="U1781" s="36"/>
      <c r="V1781" s="37"/>
    </row>
    <row r="1782" spans="1:22" x14ac:dyDescent="0.25">
      <c r="A1782" s="27"/>
      <c r="B1782" s="27"/>
      <c r="C1782" s="27"/>
      <c r="D1782" s="27"/>
      <c r="E1782" s="27"/>
      <c r="F1782" s="27"/>
      <c r="G1782" s="27"/>
      <c r="H1782" s="28"/>
      <c r="I1782" s="27"/>
      <c r="J1782" s="29"/>
      <c r="K1782" s="30"/>
      <c r="L1782" s="31"/>
      <c r="M1782" s="32"/>
      <c r="N1782" s="30"/>
      <c r="O1782" s="30"/>
      <c r="P1782" s="39"/>
      <c r="Q1782" s="34"/>
      <c r="R1782" s="35"/>
      <c r="S1782" s="36"/>
      <c r="T1782" s="35"/>
      <c r="U1782" s="36"/>
      <c r="V1782" s="37"/>
    </row>
    <row r="1783" spans="1:22" x14ac:dyDescent="0.25">
      <c r="A1783" s="27"/>
      <c r="B1783" s="27"/>
      <c r="C1783" s="27"/>
      <c r="D1783" s="27"/>
      <c r="E1783" s="27"/>
      <c r="F1783" s="27"/>
      <c r="G1783" s="27"/>
      <c r="H1783" s="28"/>
      <c r="I1783" s="27"/>
      <c r="J1783" s="29"/>
      <c r="K1783" s="30"/>
      <c r="L1783" s="31"/>
      <c r="M1783" s="32"/>
      <c r="N1783" s="30"/>
      <c r="O1783" s="30"/>
      <c r="P1783" s="39"/>
      <c r="Q1783" s="34"/>
      <c r="R1783" s="35"/>
      <c r="S1783" s="36"/>
      <c r="T1783" s="35"/>
      <c r="U1783" s="36"/>
      <c r="V1783" s="37"/>
    </row>
    <row r="1784" spans="1:22" x14ac:dyDescent="0.25">
      <c r="A1784" s="27"/>
      <c r="B1784" s="27"/>
      <c r="C1784" s="27"/>
      <c r="D1784" s="27"/>
      <c r="E1784" s="27"/>
      <c r="F1784" s="27"/>
      <c r="G1784" s="27"/>
      <c r="H1784" s="28"/>
      <c r="I1784" s="27"/>
      <c r="J1784" s="29"/>
      <c r="K1784" s="30"/>
      <c r="L1784" s="31"/>
      <c r="M1784" s="32"/>
      <c r="N1784" s="30"/>
      <c r="O1784" s="30"/>
      <c r="P1784" s="39"/>
      <c r="Q1784" s="34"/>
      <c r="R1784" s="35"/>
      <c r="S1784" s="36"/>
      <c r="T1784" s="35"/>
      <c r="U1784" s="36"/>
      <c r="V1784" s="37"/>
    </row>
    <row r="1785" spans="1:22" x14ac:dyDescent="0.25">
      <c r="A1785" s="27"/>
      <c r="B1785" s="27"/>
      <c r="C1785" s="27"/>
      <c r="D1785" s="27"/>
      <c r="E1785" s="27"/>
      <c r="F1785" s="27"/>
      <c r="G1785" s="27"/>
      <c r="H1785" s="28"/>
      <c r="I1785" s="27"/>
      <c r="J1785" s="29"/>
      <c r="K1785" s="30"/>
      <c r="L1785" s="31"/>
      <c r="M1785" s="32"/>
      <c r="N1785" s="30"/>
      <c r="O1785" s="30"/>
      <c r="P1785" s="39"/>
      <c r="Q1785" s="34"/>
      <c r="R1785" s="35"/>
      <c r="S1785" s="36"/>
      <c r="T1785" s="35"/>
      <c r="U1785" s="36"/>
      <c r="V1785" s="37"/>
    </row>
    <row r="1786" spans="1:22" x14ac:dyDescent="0.25">
      <c r="A1786" s="27"/>
      <c r="B1786" s="27"/>
      <c r="C1786" s="27"/>
      <c r="D1786" s="27"/>
      <c r="E1786" s="27"/>
      <c r="F1786" s="27"/>
      <c r="G1786" s="27"/>
      <c r="H1786" s="28"/>
      <c r="I1786" s="27"/>
      <c r="J1786" s="29"/>
      <c r="K1786" s="30"/>
      <c r="L1786" s="31"/>
      <c r="M1786" s="32"/>
      <c r="N1786" s="30"/>
      <c r="O1786" s="30"/>
      <c r="P1786" s="39"/>
      <c r="Q1786" s="34"/>
      <c r="R1786" s="35"/>
      <c r="S1786" s="36"/>
      <c r="T1786" s="35"/>
      <c r="U1786" s="36"/>
      <c r="V1786" s="37"/>
    </row>
    <row r="1787" spans="1:22" x14ac:dyDescent="0.25">
      <c r="A1787" s="27"/>
      <c r="B1787" s="27"/>
      <c r="C1787" s="27"/>
      <c r="D1787" s="27"/>
      <c r="E1787" s="27"/>
      <c r="F1787" s="27"/>
      <c r="G1787" s="27"/>
      <c r="H1787" s="28"/>
      <c r="I1787" s="27"/>
      <c r="J1787" s="29"/>
      <c r="K1787" s="30"/>
      <c r="L1787" s="31"/>
      <c r="M1787" s="32"/>
      <c r="N1787" s="30"/>
      <c r="O1787" s="30"/>
      <c r="P1787" s="39"/>
      <c r="Q1787" s="34"/>
      <c r="R1787" s="35"/>
      <c r="S1787" s="36"/>
      <c r="T1787" s="35"/>
      <c r="U1787" s="36"/>
      <c r="V1787" s="37"/>
    </row>
    <row r="1788" spans="1:22" x14ac:dyDescent="0.25">
      <c r="A1788" s="27"/>
      <c r="B1788" s="27"/>
      <c r="C1788" s="27"/>
      <c r="D1788" s="27"/>
      <c r="E1788" s="27"/>
      <c r="F1788" s="27"/>
      <c r="G1788" s="27"/>
      <c r="H1788" s="28"/>
      <c r="I1788" s="27"/>
      <c r="J1788" s="29"/>
      <c r="K1788" s="30"/>
      <c r="L1788" s="31"/>
      <c r="M1788" s="32"/>
      <c r="N1788" s="30"/>
      <c r="O1788" s="30"/>
      <c r="P1788" s="39"/>
      <c r="Q1788" s="34"/>
      <c r="R1788" s="35"/>
      <c r="S1788" s="36"/>
      <c r="T1788" s="35"/>
      <c r="U1788" s="36"/>
      <c r="V1788" s="37"/>
    </row>
    <row r="1789" spans="1:22" x14ac:dyDescent="0.25">
      <c r="A1789" s="27"/>
      <c r="B1789" s="27"/>
      <c r="C1789" s="27"/>
      <c r="D1789" s="27"/>
      <c r="E1789" s="27"/>
      <c r="F1789" s="27"/>
      <c r="G1789" s="27"/>
      <c r="H1789" s="28"/>
      <c r="I1789" s="27"/>
      <c r="J1789" s="29"/>
      <c r="K1789" s="30"/>
      <c r="L1789" s="31"/>
      <c r="M1789" s="32"/>
      <c r="N1789" s="30"/>
      <c r="O1789" s="30"/>
      <c r="P1789" s="39"/>
      <c r="Q1789" s="34"/>
      <c r="R1789" s="35"/>
      <c r="S1789" s="36"/>
      <c r="T1789" s="35"/>
      <c r="U1789" s="36"/>
      <c r="V1789" s="37"/>
    </row>
    <row r="1790" spans="1:22" x14ac:dyDescent="0.25">
      <c r="A1790" s="27"/>
      <c r="B1790" s="27"/>
      <c r="C1790" s="27"/>
      <c r="D1790" s="27"/>
      <c r="E1790" s="27"/>
      <c r="F1790" s="27"/>
      <c r="G1790" s="27"/>
      <c r="H1790" s="28"/>
      <c r="I1790" s="27"/>
      <c r="J1790" s="29"/>
      <c r="K1790" s="30"/>
      <c r="L1790" s="31"/>
      <c r="M1790" s="32"/>
      <c r="N1790" s="30"/>
      <c r="O1790" s="30"/>
      <c r="P1790" s="39"/>
      <c r="Q1790" s="34"/>
      <c r="R1790" s="35"/>
      <c r="S1790" s="36"/>
      <c r="T1790" s="35"/>
      <c r="U1790" s="36"/>
      <c r="V1790" s="37"/>
    </row>
    <row r="1791" spans="1:22" x14ac:dyDescent="0.25">
      <c r="A1791" s="27"/>
      <c r="B1791" s="27"/>
      <c r="C1791" s="27"/>
      <c r="D1791" s="27"/>
      <c r="E1791" s="27"/>
      <c r="F1791" s="27"/>
      <c r="G1791" s="27"/>
      <c r="H1791" s="28"/>
      <c r="I1791" s="27"/>
      <c r="J1791" s="29"/>
      <c r="K1791" s="30"/>
      <c r="L1791" s="31"/>
      <c r="M1791" s="32"/>
      <c r="N1791" s="30"/>
      <c r="O1791" s="30"/>
      <c r="P1791" s="39"/>
      <c r="Q1791" s="34"/>
      <c r="R1791" s="35"/>
      <c r="S1791" s="36"/>
      <c r="T1791" s="35"/>
      <c r="U1791" s="36"/>
      <c r="V1791" s="37"/>
    </row>
    <row r="1792" spans="1:22" x14ac:dyDescent="0.25">
      <c r="A1792" s="27"/>
      <c r="B1792" s="27"/>
      <c r="C1792" s="27"/>
      <c r="D1792" s="27"/>
      <c r="E1792" s="27"/>
      <c r="F1792" s="27"/>
      <c r="G1792" s="27"/>
      <c r="H1792" s="28"/>
      <c r="I1792" s="27"/>
      <c r="J1792" s="29"/>
      <c r="K1792" s="30"/>
      <c r="L1792" s="31"/>
      <c r="M1792" s="32"/>
      <c r="N1792" s="30"/>
      <c r="O1792" s="30"/>
      <c r="P1792" s="39"/>
      <c r="Q1792" s="34"/>
      <c r="R1792" s="35"/>
      <c r="S1792" s="36"/>
      <c r="T1792" s="35"/>
      <c r="U1792" s="36"/>
      <c r="V1792" s="37"/>
    </row>
    <row r="1793" spans="1:22" x14ac:dyDescent="0.25">
      <c r="A1793" s="27"/>
      <c r="B1793" s="27"/>
      <c r="C1793" s="27"/>
      <c r="D1793" s="27"/>
      <c r="E1793" s="27"/>
      <c r="F1793" s="27"/>
      <c r="G1793" s="27"/>
      <c r="H1793" s="28"/>
      <c r="I1793" s="27"/>
      <c r="J1793" s="29"/>
      <c r="K1793" s="30"/>
      <c r="L1793" s="31"/>
      <c r="M1793" s="32"/>
      <c r="N1793" s="30"/>
      <c r="O1793" s="30"/>
      <c r="P1793" s="39"/>
      <c r="Q1793" s="34"/>
      <c r="R1793" s="35"/>
      <c r="S1793" s="36"/>
      <c r="T1793" s="35"/>
      <c r="U1793" s="36"/>
      <c r="V1793" s="37"/>
    </row>
    <row r="1794" spans="1:22" x14ac:dyDescent="0.25">
      <c r="A1794" s="27"/>
      <c r="B1794" s="27"/>
      <c r="C1794" s="27"/>
      <c r="D1794" s="27"/>
      <c r="E1794" s="27"/>
      <c r="F1794" s="27"/>
      <c r="G1794" s="27"/>
      <c r="H1794" s="28"/>
      <c r="I1794" s="27"/>
      <c r="J1794" s="29"/>
      <c r="K1794" s="30"/>
      <c r="L1794" s="31"/>
      <c r="M1794" s="32"/>
      <c r="N1794" s="30"/>
      <c r="O1794" s="30"/>
      <c r="P1794" s="39"/>
      <c r="Q1794" s="34"/>
      <c r="R1794" s="35"/>
      <c r="S1794" s="36"/>
      <c r="T1794" s="35"/>
      <c r="U1794" s="36"/>
      <c r="V1794" s="37"/>
    </row>
    <row r="1795" spans="1:22" x14ac:dyDescent="0.25">
      <c r="A1795" s="27"/>
      <c r="B1795" s="27"/>
      <c r="C1795" s="27"/>
      <c r="D1795" s="27"/>
      <c r="E1795" s="27"/>
      <c r="F1795" s="27"/>
      <c r="G1795" s="27"/>
      <c r="H1795" s="28"/>
      <c r="I1795" s="27"/>
      <c r="J1795" s="29"/>
      <c r="K1795" s="30"/>
      <c r="L1795" s="31"/>
      <c r="M1795" s="32"/>
      <c r="N1795" s="30"/>
      <c r="O1795" s="30"/>
      <c r="P1795" s="39"/>
      <c r="Q1795" s="34"/>
      <c r="R1795" s="35"/>
      <c r="S1795" s="36"/>
      <c r="T1795" s="35"/>
      <c r="U1795" s="36"/>
      <c r="V1795" s="37"/>
    </row>
    <row r="1796" spans="1:22" x14ac:dyDescent="0.25">
      <c r="A1796" s="27"/>
      <c r="B1796" s="27"/>
      <c r="C1796" s="27"/>
      <c r="D1796" s="27"/>
      <c r="E1796" s="27"/>
      <c r="F1796" s="27"/>
      <c r="G1796" s="27"/>
      <c r="H1796" s="28"/>
      <c r="I1796" s="27"/>
      <c r="J1796" s="29"/>
      <c r="K1796" s="30"/>
      <c r="L1796" s="31"/>
      <c r="M1796" s="32"/>
      <c r="N1796" s="30"/>
      <c r="O1796" s="30"/>
      <c r="P1796" s="39"/>
      <c r="Q1796" s="34"/>
      <c r="R1796" s="35"/>
      <c r="S1796" s="36"/>
      <c r="T1796" s="35"/>
      <c r="U1796" s="36"/>
      <c r="V1796" s="37"/>
    </row>
    <row r="1797" spans="1:22" x14ac:dyDescent="0.25">
      <c r="A1797" s="27"/>
      <c r="B1797" s="27"/>
      <c r="C1797" s="27"/>
      <c r="D1797" s="27"/>
      <c r="E1797" s="27"/>
      <c r="F1797" s="27"/>
      <c r="G1797" s="27"/>
      <c r="H1797" s="28"/>
      <c r="I1797" s="27"/>
      <c r="J1797" s="29"/>
      <c r="K1797" s="30"/>
      <c r="L1797" s="31"/>
      <c r="M1797" s="32"/>
      <c r="N1797" s="30"/>
      <c r="O1797" s="30"/>
      <c r="P1797" s="39"/>
      <c r="Q1797" s="34"/>
      <c r="R1797" s="35"/>
      <c r="S1797" s="36"/>
      <c r="T1797" s="35"/>
      <c r="U1797" s="36"/>
      <c r="V1797" s="37"/>
    </row>
    <row r="1798" spans="1:22" x14ac:dyDescent="0.25">
      <c r="A1798" s="27"/>
      <c r="B1798" s="27"/>
      <c r="C1798" s="27"/>
      <c r="D1798" s="27"/>
      <c r="E1798" s="27"/>
      <c r="F1798" s="27"/>
      <c r="G1798" s="27"/>
      <c r="H1798" s="28"/>
      <c r="I1798" s="27"/>
      <c r="J1798" s="29"/>
      <c r="K1798" s="30"/>
      <c r="L1798" s="31"/>
      <c r="M1798" s="32"/>
      <c r="N1798" s="30"/>
      <c r="O1798" s="30"/>
      <c r="P1798" s="39"/>
      <c r="Q1798" s="34"/>
      <c r="R1798" s="35"/>
      <c r="S1798" s="36"/>
      <c r="T1798" s="35"/>
      <c r="U1798" s="36"/>
      <c r="V1798" s="37"/>
    </row>
    <row r="1799" spans="1:22" x14ac:dyDescent="0.25">
      <c r="A1799" s="27"/>
      <c r="B1799" s="27"/>
      <c r="C1799" s="27"/>
      <c r="D1799" s="27"/>
      <c r="E1799" s="27"/>
      <c r="F1799" s="27"/>
      <c r="G1799" s="27"/>
      <c r="H1799" s="28"/>
      <c r="I1799" s="27"/>
      <c r="J1799" s="29"/>
      <c r="K1799" s="30"/>
      <c r="L1799" s="31"/>
      <c r="M1799" s="32"/>
      <c r="N1799" s="30"/>
      <c r="O1799" s="30"/>
      <c r="P1799" s="39"/>
      <c r="Q1799" s="34"/>
      <c r="R1799" s="35"/>
      <c r="S1799" s="36"/>
      <c r="T1799" s="35"/>
      <c r="U1799" s="36"/>
      <c r="V1799" s="37"/>
    </row>
    <row r="1800" spans="1:22" x14ac:dyDescent="0.25">
      <c r="A1800" s="27"/>
      <c r="B1800" s="27"/>
      <c r="C1800" s="27"/>
      <c r="D1800" s="27"/>
      <c r="E1800" s="27"/>
      <c r="F1800" s="27"/>
      <c r="G1800" s="27"/>
      <c r="H1800" s="28"/>
      <c r="I1800" s="27"/>
      <c r="J1800" s="29"/>
      <c r="K1800" s="30"/>
      <c r="L1800" s="31"/>
      <c r="M1800" s="32"/>
      <c r="N1800" s="30"/>
      <c r="O1800" s="30"/>
      <c r="P1800" s="39"/>
      <c r="Q1800" s="34"/>
      <c r="R1800" s="35"/>
      <c r="S1800" s="36"/>
      <c r="T1800" s="35"/>
      <c r="U1800" s="36"/>
      <c r="V1800" s="37"/>
    </row>
    <row r="1801" spans="1:22" x14ac:dyDescent="0.25">
      <c r="A1801" s="27"/>
      <c r="B1801" s="27"/>
      <c r="C1801" s="27"/>
      <c r="D1801" s="27"/>
      <c r="E1801" s="27"/>
      <c r="F1801" s="27"/>
      <c r="G1801" s="27"/>
      <c r="H1801" s="28"/>
      <c r="I1801" s="27"/>
      <c r="J1801" s="29"/>
      <c r="K1801" s="30"/>
      <c r="L1801" s="31"/>
      <c r="M1801" s="32"/>
      <c r="N1801" s="30"/>
      <c r="O1801" s="30"/>
      <c r="P1801" s="39"/>
      <c r="Q1801" s="34"/>
      <c r="R1801" s="35"/>
      <c r="S1801" s="36"/>
      <c r="T1801" s="35"/>
      <c r="U1801" s="36"/>
      <c r="V1801" s="37"/>
    </row>
    <row r="1802" spans="1:22" x14ac:dyDescent="0.25">
      <c r="A1802" s="27"/>
      <c r="B1802" s="27"/>
      <c r="C1802" s="27"/>
      <c r="D1802" s="27"/>
      <c r="E1802" s="27"/>
      <c r="F1802" s="27"/>
      <c r="G1802" s="27"/>
      <c r="H1802" s="28"/>
      <c r="I1802" s="27"/>
      <c r="J1802" s="29"/>
      <c r="K1802" s="30"/>
      <c r="L1802" s="31"/>
      <c r="M1802" s="32"/>
      <c r="N1802" s="30"/>
      <c r="O1802" s="30"/>
      <c r="P1802" s="39"/>
      <c r="Q1802" s="34"/>
      <c r="R1802" s="35"/>
      <c r="S1802" s="36"/>
      <c r="T1802" s="35"/>
      <c r="U1802" s="36"/>
      <c r="V1802" s="37"/>
    </row>
    <row r="1803" spans="1:22" x14ac:dyDescent="0.25">
      <c r="A1803" s="27"/>
      <c r="B1803" s="27"/>
      <c r="C1803" s="27"/>
      <c r="D1803" s="27"/>
      <c r="E1803" s="27"/>
      <c r="F1803" s="27"/>
      <c r="G1803" s="27"/>
      <c r="H1803" s="28"/>
      <c r="I1803" s="27"/>
      <c r="J1803" s="29"/>
      <c r="K1803" s="30"/>
      <c r="L1803" s="31"/>
      <c r="M1803" s="32"/>
      <c r="N1803" s="30"/>
      <c r="O1803" s="30"/>
      <c r="P1803" s="39"/>
      <c r="Q1803" s="34"/>
      <c r="R1803" s="35"/>
      <c r="S1803" s="36"/>
      <c r="T1803" s="35"/>
      <c r="U1803" s="36"/>
      <c r="V1803" s="37"/>
    </row>
    <row r="1804" spans="1:22" x14ac:dyDescent="0.25">
      <c r="A1804" s="27"/>
      <c r="B1804" s="27"/>
      <c r="C1804" s="27"/>
      <c r="D1804" s="27"/>
      <c r="E1804" s="27"/>
      <c r="F1804" s="27"/>
      <c r="G1804" s="27"/>
      <c r="H1804" s="28"/>
      <c r="I1804" s="27"/>
      <c r="J1804" s="29"/>
      <c r="K1804" s="30"/>
      <c r="L1804" s="31"/>
      <c r="M1804" s="32"/>
      <c r="N1804" s="30"/>
      <c r="O1804" s="30"/>
      <c r="P1804" s="39"/>
      <c r="Q1804" s="34"/>
      <c r="R1804" s="35"/>
      <c r="S1804" s="36"/>
      <c r="T1804" s="35"/>
      <c r="U1804" s="36"/>
      <c r="V1804" s="37"/>
    </row>
    <row r="1805" spans="1:22" x14ac:dyDescent="0.25">
      <c r="A1805" s="27"/>
      <c r="B1805" s="27"/>
      <c r="C1805" s="27"/>
      <c r="D1805" s="27"/>
      <c r="E1805" s="27"/>
      <c r="F1805" s="27"/>
      <c r="G1805" s="27"/>
      <c r="H1805" s="28"/>
      <c r="I1805" s="27"/>
      <c r="J1805" s="29"/>
      <c r="K1805" s="30"/>
      <c r="L1805" s="31"/>
      <c r="M1805" s="32"/>
      <c r="N1805" s="30"/>
      <c r="O1805" s="30"/>
      <c r="P1805" s="39"/>
      <c r="Q1805" s="34"/>
      <c r="R1805" s="35"/>
      <c r="S1805" s="36"/>
      <c r="T1805" s="35"/>
      <c r="U1805" s="36"/>
      <c r="V1805" s="37"/>
    </row>
    <row r="1806" spans="1:22" x14ac:dyDescent="0.25">
      <c r="A1806" s="27"/>
      <c r="B1806" s="27"/>
      <c r="C1806" s="27"/>
      <c r="D1806" s="27"/>
      <c r="E1806" s="27"/>
      <c r="F1806" s="27"/>
      <c r="G1806" s="27"/>
      <c r="H1806" s="28"/>
      <c r="I1806" s="27"/>
      <c r="J1806" s="29"/>
      <c r="K1806" s="30"/>
      <c r="L1806" s="31"/>
      <c r="M1806" s="32"/>
      <c r="N1806" s="30"/>
      <c r="O1806" s="30"/>
      <c r="P1806" s="39"/>
      <c r="Q1806" s="34"/>
      <c r="R1806" s="35"/>
      <c r="S1806" s="36"/>
      <c r="T1806" s="35"/>
      <c r="U1806" s="36"/>
      <c r="V1806" s="37"/>
    </row>
    <row r="1807" spans="1:22" x14ac:dyDescent="0.25">
      <c r="A1807" s="27"/>
      <c r="B1807" s="27"/>
      <c r="C1807" s="27"/>
      <c r="D1807" s="27"/>
      <c r="E1807" s="27"/>
      <c r="F1807" s="27"/>
      <c r="G1807" s="27"/>
      <c r="H1807" s="28"/>
      <c r="I1807" s="27"/>
      <c r="J1807" s="29"/>
      <c r="K1807" s="30"/>
      <c r="L1807" s="31"/>
      <c r="M1807" s="32"/>
      <c r="N1807" s="30"/>
      <c r="O1807" s="30"/>
      <c r="P1807" s="39"/>
      <c r="Q1807" s="34"/>
      <c r="R1807" s="35"/>
      <c r="S1807" s="36"/>
      <c r="T1807" s="35"/>
      <c r="U1807" s="36"/>
      <c r="V1807" s="37"/>
    </row>
    <row r="1808" spans="1:22" x14ac:dyDescent="0.25">
      <c r="A1808" s="27"/>
      <c r="B1808" s="27"/>
      <c r="C1808" s="27"/>
      <c r="D1808" s="27"/>
      <c r="E1808" s="27"/>
      <c r="F1808" s="27"/>
      <c r="G1808" s="27"/>
      <c r="H1808" s="28"/>
      <c r="I1808" s="27"/>
      <c r="J1808" s="29"/>
      <c r="K1808" s="30"/>
      <c r="L1808" s="31"/>
      <c r="M1808" s="32"/>
      <c r="N1808" s="30"/>
      <c r="O1808" s="30"/>
      <c r="P1808" s="39"/>
      <c r="Q1808" s="34"/>
      <c r="R1808" s="35"/>
      <c r="S1808" s="36"/>
      <c r="T1808" s="35"/>
      <c r="U1808" s="36"/>
      <c r="V1808" s="37"/>
    </row>
    <row r="1809" spans="1:22" x14ac:dyDescent="0.25">
      <c r="A1809" s="27"/>
      <c r="B1809" s="27"/>
      <c r="C1809" s="27"/>
      <c r="D1809" s="27"/>
      <c r="E1809" s="27"/>
      <c r="F1809" s="27"/>
      <c r="G1809" s="27"/>
      <c r="H1809" s="28"/>
      <c r="I1809" s="27"/>
      <c r="J1809" s="29"/>
      <c r="K1809" s="30"/>
      <c r="L1809" s="31"/>
      <c r="M1809" s="32"/>
      <c r="N1809" s="30"/>
      <c r="O1809" s="30"/>
      <c r="P1809" s="39"/>
      <c r="Q1809" s="34"/>
      <c r="R1809" s="35"/>
      <c r="S1809" s="36"/>
      <c r="T1809" s="35"/>
      <c r="U1809" s="36"/>
      <c r="V1809" s="37"/>
    </row>
    <row r="1810" spans="1:22" x14ac:dyDescent="0.25">
      <c r="A1810" s="27"/>
      <c r="B1810" s="27"/>
      <c r="C1810" s="27"/>
      <c r="D1810" s="27"/>
      <c r="E1810" s="27"/>
      <c r="F1810" s="27"/>
      <c r="G1810" s="27"/>
      <c r="H1810" s="28"/>
      <c r="I1810" s="27"/>
      <c r="J1810" s="29"/>
      <c r="K1810" s="30"/>
      <c r="L1810" s="31"/>
      <c r="M1810" s="32"/>
      <c r="N1810" s="30"/>
      <c r="O1810" s="30"/>
      <c r="P1810" s="39"/>
      <c r="Q1810" s="34"/>
      <c r="R1810" s="35"/>
      <c r="S1810" s="36"/>
      <c r="T1810" s="35"/>
      <c r="U1810" s="36"/>
      <c r="V1810" s="37"/>
    </row>
    <row r="1811" spans="1:22" x14ac:dyDescent="0.25">
      <c r="A1811" s="27"/>
      <c r="B1811" s="27"/>
      <c r="C1811" s="27"/>
      <c r="D1811" s="27"/>
      <c r="E1811" s="27"/>
      <c r="F1811" s="27"/>
      <c r="G1811" s="27"/>
      <c r="H1811" s="28"/>
      <c r="I1811" s="27"/>
      <c r="J1811" s="29"/>
      <c r="K1811" s="30"/>
      <c r="L1811" s="31"/>
      <c r="M1811" s="32"/>
      <c r="N1811" s="30"/>
      <c r="O1811" s="30"/>
      <c r="P1811" s="39"/>
      <c r="Q1811" s="34"/>
      <c r="R1811" s="35"/>
      <c r="S1811" s="36"/>
      <c r="T1811" s="35"/>
      <c r="U1811" s="36"/>
      <c r="V1811" s="37"/>
    </row>
    <row r="1812" spans="1:22" x14ac:dyDescent="0.25">
      <c r="A1812" s="27"/>
      <c r="B1812" s="27"/>
      <c r="C1812" s="27"/>
      <c r="D1812" s="27"/>
      <c r="E1812" s="27"/>
      <c r="F1812" s="27"/>
      <c r="G1812" s="27"/>
      <c r="H1812" s="28"/>
      <c r="I1812" s="27"/>
      <c r="J1812" s="29"/>
      <c r="K1812" s="30"/>
      <c r="L1812" s="31"/>
      <c r="M1812" s="32"/>
      <c r="N1812" s="30"/>
      <c r="O1812" s="30"/>
      <c r="P1812" s="39"/>
      <c r="Q1812" s="34"/>
      <c r="R1812" s="35"/>
      <c r="S1812" s="36"/>
      <c r="T1812" s="35"/>
      <c r="U1812" s="36"/>
      <c r="V1812" s="37"/>
    </row>
    <row r="1813" spans="1:22" x14ac:dyDescent="0.25">
      <c r="A1813" s="27"/>
      <c r="B1813" s="27"/>
      <c r="C1813" s="27"/>
      <c r="D1813" s="27"/>
      <c r="E1813" s="27"/>
      <c r="F1813" s="27"/>
      <c r="G1813" s="27"/>
      <c r="H1813" s="28"/>
      <c r="I1813" s="27"/>
      <c r="J1813" s="29"/>
      <c r="K1813" s="30"/>
      <c r="L1813" s="31"/>
      <c r="M1813" s="32"/>
      <c r="N1813" s="30"/>
      <c r="O1813" s="30"/>
      <c r="P1813" s="39"/>
      <c r="Q1813" s="34"/>
      <c r="R1813" s="35"/>
      <c r="S1813" s="36"/>
      <c r="T1813" s="35"/>
      <c r="U1813" s="36"/>
      <c r="V1813" s="37"/>
    </row>
    <row r="1814" spans="1:22" x14ac:dyDescent="0.25">
      <c r="A1814" s="27"/>
      <c r="B1814" s="27"/>
      <c r="C1814" s="27"/>
      <c r="D1814" s="27"/>
      <c r="E1814" s="27"/>
      <c r="F1814" s="27"/>
      <c r="G1814" s="27"/>
      <c r="H1814" s="28"/>
      <c r="I1814" s="27"/>
      <c r="J1814" s="29"/>
      <c r="K1814" s="30"/>
      <c r="L1814" s="31"/>
      <c r="M1814" s="32"/>
      <c r="N1814" s="30"/>
      <c r="O1814" s="30"/>
      <c r="P1814" s="39"/>
      <c r="Q1814" s="34"/>
      <c r="R1814" s="35"/>
      <c r="S1814" s="36"/>
      <c r="T1814" s="35"/>
      <c r="U1814" s="36"/>
      <c r="V1814" s="37"/>
    </row>
    <row r="1815" spans="1:22" x14ac:dyDescent="0.25">
      <c r="A1815" s="27"/>
      <c r="B1815" s="27"/>
      <c r="C1815" s="27"/>
      <c r="D1815" s="27"/>
      <c r="E1815" s="27"/>
      <c r="F1815" s="27"/>
      <c r="G1815" s="27"/>
      <c r="H1815" s="28"/>
      <c r="I1815" s="27"/>
      <c r="J1815" s="29"/>
      <c r="K1815" s="30"/>
      <c r="L1815" s="31"/>
      <c r="M1815" s="32"/>
      <c r="N1815" s="30"/>
      <c r="O1815" s="30"/>
      <c r="P1815" s="39"/>
      <c r="Q1815" s="34"/>
      <c r="R1815" s="35"/>
      <c r="S1815" s="36"/>
      <c r="T1815" s="35"/>
      <c r="U1815" s="36"/>
      <c r="V1815" s="37"/>
    </row>
    <row r="1816" spans="1:22" x14ac:dyDescent="0.25">
      <c r="A1816" s="27"/>
      <c r="B1816" s="27"/>
      <c r="C1816" s="27"/>
      <c r="D1816" s="27"/>
      <c r="E1816" s="27"/>
      <c r="F1816" s="27"/>
      <c r="G1816" s="27"/>
      <c r="H1816" s="28"/>
      <c r="I1816" s="27"/>
      <c r="J1816" s="29"/>
      <c r="K1816" s="30"/>
      <c r="L1816" s="31"/>
      <c r="M1816" s="32"/>
      <c r="N1816" s="30"/>
      <c r="O1816" s="30"/>
      <c r="P1816" s="39"/>
      <c r="Q1816" s="34"/>
      <c r="R1816" s="35"/>
      <c r="S1816" s="36"/>
      <c r="T1816" s="35"/>
      <c r="U1816" s="36"/>
      <c r="V1816" s="37"/>
    </row>
    <row r="1817" spans="1:22" x14ac:dyDescent="0.25">
      <c r="A1817" s="27"/>
      <c r="B1817" s="27"/>
      <c r="C1817" s="27"/>
      <c r="D1817" s="27"/>
      <c r="E1817" s="27"/>
      <c r="F1817" s="27"/>
      <c r="G1817" s="27"/>
      <c r="H1817" s="28"/>
      <c r="I1817" s="27"/>
      <c r="J1817" s="29"/>
      <c r="K1817" s="30"/>
      <c r="L1817" s="31"/>
      <c r="M1817" s="32"/>
      <c r="N1817" s="30"/>
      <c r="O1817" s="30"/>
      <c r="P1817" s="39"/>
      <c r="Q1817" s="34"/>
      <c r="R1817" s="35"/>
      <c r="S1817" s="36"/>
      <c r="T1817" s="35"/>
      <c r="U1817" s="36"/>
      <c r="V1817" s="37"/>
    </row>
    <row r="1818" spans="1:22" x14ac:dyDescent="0.25">
      <c r="A1818" s="27"/>
      <c r="B1818" s="27"/>
      <c r="C1818" s="27"/>
      <c r="D1818" s="27"/>
      <c r="E1818" s="27"/>
      <c r="F1818" s="27"/>
      <c r="G1818" s="27"/>
      <c r="H1818" s="28"/>
      <c r="I1818" s="27"/>
      <c r="J1818" s="29"/>
      <c r="K1818" s="30"/>
      <c r="L1818" s="31"/>
      <c r="M1818" s="32"/>
      <c r="N1818" s="30"/>
      <c r="O1818" s="30"/>
      <c r="P1818" s="39"/>
      <c r="Q1818" s="34"/>
      <c r="R1818" s="35"/>
      <c r="S1818" s="36"/>
      <c r="T1818" s="35"/>
      <c r="U1818" s="36"/>
      <c r="V1818" s="37"/>
    </row>
    <row r="1819" spans="1:22" x14ac:dyDescent="0.25">
      <c r="A1819" s="27"/>
      <c r="B1819" s="27"/>
      <c r="C1819" s="27"/>
      <c r="D1819" s="27"/>
      <c r="E1819" s="27"/>
      <c r="F1819" s="27"/>
      <c r="G1819" s="27"/>
      <c r="H1819" s="28"/>
      <c r="I1819" s="27"/>
      <c r="J1819" s="29"/>
      <c r="K1819" s="30"/>
      <c r="L1819" s="31"/>
      <c r="M1819" s="32"/>
      <c r="N1819" s="30"/>
      <c r="O1819" s="30"/>
      <c r="P1819" s="39"/>
      <c r="Q1819" s="34"/>
      <c r="R1819" s="35"/>
      <c r="S1819" s="36"/>
      <c r="T1819" s="35"/>
      <c r="U1819" s="36"/>
      <c r="V1819" s="37"/>
    </row>
    <row r="1820" spans="1:22" x14ac:dyDescent="0.25">
      <c r="A1820" s="27"/>
      <c r="B1820" s="27"/>
      <c r="C1820" s="27"/>
      <c r="D1820" s="27"/>
      <c r="E1820" s="27"/>
      <c r="F1820" s="27"/>
      <c r="G1820" s="27"/>
      <c r="H1820" s="28"/>
      <c r="I1820" s="27"/>
      <c r="J1820" s="29"/>
      <c r="K1820" s="30"/>
      <c r="L1820" s="31"/>
      <c r="M1820" s="32"/>
      <c r="N1820" s="30"/>
      <c r="O1820" s="30"/>
      <c r="P1820" s="39"/>
      <c r="Q1820" s="34"/>
      <c r="R1820" s="35"/>
      <c r="S1820" s="36"/>
      <c r="T1820" s="35"/>
      <c r="U1820" s="36"/>
      <c r="V1820" s="37"/>
    </row>
    <row r="1821" spans="1:22" x14ac:dyDescent="0.25">
      <c r="A1821" s="27"/>
      <c r="B1821" s="27"/>
      <c r="C1821" s="27"/>
      <c r="D1821" s="27"/>
      <c r="E1821" s="27"/>
      <c r="F1821" s="27"/>
      <c r="G1821" s="27"/>
      <c r="H1821" s="28"/>
      <c r="I1821" s="27"/>
      <c r="J1821" s="29"/>
      <c r="K1821" s="30"/>
      <c r="L1821" s="31"/>
      <c r="M1821" s="32"/>
      <c r="N1821" s="30"/>
      <c r="O1821" s="30"/>
      <c r="P1821" s="39"/>
      <c r="Q1821" s="34"/>
      <c r="R1821" s="35"/>
      <c r="S1821" s="36"/>
      <c r="T1821" s="35"/>
      <c r="U1821" s="36"/>
      <c r="V1821" s="37"/>
    </row>
    <row r="1822" spans="1:22" x14ac:dyDescent="0.25">
      <c r="A1822" s="27"/>
      <c r="B1822" s="27"/>
      <c r="C1822" s="27"/>
      <c r="D1822" s="27"/>
      <c r="E1822" s="27"/>
      <c r="F1822" s="27"/>
      <c r="G1822" s="27"/>
      <c r="H1822" s="28"/>
      <c r="I1822" s="27"/>
      <c r="J1822" s="29"/>
      <c r="K1822" s="30"/>
      <c r="L1822" s="31"/>
      <c r="M1822" s="32"/>
      <c r="N1822" s="30"/>
      <c r="O1822" s="30"/>
      <c r="P1822" s="39"/>
      <c r="Q1822" s="34"/>
      <c r="R1822" s="35"/>
      <c r="S1822" s="36"/>
      <c r="T1822" s="35"/>
      <c r="U1822" s="36"/>
      <c r="V1822" s="37"/>
    </row>
    <row r="1823" spans="1:22" x14ac:dyDescent="0.25">
      <c r="A1823" s="27"/>
      <c r="B1823" s="27"/>
      <c r="C1823" s="27"/>
      <c r="D1823" s="27"/>
      <c r="E1823" s="27"/>
      <c r="F1823" s="27"/>
      <c r="G1823" s="27"/>
      <c r="H1823" s="28"/>
      <c r="I1823" s="27"/>
      <c r="J1823" s="29"/>
      <c r="K1823" s="30"/>
      <c r="L1823" s="31"/>
      <c r="M1823" s="32"/>
      <c r="N1823" s="30"/>
      <c r="O1823" s="30"/>
      <c r="P1823" s="39"/>
      <c r="Q1823" s="34"/>
      <c r="R1823" s="35"/>
      <c r="S1823" s="36"/>
      <c r="T1823" s="35"/>
      <c r="U1823" s="36"/>
      <c r="V1823" s="37"/>
    </row>
    <row r="1824" spans="1:22" x14ac:dyDescent="0.25">
      <c r="A1824" s="27"/>
      <c r="B1824" s="27"/>
      <c r="C1824" s="27"/>
      <c r="D1824" s="27"/>
      <c r="E1824" s="27"/>
      <c r="F1824" s="27"/>
      <c r="G1824" s="27"/>
      <c r="H1824" s="28"/>
      <c r="I1824" s="27"/>
      <c r="J1824" s="29"/>
      <c r="K1824" s="30"/>
      <c r="L1824" s="31"/>
      <c r="M1824" s="32"/>
      <c r="N1824" s="30"/>
      <c r="O1824" s="30"/>
      <c r="P1824" s="39"/>
      <c r="Q1824" s="34"/>
      <c r="R1824" s="35"/>
      <c r="S1824" s="36"/>
      <c r="T1824" s="35"/>
      <c r="U1824" s="36"/>
      <c r="V1824" s="37"/>
    </row>
    <row r="1825" spans="1:22" x14ac:dyDescent="0.25">
      <c r="A1825" s="27"/>
      <c r="B1825" s="27"/>
      <c r="C1825" s="27"/>
      <c r="D1825" s="27"/>
      <c r="E1825" s="27"/>
      <c r="F1825" s="27"/>
      <c r="G1825" s="27"/>
      <c r="H1825" s="28"/>
      <c r="I1825" s="27"/>
      <c r="J1825" s="29"/>
      <c r="K1825" s="30"/>
      <c r="L1825" s="31"/>
      <c r="M1825" s="32"/>
      <c r="N1825" s="30"/>
      <c r="O1825" s="30"/>
      <c r="P1825" s="39"/>
      <c r="Q1825" s="34"/>
      <c r="R1825" s="35"/>
      <c r="S1825" s="36"/>
      <c r="T1825" s="35"/>
      <c r="U1825" s="36"/>
      <c r="V1825" s="37"/>
    </row>
    <row r="1826" spans="1:22" x14ac:dyDescent="0.25">
      <c r="A1826" s="27"/>
      <c r="B1826" s="27"/>
      <c r="C1826" s="27"/>
      <c r="D1826" s="27"/>
      <c r="E1826" s="27"/>
      <c r="F1826" s="27"/>
      <c r="G1826" s="27"/>
      <c r="H1826" s="28"/>
      <c r="I1826" s="27"/>
      <c r="J1826" s="29"/>
      <c r="K1826" s="30"/>
      <c r="L1826" s="31"/>
      <c r="M1826" s="32"/>
      <c r="N1826" s="30"/>
      <c r="O1826" s="30"/>
      <c r="P1826" s="39"/>
      <c r="Q1826" s="34"/>
      <c r="R1826" s="35"/>
      <c r="S1826" s="36"/>
      <c r="T1826" s="35"/>
      <c r="U1826" s="36"/>
      <c r="V1826" s="37"/>
    </row>
    <row r="1827" spans="1:22" x14ac:dyDescent="0.25">
      <c r="A1827" s="27"/>
      <c r="B1827" s="27"/>
      <c r="C1827" s="27"/>
      <c r="D1827" s="27"/>
      <c r="E1827" s="27"/>
      <c r="F1827" s="27"/>
      <c r="G1827" s="27"/>
      <c r="H1827" s="28"/>
      <c r="I1827" s="27"/>
      <c r="J1827" s="29"/>
      <c r="K1827" s="30"/>
      <c r="L1827" s="31"/>
      <c r="M1827" s="32"/>
      <c r="N1827" s="30"/>
      <c r="O1827" s="30"/>
      <c r="P1827" s="39"/>
      <c r="Q1827" s="34"/>
      <c r="R1827" s="35"/>
      <c r="S1827" s="36"/>
      <c r="T1827" s="35"/>
      <c r="U1827" s="36"/>
      <c r="V1827" s="37"/>
    </row>
    <row r="1828" spans="1:22" x14ac:dyDescent="0.25">
      <c r="A1828" s="27"/>
      <c r="B1828" s="27"/>
      <c r="C1828" s="27"/>
      <c r="D1828" s="27"/>
      <c r="E1828" s="27"/>
      <c r="F1828" s="27"/>
      <c r="G1828" s="27"/>
      <c r="H1828" s="28"/>
      <c r="I1828" s="27"/>
      <c r="J1828" s="29"/>
      <c r="K1828" s="30"/>
      <c r="L1828" s="31"/>
      <c r="M1828" s="32"/>
      <c r="N1828" s="30"/>
      <c r="O1828" s="30"/>
      <c r="P1828" s="39"/>
      <c r="Q1828" s="34"/>
      <c r="R1828" s="35"/>
      <c r="S1828" s="36"/>
      <c r="T1828" s="35"/>
      <c r="U1828" s="36"/>
      <c r="V1828" s="37"/>
    </row>
    <row r="1829" spans="1:22" x14ac:dyDescent="0.25">
      <c r="A1829" s="27"/>
      <c r="B1829" s="27"/>
      <c r="C1829" s="27"/>
      <c r="D1829" s="27"/>
      <c r="E1829" s="27"/>
      <c r="F1829" s="27"/>
      <c r="G1829" s="27"/>
      <c r="H1829" s="28"/>
      <c r="I1829" s="27"/>
      <c r="J1829" s="29"/>
      <c r="K1829" s="30"/>
      <c r="L1829" s="31"/>
      <c r="M1829" s="32"/>
      <c r="N1829" s="30"/>
      <c r="O1829" s="30"/>
      <c r="P1829" s="39"/>
      <c r="Q1829" s="34"/>
      <c r="R1829" s="35"/>
      <c r="S1829" s="36"/>
      <c r="T1829" s="35"/>
      <c r="U1829" s="36"/>
      <c r="V1829" s="37"/>
    </row>
    <row r="1830" spans="1:22" x14ac:dyDescent="0.25">
      <c r="A1830" s="27"/>
      <c r="B1830" s="27"/>
      <c r="C1830" s="27"/>
      <c r="D1830" s="27"/>
      <c r="E1830" s="27"/>
      <c r="F1830" s="27"/>
      <c r="G1830" s="27"/>
      <c r="H1830" s="28"/>
      <c r="I1830" s="27"/>
      <c r="J1830" s="29"/>
      <c r="K1830" s="30"/>
      <c r="L1830" s="31"/>
      <c r="M1830" s="32"/>
      <c r="N1830" s="30"/>
      <c r="O1830" s="30"/>
      <c r="P1830" s="39"/>
      <c r="Q1830" s="34"/>
      <c r="R1830" s="35"/>
      <c r="S1830" s="36"/>
      <c r="T1830" s="35"/>
      <c r="U1830" s="36"/>
      <c r="V1830" s="37"/>
    </row>
    <row r="1831" spans="1:22" x14ac:dyDescent="0.25">
      <c r="A1831" s="27"/>
      <c r="B1831" s="27"/>
      <c r="C1831" s="27"/>
      <c r="D1831" s="27"/>
      <c r="E1831" s="27"/>
      <c r="F1831" s="27"/>
      <c r="G1831" s="27"/>
      <c r="H1831" s="28"/>
      <c r="I1831" s="27"/>
      <c r="J1831" s="29"/>
      <c r="K1831" s="30"/>
      <c r="L1831" s="31"/>
      <c r="M1831" s="32"/>
      <c r="N1831" s="30"/>
      <c r="O1831" s="30"/>
      <c r="P1831" s="39"/>
      <c r="Q1831" s="34"/>
      <c r="R1831" s="35"/>
      <c r="S1831" s="36"/>
      <c r="T1831" s="35"/>
      <c r="U1831" s="36"/>
      <c r="V1831" s="37"/>
    </row>
    <row r="1832" spans="1:22" x14ac:dyDescent="0.25">
      <c r="A1832" s="27"/>
      <c r="B1832" s="27"/>
      <c r="C1832" s="27"/>
      <c r="D1832" s="27"/>
      <c r="E1832" s="27"/>
      <c r="F1832" s="27"/>
      <c r="G1832" s="27"/>
      <c r="H1832" s="28"/>
      <c r="I1832" s="27"/>
      <c r="J1832" s="29"/>
      <c r="K1832" s="30"/>
      <c r="L1832" s="31"/>
      <c r="M1832" s="32"/>
      <c r="N1832" s="30"/>
      <c r="O1832" s="30"/>
      <c r="P1832" s="39"/>
      <c r="Q1832" s="34"/>
      <c r="R1832" s="35"/>
      <c r="S1832" s="36"/>
      <c r="T1832" s="35"/>
      <c r="U1832" s="36"/>
      <c r="V1832" s="37"/>
    </row>
    <row r="1833" spans="1:22" x14ac:dyDescent="0.25">
      <c r="A1833" s="27"/>
      <c r="B1833" s="27"/>
      <c r="C1833" s="27"/>
      <c r="D1833" s="27"/>
      <c r="E1833" s="27"/>
      <c r="F1833" s="27"/>
      <c r="G1833" s="27"/>
      <c r="H1833" s="28"/>
      <c r="I1833" s="27"/>
      <c r="J1833" s="29"/>
      <c r="K1833" s="30"/>
      <c r="L1833" s="31"/>
      <c r="M1833" s="32"/>
      <c r="N1833" s="30"/>
      <c r="O1833" s="30"/>
      <c r="P1833" s="39"/>
      <c r="Q1833" s="34"/>
      <c r="R1833" s="35"/>
      <c r="S1833" s="36"/>
      <c r="T1833" s="35"/>
      <c r="U1833" s="36"/>
      <c r="V1833" s="37"/>
    </row>
    <row r="1834" spans="1:22" x14ac:dyDescent="0.25">
      <c r="A1834" s="27"/>
      <c r="B1834" s="27"/>
      <c r="C1834" s="27"/>
      <c r="D1834" s="27"/>
      <c r="E1834" s="27"/>
      <c r="F1834" s="27"/>
      <c r="G1834" s="27"/>
      <c r="H1834" s="28"/>
      <c r="I1834" s="27"/>
      <c r="J1834" s="29"/>
      <c r="K1834" s="30"/>
      <c r="L1834" s="31"/>
      <c r="M1834" s="32"/>
      <c r="N1834" s="30"/>
      <c r="O1834" s="30"/>
      <c r="P1834" s="39"/>
      <c r="Q1834" s="34"/>
      <c r="R1834" s="35"/>
      <c r="S1834" s="36"/>
      <c r="T1834" s="35"/>
      <c r="U1834" s="36"/>
      <c r="V1834" s="37"/>
    </row>
    <row r="1835" spans="1:22" x14ac:dyDescent="0.25">
      <c r="A1835" s="27"/>
      <c r="B1835" s="27"/>
      <c r="C1835" s="27"/>
      <c r="D1835" s="27"/>
      <c r="E1835" s="27"/>
      <c r="F1835" s="27"/>
      <c r="G1835" s="27"/>
      <c r="H1835" s="28"/>
      <c r="I1835" s="27"/>
      <c r="J1835" s="29"/>
      <c r="K1835" s="30"/>
      <c r="L1835" s="31"/>
      <c r="M1835" s="32"/>
      <c r="N1835" s="30"/>
      <c r="O1835" s="30"/>
      <c r="P1835" s="39"/>
      <c r="Q1835" s="34"/>
      <c r="R1835" s="35"/>
      <c r="S1835" s="36"/>
      <c r="T1835" s="35"/>
      <c r="U1835" s="36"/>
      <c r="V1835" s="37"/>
    </row>
    <row r="1836" spans="1:22" x14ac:dyDescent="0.25">
      <c r="A1836" s="27"/>
      <c r="B1836" s="27"/>
      <c r="C1836" s="27"/>
      <c r="D1836" s="27"/>
      <c r="E1836" s="27"/>
      <c r="F1836" s="27"/>
      <c r="G1836" s="27"/>
      <c r="H1836" s="28"/>
      <c r="I1836" s="27"/>
      <c r="J1836" s="29"/>
      <c r="K1836" s="30"/>
      <c r="L1836" s="31"/>
      <c r="M1836" s="32"/>
      <c r="N1836" s="30"/>
      <c r="O1836" s="30"/>
      <c r="P1836" s="39"/>
      <c r="Q1836" s="34"/>
      <c r="R1836" s="35"/>
      <c r="S1836" s="36"/>
      <c r="T1836" s="35"/>
      <c r="U1836" s="36"/>
      <c r="V1836" s="37"/>
    </row>
    <row r="1837" spans="1:22" x14ac:dyDescent="0.25">
      <c r="A1837" s="27"/>
      <c r="B1837" s="27"/>
      <c r="C1837" s="27"/>
      <c r="D1837" s="27"/>
      <c r="E1837" s="27"/>
      <c r="F1837" s="27"/>
      <c r="G1837" s="27"/>
      <c r="H1837" s="28"/>
      <c r="I1837" s="27"/>
      <c r="J1837" s="29"/>
      <c r="K1837" s="30"/>
      <c r="L1837" s="31"/>
      <c r="M1837" s="32"/>
      <c r="N1837" s="30"/>
      <c r="O1837" s="30"/>
      <c r="P1837" s="39"/>
      <c r="Q1837" s="34"/>
      <c r="R1837" s="35"/>
      <c r="S1837" s="36"/>
      <c r="T1837" s="35"/>
      <c r="U1837" s="36"/>
      <c r="V1837" s="37"/>
    </row>
    <row r="1838" spans="1:22" x14ac:dyDescent="0.25">
      <c r="A1838" s="27"/>
      <c r="B1838" s="27"/>
      <c r="C1838" s="27"/>
      <c r="D1838" s="27"/>
      <c r="E1838" s="27"/>
      <c r="F1838" s="27"/>
      <c r="G1838" s="27"/>
      <c r="H1838" s="28"/>
      <c r="I1838" s="27"/>
      <c r="J1838" s="29"/>
      <c r="K1838" s="30"/>
      <c r="L1838" s="31"/>
      <c r="M1838" s="32"/>
      <c r="N1838" s="30"/>
      <c r="O1838" s="30"/>
      <c r="P1838" s="39"/>
      <c r="Q1838" s="34"/>
      <c r="R1838" s="35"/>
      <c r="S1838" s="36"/>
      <c r="T1838" s="35"/>
      <c r="U1838" s="36"/>
      <c r="V1838" s="37"/>
    </row>
    <row r="1839" spans="1:22" x14ac:dyDescent="0.25">
      <c r="A1839" s="27"/>
      <c r="B1839" s="27"/>
      <c r="C1839" s="27"/>
      <c r="D1839" s="27"/>
      <c r="E1839" s="27"/>
      <c r="F1839" s="27"/>
      <c r="G1839" s="27"/>
      <c r="H1839" s="28"/>
      <c r="I1839" s="27"/>
      <c r="J1839" s="29"/>
      <c r="K1839" s="30"/>
      <c r="L1839" s="31"/>
      <c r="M1839" s="32"/>
      <c r="N1839" s="30"/>
      <c r="O1839" s="30"/>
      <c r="P1839" s="39"/>
      <c r="Q1839" s="34"/>
      <c r="R1839" s="35"/>
      <c r="S1839" s="36"/>
      <c r="T1839" s="35"/>
      <c r="U1839" s="36"/>
      <c r="V1839" s="37"/>
    </row>
    <row r="1840" spans="1:22" x14ac:dyDescent="0.25">
      <c r="A1840" s="27"/>
      <c r="B1840" s="27"/>
      <c r="C1840" s="27"/>
      <c r="D1840" s="27"/>
      <c r="E1840" s="27"/>
      <c r="F1840" s="27"/>
      <c r="G1840" s="27"/>
      <c r="H1840" s="28"/>
      <c r="I1840" s="27"/>
      <c r="J1840" s="29"/>
      <c r="K1840" s="30"/>
      <c r="L1840" s="31"/>
      <c r="M1840" s="32"/>
      <c r="N1840" s="30"/>
      <c r="O1840" s="30"/>
      <c r="P1840" s="39"/>
      <c r="Q1840" s="34"/>
      <c r="R1840" s="35"/>
      <c r="S1840" s="36"/>
      <c r="T1840" s="35"/>
      <c r="U1840" s="36"/>
      <c r="V1840" s="37"/>
    </row>
    <row r="1841" spans="1:22" x14ac:dyDescent="0.25">
      <c r="A1841" s="27"/>
      <c r="B1841" s="27"/>
      <c r="C1841" s="27"/>
      <c r="D1841" s="27"/>
      <c r="E1841" s="27"/>
      <c r="F1841" s="27"/>
      <c r="G1841" s="27"/>
      <c r="H1841" s="28"/>
      <c r="I1841" s="27"/>
      <c r="J1841" s="29"/>
      <c r="K1841" s="30"/>
      <c r="L1841" s="31"/>
      <c r="M1841" s="32"/>
      <c r="N1841" s="30"/>
      <c r="O1841" s="30"/>
      <c r="P1841" s="39"/>
      <c r="Q1841" s="34"/>
      <c r="R1841" s="35"/>
      <c r="S1841" s="36"/>
      <c r="T1841" s="35"/>
      <c r="U1841" s="36"/>
      <c r="V1841" s="37"/>
    </row>
    <row r="1842" spans="1:22" x14ac:dyDescent="0.25">
      <c r="A1842" s="27"/>
      <c r="B1842" s="27"/>
      <c r="C1842" s="27"/>
      <c r="D1842" s="27"/>
      <c r="E1842" s="27"/>
      <c r="F1842" s="27"/>
      <c r="G1842" s="27"/>
      <c r="H1842" s="28"/>
      <c r="I1842" s="27"/>
      <c r="J1842" s="29"/>
      <c r="K1842" s="30"/>
      <c r="L1842" s="31"/>
      <c r="M1842" s="32"/>
      <c r="N1842" s="30"/>
      <c r="O1842" s="30"/>
      <c r="P1842" s="39"/>
      <c r="Q1842" s="34"/>
      <c r="R1842" s="35"/>
      <c r="S1842" s="36"/>
      <c r="T1842" s="35"/>
      <c r="U1842" s="36"/>
      <c r="V1842" s="37"/>
    </row>
    <row r="1843" spans="1:22" x14ac:dyDescent="0.25">
      <c r="A1843" s="27"/>
      <c r="B1843" s="27"/>
      <c r="C1843" s="27"/>
      <c r="D1843" s="27"/>
      <c r="E1843" s="27"/>
      <c r="F1843" s="27"/>
      <c r="G1843" s="27"/>
      <c r="H1843" s="28"/>
      <c r="I1843" s="27"/>
      <c r="J1843" s="29"/>
      <c r="K1843" s="30"/>
      <c r="L1843" s="31"/>
      <c r="M1843" s="32"/>
      <c r="N1843" s="30"/>
      <c r="O1843" s="30"/>
      <c r="P1843" s="39"/>
      <c r="Q1843" s="34"/>
      <c r="R1843" s="35"/>
      <c r="S1843" s="36"/>
      <c r="T1843" s="35"/>
      <c r="U1843" s="36"/>
      <c r="V1843" s="37"/>
    </row>
    <row r="1844" spans="1:22" x14ac:dyDescent="0.25">
      <c r="A1844" s="27"/>
      <c r="B1844" s="27"/>
      <c r="C1844" s="27"/>
      <c r="D1844" s="27"/>
      <c r="E1844" s="27"/>
      <c r="F1844" s="27"/>
      <c r="G1844" s="27"/>
      <c r="H1844" s="28"/>
      <c r="I1844" s="27"/>
      <c r="J1844" s="29"/>
      <c r="K1844" s="30"/>
      <c r="L1844" s="31"/>
      <c r="M1844" s="32"/>
      <c r="N1844" s="30"/>
      <c r="O1844" s="30"/>
      <c r="P1844" s="39"/>
      <c r="Q1844" s="34"/>
      <c r="R1844" s="35"/>
      <c r="S1844" s="36"/>
      <c r="T1844" s="35"/>
      <c r="U1844" s="36"/>
      <c r="V1844" s="37"/>
    </row>
    <row r="1845" spans="1:22" x14ac:dyDescent="0.25">
      <c r="A1845" s="27"/>
      <c r="B1845" s="27"/>
      <c r="C1845" s="27"/>
      <c r="D1845" s="27"/>
      <c r="E1845" s="27"/>
      <c r="F1845" s="27"/>
      <c r="G1845" s="27"/>
      <c r="H1845" s="28"/>
      <c r="I1845" s="27"/>
      <c r="J1845" s="29"/>
      <c r="K1845" s="30"/>
      <c r="L1845" s="31"/>
      <c r="M1845" s="32"/>
      <c r="N1845" s="30"/>
      <c r="O1845" s="30"/>
      <c r="P1845" s="39"/>
      <c r="Q1845" s="34"/>
      <c r="R1845" s="35"/>
      <c r="S1845" s="36"/>
      <c r="T1845" s="35"/>
      <c r="U1845" s="36"/>
      <c r="V1845" s="37"/>
    </row>
    <row r="1846" spans="1:22" x14ac:dyDescent="0.25">
      <c r="A1846" s="27"/>
      <c r="B1846" s="27"/>
      <c r="C1846" s="27"/>
      <c r="D1846" s="27"/>
      <c r="E1846" s="27"/>
      <c r="F1846" s="27"/>
      <c r="G1846" s="27"/>
      <c r="H1846" s="28"/>
      <c r="I1846" s="27"/>
      <c r="J1846" s="29"/>
      <c r="K1846" s="30"/>
      <c r="L1846" s="31"/>
      <c r="M1846" s="32"/>
      <c r="N1846" s="30"/>
      <c r="O1846" s="30"/>
      <c r="P1846" s="39"/>
      <c r="Q1846" s="34"/>
      <c r="R1846" s="35"/>
      <c r="S1846" s="36"/>
      <c r="T1846" s="35"/>
      <c r="U1846" s="36"/>
      <c r="V1846" s="37"/>
    </row>
    <row r="1847" spans="1:22" x14ac:dyDescent="0.25">
      <c r="A1847" s="27"/>
      <c r="B1847" s="27"/>
      <c r="C1847" s="27"/>
      <c r="D1847" s="27"/>
      <c r="E1847" s="27"/>
      <c r="F1847" s="27"/>
      <c r="G1847" s="27"/>
      <c r="H1847" s="28"/>
      <c r="I1847" s="27"/>
      <c r="J1847" s="29"/>
      <c r="K1847" s="30"/>
      <c r="L1847" s="31"/>
      <c r="M1847" s="32"/>
      <c r="N1847" s="30"/>
      <c r="O1847" s="30"/>
      <c r="P1847" s="39"/>
      <c r="Q1847" s="34"/>
      <c r="R1847" s="35"/>
      <c r="S1847" s="36"/>
      <c r="T1847" s="35"/>
      <c r="U1847" s="36"/>
      <c r="V1847" s="37"/>
    </row>
    <row r="1848" spans="1:22" x14ac:dyDescent="0.25">
      <c r="A1848" s="27"/>
      <c r="B1848" s="27"/>
      <c r="C1848" s="27"/>
      <c r="D1848" s="27"/>
      <c r="E1848" s="27"/>
      <c r="F1848" s="27"/>
      <c r="G1848" s="27"/>
      <c r="H1848" s="28"/>
      <c r="I1848" s="27"/>
      <c r="J1848" s="29"/>
      <c r="K1848" s="30"/>
      <c r="L1848" s="31"/>
      <c r="M1848" s="32"/>
      <c r="N1848" s="30"/>
      <c r="O1848" s="30"/>
      <c r="P1848" s="39"/>
      <c r="Q1848" s="34"/>
      <c r="R1848" s="35"/>
      <c r="S1848" s="36"/>
      <c r="T1848" s="35"/>
      <c r="U1848" s="36"/>
      <c r="V1848" s="37"/>
    </row>
    <row r="1849" spans="1:22" x14ac:dyDescent="0.25">
      <c r="A1849" s="27"/>
      <c r="B1849" s="27"/>
      <c r="C1849" s="27"/>
      <c r="D1849" s="27"/>
      <c r="E1849" s="27"/>
      <c r="F1849" s="27"/>
      <c r="G1849" s="27"/>
      <c r="H1849" s="28"/>
      <c r="I1849" s="27"/>
      <c r="J1849" s="29"/>
      <c r="K1849" s="30"/>
      <c r="L1849" s="31"/>
      <c r="M1849" s="32"/>
      <c r="N1849" s="30"/>
      <c r="O1849" s="30"/>
      <c r="P1849" s="39"/>
      <c r="Q1849" s="34"/>
      <c r="R1849" s="35"/>
      <c r="S1849" s="36"/>
      <c r="T1849" s="35"/>
      <c r="U1849" s="36"/>
      <c r="V1849" s="37"/>
    </row>
    <row r="1850" spans="1:22" x14ac:dyDescent="0.25">
      <c r="A1850" s="27"/>
      <c r="B1850" s="27"/>
      <c r="C1850" s="27"/>
      <c r="D1850" s="27"/>
      <c r="E1850" s="27"/>
      <c r="F1850" s="27"/>
      <c r="G1850" s="27"/>
      <c r="H1850" s="28"/>
      <c r="I1850" s="27"/>
      <c r="J1850" s="29"/>
      <c r="K1850" s="30"/>
      <c r="L1850" s="31"/>
      <c r="M1850" s="32"/>
      <c r="N1850" s="30"/>
      <c r="O1850" s="30"/>
      <c r="P1850" s="39"/>
      <c r="Q1850" s="34"/>
      <c r="R1850" s="35"/>
      <c r="S1850" s="36"/>
      <c r="T1850" s="35"/>
      <c r="U1850" s="36"/>
      <c r="V1850" s="37"/>
    </row>
    <row r="1851" spans="1:22" x14ac:dyDescent="0.25">
      <c r="A1851" s="27"/>
      <c r="B1851" s="27"/>
      <c r="C1851" s="27"/>
      <c r="D1851" s="27"/>
      <c r="E1851" s="27"/>
      <c r="F1851" s="27"/>
      <c r="G1851" s="27"/>
      <c r="H1851" s="28"/>
      <c r="I1851" s="27"/>
      <c r="J1851" s="29"/>
      <c r="K1851" s="30"/>
      <c r="L1851" s="31"/>
      <c r="M1851" s="32"/>
      <c r="N1851" s="30"/>
      <c r="O1851" s="30"/>
      <c r="P1851" s="39"/>
      <c r="Q1851" s="34"/>
      <c r="R1851" s="35"/>
      <c r="S1851" s="36"/>
      <c r="T1851" s="35"/>
      <c r="U1851" s="36"/>
      <c r="V1851" s="37"/>
    </row>
    <row r="1852" spans="1:22" x14ac:dyDescent="0.25">
      <c r="A1852" s="27"/>
      <c r="B1852" s="27"/>
      <c r="C1852" s="27"/>
      <c r="D1852" s="27"/>
      <c r="E1852" s="27"/>
      <c r="F1852" s="27"/>
      <c r="G1852" s="27"/>
      <c r="H1852" s="28"/>
      <c r="I1852" s="27"/>
      <c r="J1852" s="29"/>
      <c r="K1852" s="30"/>
      <c r="L1852" s="31"/>
      <c r="M1852" s="32"/>
      <c r="N1852" s="30"/>
      <c r="O1852" s="30"/>
      <c r="P1852" s="39"/>
      <c r="Q1852" s="34"/>
      <c r="R1852" s="35"/>
      <c r="S1852" s="36"/>
      <c r="T1852" s="35"/>
      <c r="U1852" s="36"/>
      <c r="V1852" s="37"/>
    </row>
    <row r="1853" spans="1:22" x14ac:dyDescent="0.25">
      <c r="A1853" s="27"/>
      <c r="B1853" s="27"/>
      <c r="C1853" s="27"/>
      <c r="D1853" s="27"/>
      <c r="E1853" s="27"/>
      <c r="F1853" s="27"/>
      <c r="G1853" s="27"/>
      <c r="H1853" s="28"/>
      <c r="I1853" s="27"/>
      <c r="J1853" s="29"/>
      <c r="K1853" s="30"/>
      <c r="L1853" s="31"/>
      <c r="M1853" s="32"/>
      <c r="N1853" s="30"/>
      <c r="O1853" s="30"/>
      <c r="P1853" s="39"/>
      <c r="Q1853" s="34"/>
      <c r="R1853" s="35"/>
      <c r="S1853" s="36"/>
      <c r="T1853" s="35"/>
      <c r="U1853" s="36"/>
      <c r="V1853" s="37"/>
    </row>
    <row r="1854" spans="1:22" x14ac:dyDescent="0.25">
      <c r="A1854" s="27"/>
      <c r="B1854" s="27"/>
      <c r="C1854" s="27"/>
      <c r="D1854" s="27"/>
      <c r="E1854" s="27"/>
      <c r="F1854" s="27"/>
      <c r="G1854" s="27"/>
      <c r="H1854" s="28"/>
      <c r="I1854" s="27"/>
      <c r="J1854" s="29"/>
      <c r="K1854" s="30"/>
      <c r="L1854" s="31"/>
      <c r="M1854" s="32"/>
      <c r="N1854" s="30"/>
      <c r="O1854" s="30"/>
      <c r="P1854" s="39"/>
      <c r="Q1854" s="34"/>
      <c r="R1854" s="35"/>
      <c r="S1854" s="36"/>
      <c r="T1854" s="35"/>
      <c r="U1854" s="36"/>
      <c r="V1854" s="37"/>
    </row>
    <row r="1855" spans="1:22" x14ac:dyDescent="0.25">
      <c r="A1855" s="27"/>
      <c r="B1855" s="27"/>
      <c r="C1855" s="27"/>
      <c r="D1855" s="27"/>
      <c r="E1855" s="27"/>
      <c r="F1855" s="27"/>
      <c r="G1855" s="27"/>
      <c r="H1855" s="28"/>
      <c r="I1855" s="27"/>
      <c r="J1855" s="29"/>
      <c r="K1855" s="30"/>
      <c r="L1855" s="31"/>
      <c r="M1855" s="32"/>
      <c r="N1855" s="30"/>
      <c r="O1855" s="30"/>
      <c r="P1855" s="39"/>
      <c r="Q1855" s="34"/>
      <c r="R1855" s="35"/>
      <c r="S1855" s="36"/>
      <c r="T1855" s="35"/>
      <c r="U1855" s="36"/>
      <c r="V1855" s="37"/>
    </row>
    <row r="1856" spans="1:22" x14ac:dyDescent="0.25">
      <c r="A1856" s="27"/>
      <c r="B1856" s="27"/>
      <c r="C1856" s="27"/>
      <c r="D1856" s="27"/>
      <c r="E1856" s="27"/>
      <c r="F1856" s="27"/>
      <c r="G1856" s="27"/>
      <c r="H1856" s="28"/>
      <c r="I1856" s="27"/>
      <c r="J1856" s="29"/>
      <c r="K1856" s="30"/>
      <c r="L1856" s="31"/>
      <c r="M1856" s="32"/>
      <c r="N1856" s="30"/>
      <c r="O1856" s="30"/>
      <c r="P1856" s="39"/>
      <c r="Q1856" s="34"/>
      <c r="R1856" s="35"/>
      <c r="S1856" s="36"/>
      <c r="T1856" s="35"/>
      <c r="U1856" s="36"/>
      <c r="V1856" s="37"/>
    </row>
    <row r="1857" spans="1:22" x14ac:dyDescent="0.25">
      <c r="A1857" s="27"/>
      <c r="B1857" s="27"/>
      <c r="C1857" s="27"/>
      <c r="D1857" s="27"/>
      <c r="E1857" s="27"/>
      <c r="F1857" s="27"/>
      <c r="G1857" s="27"/>
      <c r="H1857" s="28"/>
      <c r="I1857" s="27"/>
      <c r="J1857" s="29"/>
      <c r="K1857" s="30"/>
      <c r="L1857" s="31"/>
      <c r="M1857" s="32"/>
      <c r="N1857" s="30"/>
      <c r="O1857" s="30"/>
      <c r="P1857" s="39"/>
      <c r="Q1857" s="34"/>
      <c r="R1857" s="35"/>
      <c r="S1857" s="36"/>
      <c r="T1857" s="35"/>
      <c r="U1857" s="36"/>
      <c r="V1857" s="37"/>
    </row>
    <row r="1858" spans="1:22" x14ac:dyDescent="0.25">
      <c r="A1858" s="27"/>
      <c r="B1858" s="27"/>
      <c r="C1858" s="27"/>
      <c r="D1858" s="27"/>
      <c r="E1858" s="27"/>
      <c r="F1858" s="27"/>
      <c r="G1858" s="27"/>
      <c r="H1858" s="28"/>
      <c r="I1858" s="27"/>
      <c r="J1858" s="29"/>
      <c r="K1858" s="30"/>
      <c r="L1858" s="31"/>
      <c r="M1858" s="32"/>
      <c r="N1858" s="30"/>
      <c r="O1858" s="30"/>
      <c r="P1858" s="39"/>
      <c r="Q1858" s="34"/>
      <c r="R1858" s="35"/>
      <c r="S1858" s="36"/>
      <c r="T1858" s="35"/>
      <c r="U1858" s="36"/>
      <c r="V1858" s="37"/>
    </row>
    <row r="1859" spans="1:22" x14ac:dyDescent="0.25">
      <c r="A1859" s="27"/>
      <c r="B1859" s="27"/>
      <c r="C1859" s="27"/>
      <c r="D1859" s="27"/>
      <c r="E1859" s="27"/>
      <c r="F1859" s="27"/>
      <c r="G1859" s="27"/>
      <c r="H1859" s="28"/>
      <c r="I1859" s="27"/>
      <c r="J1859" s="29"/>
      <c r="K1859" s="30"/>
      <c r="L1859" s="31"/>
      <c r="M1859" s="32"/>
      <c r="N1859" s="30"/>
      <c r="O1859" s="30"/>
      <c r="P1859" s="39"/>
      <c r="Q1859" s="34"/>
      <c r="R1859" s="35"/>
      <c r="S1859" s="36"/>
      <c r="T1859" s="35"/>
      <c r="U1859" s="36"/>
      <c r="V1859" s="37"/>
    </row>
    <row r="1860" spans="1:22" x14ac:dyDescent="0.25">
      <c r="A1860" s="27"/>
      <c r="B1860" s="27"/>
      <c r="C1860" s="27"/>
      <c r="D1860" s="27"/>
      <c r="E1860" s="27"/>
      <c r="F1860" s="27"/>
      <c r="G1860" s="27"/>
      <c r="H1860" s="28"/>
      <c r="I1860" s="27"/>
      <c r="J1860" s="29"/>
      <c r="K1860" s="30"/>
      <c r="L1860" s="31"/>
      <c r="M1860" s="32"/>
      <c r="N1860" s="30"/>
      <c r="O1860" s="30"/>
      <c r="P1860" s="39"/>
      <c r="Q1860" s="34"/>
      <c r="R1860" s="35"/>
      <c r="S1860" s="36"/>
      <c r="T1860" s="35"/>
      <c r="U1860" s="36"/>
      <c r="V1860" s="37"/>
    </row>
    <row r="1861" spans="1:22" x14ac:dyDescent="0.25">
      <c r="A1861" s="27"/>
      <c r="B1861" s="27"/>
      <c r="C1861" s="27"/>
      <c r="D1861" s="27"/>
      <c r="E1861" s="27"/>
      <c r="F1861" s="27"/>
      <c r="G1861" s="27"/>
      <c r="H1861" s="28"/>
      <c r="I1861" s="27"/>
      <c r="J1861" s="29"/>
      <c r="K1861" s="30"/>
      <c r="L1861" s="31"/>
      <c r="M1861" s="32"/>
      <c r="N1861" s="30"/>
      <c r="O1861" s="30"/>
      <c r="P1861" s="39"/>
      <c r="Q1861" s="34"/>
      <c r="R1861" s="35"/>
      <c r="S1861" s="36"/>
      <c r="T1861" s="35"/>
      <c r="U1861" s="36"/>
      <c r="V1861" s="37"/>
    </row>
    <row r="1862" spans="1:22" x14ac:dyDescent="0.25">
      <c r="A1862" s="27"/>
      <c r="B1862" s="27"/>
      <c r="C1862" s="27"/>
      <c r="D1862" s="27"/>
      <c r="E1862" s="27"/>
      <c r="F1862" s="27"/>
      <c r="G1862" s="27"/>
      <c r="H1862" s="28"/>
      <c r="I1862" s="27"/>
      <c r="J1862" s="29"/>
      <c r="K1862" s="30"/>
      <c r="L1862" s="31"/>
      <c r="M1862" s="32"/>
      <c r="N1862" s="30"/>
      <c r="O1862" s="30"/>
      <c r="P1862" s="39"/>
      <c r="Q1862" s="34"/>
      <c r="R1862" s="35"/>
      <c r="S1862" s="36"/>
      <c r="T1862" s="35"/>
      <c r="U1862" s="36"/>
      <c r="V1862" s="37"/>
    </row>
    <row r="1863" spans="1:22" x14ac:dyDescent="0.25">
      <c r="A1863" s="27"/>
      <c r="B1863" s="27"/>
      <c r="C1863" s="27"/>
      <c r="D1863" s="27"/>
      <c r="E1863" s="27"/>
      <c r="F1863" s="27"/>
      <c r="G1863" s="27"/>
      <c r="H1863" s="28"/>
      <c r="I1863" s="27"/>
      <c r="J1863" s="29"/>
      <c r="K1863" s="30"/>
      <c r="L1863" s="31"/>
      <c r="M1863" s="32"/>
      <c r="N1863" s="30"/>
      <c r="O1863" s="30"/>
      <c r="P1863" s="39"/>
      <c r="Q1863" s="34"/>
      <c r="R1863" s="35"/>
      <c r="S1863" s="36"/>
      <c r="T1863" s="35"/>
      <c r="U1863" s="36"/>
      <c r="V1863" s="37"/>
    </row>
    <row r="1864" spans="1:22" x14ac:dyDescent="0.25">
      <c r="A1864" s="27"/>
      <c r="B1864" s="27"/>
      <c r="C1864" s="27"/>
      <c r="D1864" s="27"/>
      <c r="E1864" s="27"/>
      <c r="F1864" s="27"/>
      <c r="G1864" s="27"/>
      <c r="H1864" s="28"/>
      <c r="I1864" s="27"/>
      <c r="J1864" s="29"/>
      <c r="K1864" s="30"/>
      <c r="L1864" s="31"/>
      <c r="M1864" s="32"/>
      <c r="N1864" s="30"/>
      <c r="O1864" s="30"/>
      <c r="P1864" s="39"/>
      <c r="Q1864" s="34"/>
      <c r="R1864" s="35"/>
      <c r="S1864" s="36"/>
      <c r="T1864" s="35"/>
      <c r="U1864" s="36"/>
      <c r="V1864" s="37"/>
    </row>
    <row r="1865" spans="1:22" x14ac:dyDescent="0.25">
      <c r="A1865" s="27"/>
      <c r="B1865" s="27"/>
      <c r="C1865" s="27"/>
      <c r="D1865" s="27"/>
      <c r="E1865" s="27"/>
      <c r="F1865" s="27"/>
      <c r="G1865" s="27"/>
      <c r="H1865" s="28"/>
      <c r="I1865" s="27"/>
      <c r="J1865" s="29"/>
      <c r="K1865" s="30"/>
      <c r="L1865" s="31"/>
      <c r="M1865" s="32"/>
      <c r="N1865" s="30"/>
      <c r="O1865" s="30"/>
      <c r="P1865" s="39"/>
      <c r="Q1865" s="34"/>
      <c r="R1865" s="35"/>
      <c r="S1865" s="36"/>
      <c r="T1865" s="35"/>
      <c r="U1865" s="36"/>
      <c r="V1865" s="37"/>
    </row>
    <row r="1866" spans="1:22" x14ac:dyDescent="0.25">
      <c r="A1866" s="27"/>
      <c r="B1866" s="27"/>
      <c r="C1866" s="27"/>
      <c r="D1866" s="27"/>
      <c r="E1866" s="27"/>
      <c r="F1866" s="27"/>
      <c r="G1866" s="27"/>
      <c r="H1866" s="28"/>
      <c r="I1866" s="27"/>
      <c r="J1866" s="29"/>
      <c r="K1866" s="30"/>
      <c r="L1866" s="31"/>
      <c r="M1866" s="32"/>
      <c r="N1866" s="30"/>
      <c r="O1866" s="30"/>
      <c r="P1866" s="39"/>
      <c r="Q1866" s="34"/>
      <c r="R1866" s="35"/>
      <c r="S1866" s="36"/>
      <c r="T1866" s="35"/>
      <c r="U1866" s="36"/>
      <c r="V1866" s="37"/>
    </row>
    <row r="1867" spans="1:22" x14ac:dyDescent="0.25">
      <c r="A1867" s="27"/>
      <c r="B1867" s="27"/>
      <c r="C1867" s="27"/>
      <c r="D1867" s="27"/>
      <c r="E1867" s="27"/>
      <c r="F1867" s="27"/>
      <c r="G1867" s="27"/>
      <c r="H1867" s="28"/>
      <c r="I1867" s="27"/>
      <c r="J1867" s="29"/>
      <c r="K1867" s="30"/>
      <c r="L1867" s="31"/>
      <c r="M1867" s="32"/>
      <c r="N1867" s="30"/>
      <c r="O1867" s="30"/>
      <c r="P1867" s="39"/>
      <c r="Q1867" s="34"/>
      <c r="R1867" s="35"/>
      <c r="S1867" s="36"/>
      <c r="T1867" s="35"/>
      <c r="U1867" s="36"/>
      <c r="V1867" s="37"/>
    </row>
    <row r="1868" spans="1:22" x14ac:dyDescent="0.25">
      <c r="A1868" s="27"/>
      <c r="B1868" s="27"/>
      <c r="C1868" s="27"/>
      <c r="D1868" s="27"/>
      <c r="E1868" s="27"/>
      <c r="F1868" s="27"/>
      <c r="G1868" s="27"/>
      <c r="H1868" s="28"/>
      <c r="I1868" s="27"/>
      <c r="J1868" s="29"/>
      <c r="K1868" s="30"/>
      <c r="L1868" s="31"/>
      <c r="M1868" s="32"/>
      <c r="N1868" s="30"/>
      <c r="O1868" s="30"/>
      <c r="P1868" s="39"/>
      <c r="Q1868" s="34"/>
      <c r="R1868" s="35"/>
      <c r="S1868" s="36"/>
      <c r="T1868" s="35"/>
      <c r="U1868" s="36"/>
      <c r="V1868" s="37"/>
    </row>
    <row r="1869" spans="1:22" x14ac:dyDescent="0.25">
      <c r="A1869" s="27"/>
      <c r="B1869" s="27"/>
      <c r="C1869" s="27"/>
      <c r="D1869" s="27"/>
      <c r="E1869" s="27"/>
      <c r="F1869" s="27"/>
      <c r="G1869" s="27"/>
      <c r="H1869" s="28"/>
      <c r="I1869" s="27"/>
      <c r="J1869" s="29"/>
      <c r="K1869" s="30"/>
      <c r="L1869" s="31"/>
      <c r="M1869" s="32"/>
      <c r="N1869" s="30"/>
      <c r="O1869" s="30"/>
      <c r="P1869" s="39"/>
      <c r="Q1869" s="34"/>
      <c r="R1869" s="35"/>
      <c r="S1869" s="36"/>
      <c r="T1869" s="35"/>
      <c r="U1869" s="36"/>
      <c r="V1869" s="37"/>
    </row>
    <row r="1870" spans="1:22" x14ac:dyDescent="0.25">
      <c r="A1870" s="27"/>
      <c r="B1870" s="27"/>
      <c r="C1870" s="27"/>
      <c r="D1870" s="27"/>
      <c r="E1870" s="27"/>
      <c r="F1870" s="27"/>
      <c r="G1870" s="27"/>
      <c r="H1870" s="28"/>
      <c r="I1870" s="27"/>
      <c r="J1870" s="29"/>
      <c r="K1870" s="30"/>
      <c r="L1870" s="31"/>
      <c r="M1870" s="32"/>
      <c r="N1870" s="30"/>
      <c r="O1870" s="30"/>
      <c r="P1870" s="39"/>
      <c r="Q1870" s="34"/>
      <c r="R1870" s="35"/>
      <c r="S1870" s="36"/>
      <c r="T1870" s="35"/>
      <c r="U1870" s="36"/>
      <c r="V1870" s="37"/>
    </row>
    <row r="1871" spans="1:22" x14ac:dyDescent="0.25">
      <c r="A1871" s="27"/>
      <c r="B1871" s="27"/>
      <c r="C1871" s="27"/>
      <c r="D1871" s="27"/>
      <c r="E1871" s="27"/>
      <c r="F1871" s="27"/>
      <c r="G1871" s="27"/>
      <c r="H1871" s="28"/>
      <c r="I1871" s="27"/>
      <c r="J1871" s="29"/>
      <c r="K1871" s="30"/>
      <c r="L1871" s="31"/>
      <c r="M1871" s="32"/>
      <c r="N1871" s="30"/>
      <c r="O1871" s="30"/>
      <c r="P1871" s="39"/>
      <c r="Q1871" s="34"/>
      <c r="R1871" s="35"/>
      <c r="S1871" s="36"/>
      <c r="T1871" s="35"/>
      <c r="U1871" s="36"/>
      <c r="V1871" s="37"/>
    </row>
    <row r="1872" spans="1:22" x14ac:dyDescent="0.25">
      <c r="A1872" s="27"/>
      <c r="B1872" s="27"/>
      <c r="C1872" s="27"/>
      <c r="D1872" s="27"/>
      <c r="E1872" s="27"/>
      <c r="F1872" s="27"/>
      <c r="G1872" s="27"/>
      <c r="H1872" s="28"/>
      <c r="I1872" s="27"/>
      <c r="J1872" s="29"/>
      <c r="K1872" s="30"/>
      <c r="L1872" s="31"/>
      <c r="M1872" s="32"/>
      <c r="N1872" s="30"/>
      <c r="O1872" s="30"/>
      <c r="P1872" s="39"/>
      <c r="Q1872" s="34"/>
      <c r="R1872" s="35"/>
      <c r="S1872" s="36"/>
      <c r="T1872" s="35"/>
      <c r="U1872" s="36"/>
      <c r="V1872" s="37"/>
    </row>
    <row r="1873" spans="1:22" x14ac:dyDescent="0.25">
      <c r="A1873" s="27"/>
      <c r="B1873" s="27"/>
      <c r="C1873" s="27"/>
      <c r="D1873" s="27"/>
      <c r="E1873" s="27"/>
      <c r="F1873" s="27"/>
      <c r="G1873" s="27"/>
      <c r="H1873" s="28"/>
      <c r="I1873" s="27"/>
      <c r="J1873" s="29"/>
      <c r="K1873" s="30"/>
      <c r="L1873" s="31"/>
      <c r="M1873" s="32"/>
      <c r="N1873" s="30"/>
      <c r="O1873" s="30"/>
      <c r="P1873" s="39"/>
      <c r="Q1873" s="34"/>
      <c r="R1873" s="35"/>
      <c r="S1873" s="36"/>
      <c r="T1873" s="35"/>
      <c r="U1873" s="36"/>
      <c r="V1873" s="37"/>
    </row>
    <row r="1874" spans="1:22" x14ac:dyDescent="0.25">
      <c r="A1874" s="27"/>
      <c r="B1874" s="27"/>
      <c r="C1874" s="27"/>
      <c r="D1874" s="27"/>
      <c r="E1874" s="27"/>
      <c r="F1874" s="27"/>
      <c r="G1874" s="27"/>
      <c r="H1874" s="28"/>
      <c r="I1874" s="27"/>
      <c r="J1874" s="29"/>
      <c r="K1874" s="30"/>
      <c r="L1874" s="31"/>
      <c r="M1874" s="32"/>
      <c r="N1874" s="30"/>
      <c r="O1874" s="30"/>
      <c r="P1874" s="39"/>
      <c r="Q1874" s="34"/>
      <c r="R1874" s="35"/>
      <c r="S1874" s="36"/>
      <c r="T1874" s="35"/>
      <c r="U1874" s="36"/>
      <c r="V1874" s="37"/>
    </row>
    <row r="1875" spans="1:22" x14ac:dyDescent="0.25">
      <c r="A1875" s="27"/>
      <c r="B1875" s="27"/>
      <c r="C1875" s="27"/>
      <c r="D1875" s="27"/>
      <c r="E1875" s="27"/>
      <c r="F1875" s="27"/>
      <c r="G1875" s="27"/>
      <c r="H1875" s="28"/>
      <c r="I1875" s="27"/>
      <c r="J1875" s="29"/>
      <c r="K1875" s="30"/>
      <c r="L1875" s="31"/>
      <c r="M1875" s="32"/>
      <c r="N1875" s="30"/>
      <c r="O1875" s="30"/>
      <c r="P1875" s="39"/>
      <c r="Q1875" s="34"/>
      <c r="R1875" s="35"/>
      <c r="S1875" s="36"/>
      <c r="T1875" s="35"/>
      <c r="U1875" s="36"/>
      <c r="V1875" s="37"/>
    </row>
    <row r="1876" spans="1:22" x14ac:dyDescent="0.25">
      <c r="A1876" s="27"/>
      <c r="B1876" s="27"/>
      <c r="C1876" s="27"/>
      <c r="D1876" s="27"/>
      <c r="E1876" s="27"/>
      <c r="F1876" s="27"/>
      <c r="G1876" s="27"/>
      <c r="H1876" s="28"/>
      <c r="I1876" s="27"/>
      <c r="J1876" s="29"/>
      <c r="K1876" s="30"/>
      <c r="L1876" s="31"/>
      <c r="M1876" s="32"/>
      <c r="N1876" s="30"/>
      <c r="O1876" s="30"/>
      <c r="P1876" s="39"/>
      <c r="Q1876" s="34"/>
      <c r="R1876" s="35"/>
      <c r="S1876" s="36"/>
      <c r="T1876" s="35"/>
      <c r="U1876" s="36"/>
      <c r="V1876" s="37"/>
    </row>
    <row r="1877" spans="1:22" x14ac:dyDescent="0.25">
      <c r="A1877" s="27"/>
      <c r="B1877" s="27"/>
      <c r="C1877" s="27"/>
      <c r="D1877" s="27"/>
      <c r="E1877" s="27"/>
      <c r="F1877" s="27"/>
      <c r="G1877" s="27"/>
      <c r="H1877" s="28"/>
      <c r="I1877" s="27"/>
      <c r="J1877" s="29"/>
      <c r="K1877" s="30"/>
      <c r="L1877" s="31"/>
      <c r="M1877" s="32"/>
      <c r="N1877" s="30"/>
      <c r="O1877" s="30"/>
      <c r="P1877" s="39"/>
      <c r="Q1877" s="34"/>
      <c r="R1877" s="35"/>
      <c r="S1877" s="36"/>
      <c r="T1877" s="35"/>
      <c r="U1877" s="36"/>
      <c r="V1877" s="37"/>
    </row>
    <row r="1878" spans="1:22" x14ac:dyDescent="0.25">
      <c r="A1878" s="27"/>
      <c r="B1878" s="27"/>
      <c r="C1878" s="27"/>
      <c r="D1878" s="27"/>
      <c r="E1878" s="27"/>
      <c r="F1878" s="27"/>
      <c r="G1878" s="27"/>
      <c r="H1878" s="28"/>
      <c r="I1878" s="27"/>
      <c r="J1878" s="29"/>
      <c r="K1878" s="30"/>
      <c r="L1878" s="31"/>
      <c r="M1878" s="32"/>
      <c r="N1878" s="30"/>
      <c r="O1878" s="30"/>
      <c r="P1878" s="39"/>
      <c r="Q1878" s="34"/>
      <c r="R1878" s="35"/>
      <c r="S1878" s="36"/>
      <c r="T1878" s="35"/>
      <c r="U1878" s="36"/>
      <c r="V1878" s="37"/>
    </row>
    <row r="1879" spans="1:22" x14ac:dyDescent="0.25">
      <c r="A1879" s="27"/>
      <c r="B1879" s="27"/>
      <c r="C1879" s="27"/>
      <c r="D1879" s="27"/>
      <c r="E1879" s="27"/>
      <c r="F1879" s="27"/>
      <c r="G1879" s="27"/>
      <c r="H1879" s="28"/>
      <c r="I1879" s="27"/>
      <c r="J1879" s="29"/>
      <c r="K1879" s="30"/>
      <c r="L1879" s="31"/>
      <c r="M1879" s="32"/>
      <c r="N1879" s="30"/>
      <c r="O1879" s="30"/>
      <c r="P1879" s="39"/>
      <c r="Q1879" s="34"/>
      <c r="R1879" s="35"/>
      <c r="S1879" s="36"/>
      <c r="T1879" s="35"/>
      <c r="U1879" s="36"/>
      <c r="V1879" s="37"/>
    </row>
    <row r="1880" spans="1:22" x14ac:dyDescent="0.25">
      <c r="A1880" s="27"/>
      <c r="B1880" s="27"/>
      <c r="C1880" s="27"/>
      <c r="D1880" s="27"/>
      <c r="E1880" s="27"/>
      <c r="F1880" s="27"/>
      <c r="G1880" s="27"/>
      <c r="H1880" s="28"/>
      <c r="I1880" s="27"/>
      <c r="J1880" s="29"/>
      <c r="K1880" s="30"/>
      <c r="L1880" s="31"/>
      <c r="M1880" s="32"/>
      <c r="N1880" s="30"/>
      <c r="O1880" s="30"/>
      <c r="P1880" s="39"/>
      <c r="Q1880" s="34"/>
      <c r="R1880" s="35"/>
      <c r="S1880" s="36"/>
      <c r="T1880" s="35"/>
      <c r="U1880" s="36"/>
      <c r="V1880" s="37"/>
    </row>
    <row r="1881" spans="1:22" x14ac:dyDescent="0.25">
      <c r="A1881" s="27"/>
      <c r="B1881" s="27"/>
      <c r="C1881" s="27"/>
      <c r="D1881" s="27"/>
      <c r="E1881" s="27"/>
      <c r="F1881" s="27"/>
      <c r="G1881" s="27"/>
      <c r="H1881" s="28"/>
      <c r="I1881" s="27"/>
      <c r="J1881" s="29"/>
      <c r="K1881" s="30"/>
      <c r="L1881" s="31"/>
      <c r="M1881" s="32"/>
      <c r="N1881" s="30"/>
      <c r="O1881" s="30"/>
      <c r="P1881" s="39"/>
      <c r="Q1881" s="34"/>
      <c r="R1881" s="35"/>
      <c r="S1881" s="36"/>
      <c r="T1881" s="35"/>
      <c r="U1881" s="36"/>
      <c r="V1881" s="37"/>
    </row>
    <row r="1882" spans="1:22" x14ac:dyDescent="0.25">
      <c r="A1882" s="27"/>
      <c r="B1882" s="27"/>
      <c r="C1882" s="27"/>
      <c r="D1882" s="27"/>
      <c r="E1882" s="27"/>
      <c r="F1882" s="27"/>
      <c r="G1882" s="27"/>
      <c r="H1882" s="28"/>
      <c r="I1882" s="27"/>
      <c r="J1882" s="29"/>
      <c r="K1882" s="30"/>
      <c r="L1882" s="31"/>
      <c r="M1882" s="32"/>
      <c r="N1882" s="30"/>
      <c r="O1882" s="30"/>
      <c r="P1882" s="39"/>
      <c r="Q1882" s="34"/>
      <c r="R1882" s="35"/>
      <c r="S1882" s="36"/>
      <c r="T1882" s="35"/>
      <c r="U1882" s="36"/>
      <c r="V1882" s="37"/>
    </row>
    <row r="1883" spans="1:22" x14ac:dyDescent="0.25">
      <c r="A1883" s="27"/>
      <c r="B1883" s="27"/>
      <c r="C1883" s="27"/>
      <c r="D1883" s="27"/>
      <c r="E1883" s="27"/>
      <c r="F1883" s="27"/>
      <c r="G1883" s="27"/>
      <c r="H1883" s="28"/>
      <c r="I1883" s="27"/>
      <c r="J1883" s="29"/>
      <c r="K1883" s="30"/>
      <c r="L1883" s="31"/>
      <c r="M1883" s="32"/>
      <c r="N1883" s="30"/>
      <c r="O1883" s="30"/>
      <c r="P1883" s="39"/>
      <c r="Q1883" s="34"/>
      <c r="R1883" s="35"/>
      <c r="S1883" s="36"/>
      <c r="T1883" s="35"/>
      <c r="U1883" s="36"/>
      <c r="V1883" s="37"/>
    </row>
    <row r="1884" spans="1:22" x14ac:dyDescent="0.25">
      <c r="A1884" s="27"/>
      <c r="B1884" s="27"/>
      <c r="C1884" s="27"/>
      <c r="D1884" s="27"/>
      <c r="E1884" s="27"/>
      <c r="F1884" s="27"/>
      <c r="G1884" s="27"/>
      <c r="H1884" s="28"/>
      <c r="I1884" s="27"/>
      <c r="J1884" s="29"/>
      <c r="K1884" s="30"/>
      <c r="L1884" s="31"/>
      <c r="M1884" s="32"/>
      <c r="N1884" s="30"/>
      <c r="O1884" s="30"/>
      <c r="P1884" s="39"/>
      <c r="Q1884" s="34"/>
      <c r="R1884" s="35"/>
      <c r="S1884" s="36"/>
      <c r="T1884" s="35"/>
      <c r="U1884" s="36"/>
      <c r="V1884" s="37"/>
    </row>
    <row r="1885" spans="1:22" x14ac:dyDescent="0.25">
      <c r="A1885" s="27"/>
      <c r="B1885" s="27"/>
      <c r="C1885" s="27"/>
      <c r="D1885" s="27"/>
      <c r="E1885" s="27"/>
      <c r="F1885" s="27"/>
      <c r="G1885" s="27"/>
      <c r="H1885" s="28"/>
      <c r="I1885" s="27"/>
      <c r="J1885" s="29"/>
      <c r="K1885" s="30"/>
      <c r="L1885" s="31"/>
      <c r="M1885" s="32"/>
      <c r="N1885" s="30"/>
      <c r="O1885" s="30"/>
      <c r="P1885" s="39"/>
      <c r="Q1885" s="34"/>
      <c r="R1885" s="35"/>
      <c r="S1885" s="36"/>
      <c r="T1885" s="35"/>
      <c r="U1885" s="36"/>
      <c r="V1885" s="37"/>
    </row>
    <row r="1886" spans="1:22" x14ac:dyDescent="0.25">
      <c r="A1886" s="27"/>
      <c r="B1886" s="27"/>
      <c r="C1886" s="27"/>
      <c r="D1886" s="27"/>
      <c r="E1886" s="27"/>
      <c r="F1886" s="27"/>
      <c r="G1886" s="27"/>
      <c r="H1886" s="28"/>
      <c r="I1886" s="27"/>
      <c r="J1886" s="29"/>
      <c r="K1886" s="30"/>
      <c r="L1886" s="31"/>
      <c r="M1886" s="32"/>
      <c r="N1886" s="30"/>
      <c r="O1886" s="30"/>
      <c r="P1886" s="39"/>
      <c r="Q1886" s="34"/>
      <c r="R1886" s="35"/>
      <c r="S1886" s="36"/>
      <c r="T1886" s="35"/>
      <c r="U1886" s="36"/>
      <c r="V1886" s="37"/>
    </row>
    <row r="1887" spans="1:22" x14ac:dyDescent="0.25">
      <c r="A1887" s="27"/>
      <c r="B1887" s="27"/>
      <c r="C1887" s="27"/>
      <c r="D1887" s="27"/>
      <c r="E1887" s="27"/>
      <c r="F1887" s="27"/>
      <c r="G1887" s="27"/>
      <c r="H1887" s="28"/>
      <c r="I1887" s="27"/>
      <c r="J1887" s="29"/>
      <c r="K1887" s="30"/>
      <c r="L1887" s="31"/>
      <c r="M1887" s="32"/>
      <c r="N1887" s="30"/>
      <c r="O1887" s="30"/>
      <c r="P1887" s="39"/>
      <c r="Q1887" s="34"/>
      <c r="R1887" s="35"/>
      <c r="S1887" s="36"/>
      <c r="T1887" s="35"/>
      <c r="U1887" s="36"/>
      <c r="V1887" s="37"/>
    </row>
    <row r="1888" spans="1:22" x14ac:dyDescent="0.25">
      <c r="A1888" s="27"/>
      <c r="B1888" s="27"/>
      <c r="C1888" s="27"/>
      <c r="D1888" s="27"/>
      <c r="E1888" s="27"/>
      <c r="F1888" s="27"/>
      <c r="G1888" s="27"/>
      <c r="H1888" s="28"/>
      <c r="I1888" s="27"/>
      <c r="J1888" s="29"/>
      <c r="K1888" s="30"/>
      <c r="L1888" s="31"/>
      <c r="M1888" s="32"/>
      <c r="N1888" s="30"/>
      <c r="O1888" s="30"/>
      <c r="P1888" s="39"/>
      <c r="Q1888" s="34"/>
      <c r="R1888" s="35"/>
      <c r="S1888" s="36"/>
      <c r="T1888" s="35"/>
      <c r="U1888" s="36"/>
      <c r="V1888" s="37"/>
    </row>
    <row r="1889" spans="1:22" x14ac:dyDescent="0.25">
      <c r="A1889" s="27"/>
      <c r="B1889" s="27"/>
      <c r="C1889" s="27"/>
      <c r="D1889" s="27"/>
      <c r="E1889" s="27"/>
      <c r="F1889" s="27"/>
      <c r="G1889" s="27"/>
      <c r="H1889" s="28"/>
      <c r="I1889" s="27"/>
      <c r="J1889" s="29"/>
      <c r="K1889" s="30"/>
      <c r="L1889" s="31"/>
      <c r="M1889" s="32"/>
      <c r="N1889" s="30"/>
      <c r="O1889" s="30"/>
      <c r="P1889" s="39"/>
      <c r="Q1889" s="34"/>
      <c r="R1889" s="35"/>
      <c r="S1889" s="36"/>
      <c r="T1889" s="35"/>
      <c r="U1889" s="36"/>
      <c r="V1889" s="37"/>
    </row>
    <row r="1890" spans="1:22" x14ac:dyDescent="0.25">
      <c r="A1890" s="27"/>
      <c r="B1890" s="27"/>
      <c r="C1890" s="27"/>
      <c r="D1890" s="27"/>
      <c r="E1890" s="27"/>
      <c r="F1890" s="27"/>
      <c r="G1890" s="27"/>
      <c r="H1890" s="28"/>
      <c r="I1890" s="27"/>
      <c r="J1890" s="29"/>
      <c r="K1890" s="30"/>
      <c r="L1890" s="31"/>
      <c r="M1890" s="32"/>
      <c r="N1890" s="30"/>
      <c r="O1890" s="30"/>
      <c r="P1890" s="39"/>
      <c r="Q1890" s="34"/>
      <c r="R1890" s="35"/>
      <c r="S1890" s="36"/>
      <c r="T1890" s="35"/>
      <c r="U1890" s="36"/>
      <c r="V1890" s="37"/>
    </row>
    <row r="1891" spans="1:22" x14ac:dyDescent="0.25">
      <c r="A1891" s="27"/>
      <c r="B1891" s="27"/>
      <c r="C1891" s="27"/>
      <c r="D1891" s="27"/>
      <c r="E1891" s="27"/>
      <c r="F1891" s="27"/>
      <c r="G1891" s="27"/>
      <c r="H1891" s="28"/>
      <c r="I1891" s="27"/>
      <c r="J1891" s="29"/>
      <c r="K1891" s="30"/>
      <c r="L1891" s="31"/>
      <c r="M1891" s="32"/>
      <c r="N1891" s="30"/>
      <c r="O1891" s="30"/>
      <c r="P1891" s="39"/>
      <c r="Q1891" s="34"/>
      <c r="R1891" s="35"/>
      <c r="S1891" s="36"/>
      <c r="T1891" s="35"/>
      <c r="U1891" s="36"/>
      <c r="V1891" s="37"/>
    </row>
    <row r="1892" spans="1:22" x14ac:dyDescent="0.25">
      <c r="A1892" s="27"/>
      <c r="B1892" s="27"/>
      <c r="C1892" s="27"/>
      <c r="D1892" s="27"/>
      <c r="E1892" s="27"/>
      <c r="F1892" s="27"/>
      <c r="G1892" s="27"/>
      <c r="H1892" s="28"/>
      <c r="I1892" s="27"/>
      <c r="J1892" s="29"/>
      <c r="K1892" s="30"/>
      <c r="L1892" s="31"/>
      <c r="M1892" s="32"/>
      <c r="N1892" s="30"/>
      <c r="O1892" s="30"/>
      <c r="P1892" s="39"/>
      <c r="Q1892" s="34"/>
      <c r="R1892" s="35"/>
      <c r="S1892" s="36"/>
      <c r="T1892" s="35"/>
      <c r="U1892" s="36"/>
      <c r="V1892" s="37"/>
    </row>
    <row r="1893" spans="1:22" x14ac:dyDescent="0.25">
      <c r="A1893" s="27"/>
      <c r="B1893" s="27"/>
      <c r="C1893" s="27"/>
      <c r="D1893" s="27"/>
      <c r="E1893" s="27"/>
      <c r="F1893" s="27"/>
      <c r="G1893" s="27"/>
      <c r="H1893" s="28"/>
      <c r="I1893" s="27"/>
      <c r="J1893" s="29"/>
      <c r="K1893" s="30"/>
      <c r="L1893" s="31"/>
      <c r="M1893" s="32"/>
      <c r="N1893" s="30"/>
      <c r="O1893" s="30"/>
      <c r="P1893" s="39"/>
      <c r="Q1893" s="34"/>
      <c r="R1893" s="35"/>
      <c r="S1893" s="36"/>
      <c r="T1893" s="35"/>
      <c r="U1893" s="36"/>
      <c r="V1893" s="37"/>
    </row>
    <row r="1894" spans="1:22" x14ac:dyDescent="0.25">
      <c r="A1894" s="27"/>
      <c r="B1894" s="27"/>
      <c r="C1894" s="27"/>
      <c r="D1894" s="27"/>
      <c r="E1894" s="27"/>
      <c r="F1894" s="27"/>
      <c r="G1894" s="27"/>
      <c r="H1894" s="28"/>
      <c r="I1894" s="27"/>
      <c r="J1894" s="29"/>
      <c r="K1894" s="30"/>
      <c r="L1894" s="31"/>
      <c r="M1894" s="32"/>
      <c r="N1894" s="30"/>
      <c r="O1894" s="30"/>
      <c r="P1894" s="39"/>
      <c r="Q1894" s="34"/>
      <c r="R1894" s="35"/>
      <c r="S1894" s="36"/>
      <c r="T1894" s="35"/>
      <c r="U1894" s="36"/>
      <c r="V1894" s="37"/>
    </row>
    <row r="1895" spans="1:22" x14ac:dyDescent="0.25">
      <c r="A1895" s="27"/>
      <c r="B1895" s="27"/>
      <c r="C1895" s="27"/>
      <c r="D1895" s="27"/>
      <c r="E1895" s="27"/>
      <c r="F1895" s="27"/>
      <c r="G1895" s="27"/>
      <c r="H1895" s="28"/>
      <c r="I1895" s="27"/>
      <c r="J1895" s="29"/>
      <c r="K1895" s="30"/>
      <c r="L1895" s="31"/>
      <c r="M1895" s="32"/>
      <c r="N1895" s="30"/>
      <c r="O1895" s="30"/>
      <c r="P1895" s="39"/>
      <c r="Q1895" s="34"/>
      <c r="R1895" s="35"/>
      <c r="S1895" s="36"/>
      <c r="T1895" s="35"/>
      <c r="U1895" s="36"/>
      <c r="V1895" s="37"/>
    </row>
    <row r="1896" spans="1:22" x14ac:dyDescent="0.25">
      <c r="A1896" s="27"/>
      <c r="B1896" s="27"/>
      <c r="C1896" s="27"/>
      <c r="D1896" s="27"/>
      <c r="E1896" s="27"/>
      <c r="F1896" s="27"/>
      <c r="G1896" s="27"/>
      <c r="H1896" s="28"/>
      <c r="I1896" s="27"/>
      <c r="J1896" s="29"/>
      <c r="K1896" s="30"/>
      <c r="L1896" s="31"/>
      <c r="M1896" s="32"/>
      <c r="N1896" s="30"/>
      <c r="O1896" s="30"/>
      <c r="P1896" s="39"/>
      <c r="Q1896" s="34"/>
      <c r="R1896" s="35"/>
      <c r="S1896" s="36"/>
      <c r="T1896" s="35"/>
      <c r="U1896" s="36"/>
      <c r="V1896" s="37"/>
    </row>
    <row r="1897" spans="1:22" x14ac:dyDescent="0.25">
      <c r="A1897" s="27"/>
      <c r="B1897" s="27"/>
      <c r="C1897" s="27"/>
      <c r="D1897" s="27"/>
      <c r="E1897" s="27"/>
      <c r="F1897" s="27"/>
      <c r="G1897" s="27"/>
      <c r="H1897" s="28"/>
      <c r="I1897" s="27"/>
      <c r="J1897" s="29"/>
      <c r="K1897" s="30"/>
      <c r="L1897" s="31"/>
      <c r="M1897" s="32"/>
      <c r="N1897" s="30"/>
      <c r="O1897" s="30"/>
      <c r="P1897" s="39"/>
      <c r="Q1897" s="34"/>
      <c r="R1897" s="35"/>
      <c r="S1897" s="36"/>
      <c r="T1897" s="35"/>
      <c r="U1897" s="36"/>
      <c r="V1897" s="37"/>
    </row>
    <row r="1898" spans="1:22" x14ac:dyDescent="0.25">
      <c r="A1898" s="27"/>
      <c r="B1898" s="27"/>
      <c r="C1898" s="27"/>
      <c r="D1898" s="27"/>
      <c r="E1898" s="27"/>
      <c r="F1898" s="27"/>
      <c r="G1898" s="27"/>
      <c r="H1898" s="28"/>
      <c r="I1898" s="27"/>
      <c r="J1898" s="29"/>
      <c r="K1898" s="30"/>
      <c r="L1898" s="31"/>
      <c r="M1898" s="32"/>
      <c r="N1898" s="30"/>
      <c r="O1898" s="30"/>
      <c r="P1898" s="39"/>
      <c r="Q1898" s="34"/>
      <c r="R1898" s="35"/>
      <c r="S1898" s="36"/>
      <c r="T1898" s="35"/>
      <c r="U1898" s="36"/>
      <c r="V1898" s="37"/>
    </row>
    <row r="1899" spans="1:22" x14ac:dyDescent="0.25">
      <c r="A1899" s="27"/>
      <c r="B1899" s="27"/>
      <c r="C1899" s="27"/>
      <c r="D1899" s="27"/>
      <c r="E1899" s="27"/>
      <c r="F1899" s="27"/>
      <c r="G1899" s="27"/>
      <c r="H1899" s="28"/>
      <c r="I1899" s="27"/>
      <c r="J1899" s="29"/>
      <c r="K1899" s="30"/>
      <c r="L1899" s="31"/>
      <c r="M1899" s="32"/>
      <c r="N1899" s="30"/>
      <c r="O1899" s="30"/>
      <c r="P1899" s="39"/>
      <c r="Q1899" s="34"/>
      <c r="R1899" s="35"/>
      <c r="S1899" s="36"/>
      <c r="T1899" s="35"/>
      <c r="U1899" s="36"/>
      <c r="V1899" s="37"/>
    </row>
    <row r="1900" spans="1:22" x14ac:dyDescent="0.25">
      <c r="A1900" s="27"/>
      <c r="B1900" s="27"/>
      <c r="C1900" s="27"/>
      <c r="D1900" s="27"/>
      <c r="E1900" s="27"/>
      <c r="F1900" s="27"/>
      <c r="G1900" s="27"/>
      <c r="H1900" s="28"/>
      <c r="I1900" s="27"/>
      <c r="J1900" s="29"/>
      <c r="K1900" s="30"/>
      <c r="L1900" s="31"/>
      <c r="M1900" s="32"/>
      <c r="N1900" s="30"/>
      <c r="O1900" s="30"/>
      <c r="P1900" s="39"/>
      <c r="Q1900" s="34"/>
      <c r="R1900" s="35"/>
      <c r="S1900" s="36"/>
      <c r="T1900" s="35"/>
      <c r="U1900" s="36"/>
      <c r="V1900" s="37"/>
    </row>
    <row r="1901" spans="1:22" x14ac:dyDescent="0.25">
      <c r="A1901" s="27"/>
      <c r="B1901" s="27"/>
      <c r="C1901" s="27"/>
      <c r="D1901" s="27"/>
      <c r="E1901" s="27"/>
      <c r="F1901" s="27"/>
      <c r="G1901" s="27"/>
      <c r="H1901" s="28"/>
      <c r="I1901" s="27"/>
      <c r="J1901" s="29"/>
      <c r="K1901" s="30"/>
      <c r="L1901" s="31"/>
      <c r="M1901" s="32"/>
      <c r="N1901" s="30"/>
      <c r="O1901" s="30"/>
      <c r="P1901" s="39"/>
      <c r="Q1901" s="34"/>
      <c r="R1901" s="35"/>
      <c r="S1901" s="36"/>
      <c r="T1901" s="35"/>
      <c r="U1901" s="36"/>
      <c r="V1901" s="37"/>
    </row>
    <row r="1902" spans="1:22" x14ac:dyDescent="0.25">
      <c r="A1902" s="27"/>
      <c r="B1902" s="27"/>
      <c r="C1902" s="27"/>
      <c r="D1902" s="27"/>
      <c r="E1902" s="27"/>
      <c r="F1902" s="27"/>
      <c r="G1902" s="27"/>
      <c r="H1902" s="28"/>
      <c r="I1902" s="27"/>
      <c r="J1902" s="29"/>
      <c r="K1902" s="30"/>
      <c r="L1902" s="31"/>
      <c r="M1902" s="32"/>
      <c r="N1902" s="30"/>
      <c r="O1902" s="30"/>
      <c r="P1902" s="39"/>
      <c r="Q1902" s="34"/>
      <c r="R1902" s="35"/>
      <c r="S1902" s="36"/>
      <c r="T1902" s="35"/>
      <c r="U1902" s="36"/>
      <c r="V1902" s="37"/>
    </row>
    <row r="1903" spans="1:22" x14ac:dyDescent="0.25">
      <c r="A1903" s="27"/>
      <c r="B1903" s="27"/>
      <c r="C1903" s="27"/>
      <c r="D1903" s="27"/>
      <c r="E1903" s="27"/>
      <c r="F1903" s="27"/>
      <c r="G1903" s="27"/>
      <c r="H1903" s="28"/>
      <c r="I1903" s="27"/>
      <c r="J1903" s="29"/>
      <c r="K1903" s="30"/>
      <c r="L1903" s="31"/>
      <c r="M1903" s="32"/>
      <c r="N1903" s="30"/>
      <c r="O1903" s="30"/>
      <c r="P1903" s="39"/>
      <c r="Q1903" s="34"/>
      <c r="R1903" s="35"/>
      <c r="S1903" s="36"/>
      <c r="T1903" s="35"/>
      <c r="U1903" s="36"/>
      <c r="V1903" s="37"/>
    </row>
    <row r="1904" spans="1:22" x14ac:dyDescent="0.25">
      <c r="A1904" s="27"/>
      <c r="B1904" s="27"/>
      <c r="C1904" s="27"/>
      <c r="D1904" s="27"/>
      <c r="E1904" s="27"/>
      <c r="F1904" s="27"/>
      <c r="G1904" s="27"/>
      <c r="H1904" s="28"/>
      <c r="I1904" s="27"/>
      <c r="J1904" s="29"/>
      <c r="K1904" s="30"/>
      <c r="L1904" s="31"/>
      <c r="M1904" s="32"/>
      <c r="N1904" s="30"/>
      <c r="O1904" s="30"/>
      <c r="P1904" s="39"/>
      <c r="Q1904" s="34"/>
      <c r="R1904" s="35"/>
      <c r="S1904" s="36"/>
      <c r="T1904" s="35"/>
      <c r="U1904" s="36"/>
      <c r="V1904" s="37"/>
    </row>
    <row r="1905" spans="1:22" x14ac:dyDescent="0.25">
      <c r="A1905" s="27"/>
      <c r="B1905" s="27"/>
      <c r="C1905" s="27"/>
      <c r="D1905" s="27"/>
      <c r="E1905" s="27"/>
      <c r="F1905" s="27"/>
      <c r="G1905" s="27"/>
      <c r="H1905" s="28"/>
      <c r="I1905" s="27"/>
      <c r="J1905" s="29"/>
      <c r="K1905" s="30"/>
      <c r="L1905" s="31"/>
      <c r="M1905" s="32"/>
      <c r="N1905" s="30"/>
      <c r="O1905" s="30"/>
      <c r="P1905" s="39"/>
      <c r="Q1905" s="34"/>
      <c r="R1905" s="35"/>
      <c r="S1905" s="36"/>
      <c r="T1905" s="35"/>
      <c r="U1905" s="36"/>
      <c r="V1905" s="37"/>
    </row>
    <row r="1906" spans="1:22" x14ac:dyDescent="0.25">
      <c r="A1906" s="27"/>
      <c r="B1906" s="27"/>
      <c r="C1906" s="27"/>
      <c r="D1906" s="27"/>
      <c r="E1906" s="27"/>
      <c r="F1906" s="27"/>
      <c r="G1906" s="27"/>
      <c r="H1906" s="28"/>
      <c r="I1906" s="27"/>
      <c r="J1906" s="29"/>
      <c r="K1906" s="30"/>
      <c r="L1906" s="31"/>
      <c r="M1906" s="32"/>
      <c r="N1906" s="30"/>
      <c r="O1906" s="30"/>
      <c r="P1906" s="39"/>
      <c r="Q1906" s="34"/>
      <c r="R1906" s="35"/>
      <c r="S1906" s="36"/>
      <c r="T1906" s="35"/>
      <c r="U1906" s="36"/>
      <c r="V1906" s="37"/>
    </row>
    <row r="1907" spans="1:22" x14ac:dyDescent="0.25">
      <c r="A1907" s="27"/>
      <c r="B1907" s="27"/>
      <c r="C1907" s="27"/>
      <c r="D1907" s="27"/>
      <c r="E1907" s="27"/>
      <c r="F1907" s="27"/>
      <c r="G1907" s="27"/>
      <c r="H1907" s="28"/>
      <c r="I1907" s="27"/>
      <c r="J1907" s="29"/>
      <c r="K1907" s="30"/>
      <c r="L1907" s="31"/>
      <c r="M1907" s="32"/>
      <c r="N1907" s="30"/>
      <c r="O1907" s="30"/>
      <c r="P1907" s="39"/>
      <c r="Q1907" s="34"/>
      <c r="R1907" s="35"/>
      <c r="S1907" s="36"/>
      <c r="T1907" s="35"/>
      <c r="U1907" s="36"/>
      <c r="V1907" s="37"/>
    </row>
    <row r="1908" spans="1:22" x14ac:dyDescent="0.25">
      <c r="A1908" s="27"/>
      <c r="B1908" s="27"/>
      <c r="C1908" s="27"/>
      <c r="D1908" s="27"/>
      <c r="E1908" s="27"/>
      <c r="F1908" s="27"/>
      <c r="G1908" s="27"/>
      <c r="H1908" s="28"/>
      <c r="I1908" s="27"/>
      <c r="J1908" s="29"/>
      <c r="K1908" s="30"/>
      <c r="L1908" s="31"/>
      <c r="M1908" s="32"/>
      <c r="N1908" s="30"/>
      <c r="O1908" s="30"/>
      <c r="P1908" s="39"/>
      <c r="Q1908" s="34"/>
      <c r="R1908" s="35"/>
      <c r="S1908" s="36"/>
      <c r="T1908" s="35"/>
      <c r="U1908" s="36"/>
      <c r="V1908" s="37"/>
    </row>
    <row r="1909" spans="1:22" x14ac:dyDescent="0.25">
      <c r="A1909" s="27"/>
      <c r="B1909" s="27"/>
      <c r="C1909" s="27"/>
      <c r="D1909" s="27"/>
      <c r="E1909" s="27"/>
      <c r="F1909" s="27"/>
      <c r="G1909" s="27"/>
      <c r="H1909" s="28"/>
      <c r="I1909" s="27"/>
      <c r="J1909" s="29"/>
      <c r="K1909" s="30"/>
      <c r="L1909" s="31"/>
      <c r="M1909" s="32"/>
      <c r="N1909" s="30"/>
      <c r="O1909" s="30"/>
      <c r="P1909" s="39"/>
      <c r="Q1909" s="34"/>
      <c r="R1909" s="35"/>
      <c r="S1909" s="36"/>
      <c r="T1909" s="35"/>
      <c r="U1909" s="36"/>
      <c r="V1909" s="37"/>
    </row>
    <row r="1910" spans="1:22" x14ac:dyDescent="0.25">
      <c r="A1910" s="27"/>
      <c r="B1910" s="27"/>
      <c r="C1910" s="27"/>
      <c r="D1910" s="27"/>
      <c r="E1910" s="27"/>
      <c r="F1910" s="27"/>
      <c r="G1910" s="27"/>
      <c r="H1910" s="28"/>
      <c r="I1910" s="27"/>
      <c r="J1910" s="29"/>
      <c r="K1910" s="30"/>
      <c r="L1910" s="31"/>
      <c r="M1910" s="32"/>
      <c r="N1910" s="30"/>
      <c r="O1910" s="30"/>
      <c r="P1910" s="39"/>
      <c r="Q1910" s="34"/>
      <c r="R1910" s="35"/>
      <c r="S1910" s="36"/>
      <c r="T1910" s="35"/>
      <c r="U1910" s="36"/>
      <c r="V1910" s="37"/>
    </row>
    <row r="1911" spans="1:22" x14ac:dyDescent="0.25">
      <c r="A1911" s="27"/>
      <c r="B1911" s="27"/>
      <c r="C1911" s="27"/>
      <c r="D1911" s="27"/>
      <c r="E1911" s="27"/>
      <c r="F1911" s="27"/>
      <c r="G1911" s="27"/>
      <c r="H1911" s="28"/>
      <c r="I1911" s="27"/>
      <c r="J1911" s="29"/>
      <c r="K1911" s="30"/>
      <c r="L1911" s="31"/>
      <c r="M1911" s="32"/>
      <c r="N1911" s="30"/>
      <c r="O1911" s="30"/>
      <c r="P1911" s="39"/>
      <c r="Q1911" s="34"/>
      <c r="R1911" s="35"/>
      <c r="S1911" s="36"/>
      <c r="T1911" s="35"/>
      <c r="U1911" s="36"/>
      <c r="V1911" s="37"/>
    </row>
    <row r="1912" spans="1:22" x14ac:dyDescent="0.25">
      <c r="A1912" s="27"/>
      <c r="B1912" s="27"/>
      <c r="C1912" s="27"/>
      <c r="D1912" s="27"/>
      <c r="E1912" s="27"/>
      <c r="F1912" s="27"/>
      <c r="G1912" s="27"/>
      <c r="H1912" s="28"/>
      <c r="I1912" s="27"/>
      <c r="J1912" s="29"/>
      <c r="K1912" s="30"/>
      <c r="L1912" s="31"/>
      <c r="M1912" s="32"/>
      <c r="N1912" s="30"/>
      <c r="O1912" s="30"/>
      <c r="P1912" s="39"/>
      <c r="Q1912" s="34"/>
      <c r="R1912" s="35"/>
      <c r="S1912" s="36"/>
      <c r="T1912" s="35"/>
      <c r="U1912" s="36"/>
      <c r="V1912" s="37"/>
    </row>
    <row r="1913" spans="1:22" x14ac:dyDescent="0.25">
      <c r="A1913" s="27"/>
      <c r="B1913" s="27"/>
      <c r="C1913" s="27"/>
      <c r="D1913" s="27"/>
      <c r="E1913" s="27"/>
      <c r="F1913" s="27"/>
      <c r="G1913" s="27"/>
      <c r="H1913" s="28"/>
      <c r="I1913" s="27"/>
      <c r="J1913" s="29"/>
      <c r="K1913" s="30"/>
      <c r="L1913" s="31"/>
      <c r="M1913" s="32"/>
      <c r="N1913" s="30"/>
      <c r="O1913" s="30"/>
      <c r="P1913" s="39"/>
      <c r="Q1913" s="34"/>
      <c r="R1913" s="35"/>
      <c r="S1913" s="36"/>
      <c r="T1913" s="35"/>
      <c r="U1913" s="36"/>
      <c r="V1913" s="37"/>
    </row>
    <row r="1914" spans="1:22" x14ac:dyDescent="0.25">
      <c r="A1914" s="27"/>
      <c r="B1914" s="27"/>
      <c r="C1914" s="27"/>
      <c r="D1914" s="27"/>
      <c r="E1914" s="27"/>
      <c r="F1914" s="27"/>
      <c r="G1914" s="27"/>
      <c r="H1914" s="28"/>
      <c r="I1914" s="27"/>
      <c r="J1914" s="29"/>
      <c r="K1914" s="30"/>
      <c r="L1914" s="31"/>
      <c r="M1914" s="32"/>
      <c r="N1914" s="30"/>
      <c r="O1914" s="30"/>
      <c r="P1914" s="39"/>
      <c r="Q1914" s="34"/>
      <c r="R1914" s="35"/>
      <c r="S1914" s="36"/>
      <c r="T1914" s="35"/>
      <c r="U1914" s="36"/>
      <c r="V1914" s="37"/>
    </row>
    <row r="1915" spans="1:22" x14ac:dyDescent="0.25">
      <c r="A1915" s="27"/>
      <c r="B1915" s="27"/>
      <c r="C1915" s="27"/>
      <c r="D1915" s="27"/>
      <c r="E1915" s="27"/>
      <c r="F1915" s="27"/>
      <c r="G1915" s="27"/>
      <c r="H1915" s="28"/>
      <c r="I1915" s="27"/>
      <c r="J1915" s="29"/>
      <c r="K1915" s="30"/>
      <c r="L1915" s="31"/>
      <c r="M1915" s="32"/>
      <c r="N1915" s="30"/>
      <c r="O1915" s="30"/>
      <c r="P1915" s="39"/>
      <c r="Q1915" s="34"/>
      <c r="R1915" s="35"/>
      <c r="S1915" s="36"/>
      <c r="T1915" s="35"/>
      <c r="U1915" s="36"/>
      <c r="V1915" s="37"/>
    </row>
    <row r="1916" spans="1:22" x14ac:dyDescent="0.25">
      <c r="A1916" s="27"/>
      <c r="B1916" s="27"/>
      <c r="C1916" s="27"/>
      <c r="D1916" s="27"/>
      <c r="E1916" s="27"/>
      <c r="F1916" s="27"/>
      <c r="G1916" s="27"/>
      <c r="H1916" s="28"/>
      <c r="I1916" s="27"/>
      <c r="J1916" s="29"/>
      <c r="K1916" s="30"/>
      <c r="L1916" s="31"/>
      <c r="M1916" s="32"/>
      <c r="N1916" s="30"/>
      <c r="O1916" s="30"/>
      <c r="P1916" s="39"/>
      <c r="Q1916" s="34"/>
      <c r="R1916" s="35"/>
      <c r="S1916" s="36"/>
      <c r="T1916" s="35"/>
      <c r="U1916" s="36"/>
      <c r="V1916" s="37"/>
    </row>
    <row r="1917" spans="1:22" x14ac:dyDescent="0.25">
      <c r="A1917" s="27"/>
      <c r="B1917" s="27"/>
      <c r="C1917" s="27"/>
      <c r="D1917" s="27"/>
      <c r="E1917" s="27"/>
      <c r="F1917" s="27"/>
      <c r="G1917" s="27"/>
      <c r="H1917" s="28"/>
      <c r="I1917" s="27"/>
      <c r="J1917" s="29"/>
      <c r="K1917" s="30"/>
      <c r="L1917" s="31"/>
      <c r="M1917" s="32"/>
      <c r="N1917" s="30"/>
      <c r="O1917" s="30"/>
      <c r="P1917" s="39"/>
      <c r="Q1917" s="34"/>
      <c r="R1917" s="35"/>
      <c r="S1917" s="36"/>
      <c r="T1917" s="35"/>
      <c r="U1917" s="36"/>
      <c r="V1917" s="37"/>
    </row>
    <row r="1918" spans="1:22" x14ac:dyDescent="0.25">
      <c r="A1918" s="27"/>
      <c r="B1918" s="27"/>
      <c r="C1918" s="27"/>
      <c r="D1918" s="27"/>
      <c r="E1918" s="27"/>
      <c r="F1918" s="27"/>
      <c r="G1918" s="27"/>
      <c r="H1918" s="28"/>
      <c r="I1918" s="27"/>
      <c r="J1918" s="29"/>
      <c r="K1918" s="30"/>
      <c r="L1918" s="31"/>
      <c r="M1918" s="32"/>
      <c r="N1918" s="30"/>
      <c r="O1918" s="30"/>
      <c r="P1918" s="39"/>
      <c r="Q1918" s="34"/>
      <c r="R1918" s="35"/>
      <c r="S1918" s="36"/>
      <c r="T1918" s="35"/>
      <c r="U1918" s="36"/>
      <c r="V1918" s="37"/>
    </row>
    <row r="1919" spans="1:22" x14ac:dyDescent="0.25">
      <c r="A1919" s="27"/>
      <c r="B1919" s="27"/>
      <c r="C1919" s="27"/>
      <c r="D1919" s="27"/>
      <c r="E1919" s="27"/>
      <c r="F1919" s="27"/>
      <c r="G1919" s="27"/>
      <c r="H1919" s="28"/>
      <c r="I1919" s="27"/>
      <c r="J1919" s="29"/>
      <c r="K1919" s="30"/>
      <c r="L1919" s="31"/>
      <c r="M1919" s="32"/>
      <c r="N1919" s="30"/>
      <c r="O1919" s="30"/>
      <c r="P1919" s="39"/>
      <c r="Q1919" s="34"/>
      <c r="R1919" s="35"/>
      <c r="S1919" s="36"/>
      <c r="T1919" s="35"/>
      <c r="U1919" s="36"/>
      <c r="V1919" s="37"/>
    </row>
    <row r="1920" spans="1:22" x14ac:dyDescent="0.25">
      <c r="A1920" s="27"/>
      <c r="B1920" s="27"/>
      <c r="C1920" s="27"/>
      <c r="D1920" s="27"/>
      <c r="E1920" s="27"/>
      <c r="F1920" s="27"/>
      <c r="G1920" s="27"/>
      <c r="H1920" s="28"/>
      <c r="I1920" s="27"/>
      <c r="J1920" s="29"/>
      <c r="K1920" s="30"/>
      <c r="L1920" s="31"/>
      <c r="M1920" s="32"/>
      <c r="N1920" s="30"/>
      <c r="O1920" s="30"/>
      <c r="P1920" s="39"/>
      <c r="Q1920" s="34"/>
      <c r="R1920" s="35"/>
      <c r="S1920" s="36"/>
      <c r="T1920" s="35"/>
      <c r="U1920" s="36"/>
      <c r="V1920" s="37"/>
    </row>
    <row r="1921" spans="1:22" x14ac:dyDescent="0.25">
      <c r="A1921" s="27"/>
      <c r="B1921" s="27"/>
      <c r="C1921" s="27"/>
      <c r="D1921" s="27"/>
      <c r="E1921" s="27"/>
      <c r="F1921" s="27"/>
      <c r="G1921" s="27"/>
      <c r="H1921" s="28"/>
      <c r="I1921" s="27"/>
      <c r="J1921" s="29"/>
      <c r="K1921" s="30"/>
      <c r="L1921" s="31"/>
      <c r="M1921" s="32"/>
      <c r="N1921" s="30"/>
      <c r="O1921" s="30"/>
      <c r="P1921" s="39"/>
      <c r="Q1921" s="34"/>
      <c r="R1921" s="35"/>
      <c r="S1921" s="36"/>
      <c r="T1921" s="35"/>
      <c r="U1921" s="36"/>
      <c r="V1921" s="37"/>
    </row>
    <row r="1922" spans="1:22" x14ac:dyDescent="0.25">
      <c r="A1922" s="27"/>
      <c r="B1922" s="27"/>
      <c r="C1922" s="27"/>
      <c r="D1922" s="27"/>
      <c r="E1922" s="27"/>
      <c r="F1922" s="27"/>
      <c r="G1922" s="27"/>
      <c r="H1922" s="28"/>
      <c r="I1922" s="27"/>
      <c r="J1922" s="29"/>
      <c r="K1922" s="30"/>
      <c r="L1922" s="31"/>
      <c r="M1922" s="32"/>
      <c r="N1922" s="30"/>
      <c r="O1922" s="30"/>
      <c r="P1922" s="39"/>
      <c r="Q1922" s="34"/>
      <c r="R1922" s="35"/>
      <c r="S1922" s="36"/>
      <c r="T1922" s="35"/>
      <c r="U1922" s="36"/>
      <c r="V1922" s="37"/>
    </row>
    <row r="1923" spans="1:22" x14ac:dyDescent="0.25">
      <c r="A1923" s="27"/>
      <c r="B1923" s="27"/>
      <c r="C1923" s="27"/>
      <c r="D1923" s="27"/>
      <c r="E1923" s="27"/>
      <c r="F1923" s="27"/>
      <c r="G1923" s="27"/>
      <c r="H1923" s="28"/>
      <c r="I1923" s="27"/>
      <c r="J1923" s="29"/>
      <c r="K1923" s="30"/>
      <c r="L1923" s="31"/>
      <c r="M1923" s="32"/>
      <c r="N1923" s="30"/>
      <c r="O1923" s="30"/>
      <c r="P1923" s="39"/>
      <c r="Q1923" s="34"/>
      <c r="R1923" s="35"/>
      <c r="S1923" s="36"/>
      <c r="T1923" s="35"/>
      <c r="U1923" s="36"/>
      <c r="V1923" s="37"/>
    </row>
    <row r="1924" spans="1:22" x14ac:dyDescent="0.25">
      <c r="A1924" s="27"/>
      <c r="B1924" s="27"/>
      <c r="C1924" s="27"/>
      <c r="D1924" s="27"/>
      <c r="E1924" s="27"/>
      <c r="F1924" s="27"/>
      <c r="G1924" s="27"/>
      <c r="H1924" s="28"/>
      <c r="I1924" s="27"/>
      <c r="J1924" s="29"/>
      <c r="K1924" s="30"/>
      <c r="L1924" s="31"/>
      <c r="M1924" s="32"/>
      <c r="N1924" s="30"/>
      <c r="O1924" s="30"/>
      <c r="P1924" s="39"/>
      <c r="Q1924" s="34"/>
      <c r="R1924" s="35"/>
      <c r="S1924" s="36"/>
      <c r="T1924" s="35"/>
      <c r="U1924" s="36"/>
      <c r="V1924" s="37"/>
    </row>
    <row r="1925" spans="1:22" x14ac:dyDescent="0.25">
      <c r="A1925" s="27"/>
      <c r="B1925" s="27"/>
      <c r="C1925" s="27"/>
      <c r="D1925" s="27"/>
      <c r="E1925" s="27"/>
      <c r="F1925" s="27"/>
      <c r="G1925" s="27"/>
      <c r="H1925" s="28"/>
      <c r="I1925" s="27"/>
      <c r="J1925" s="29"/>
      <c r="K1925" s="30"/>
      <c r="L1925" s="31"/>
      <c r="M1925" s="32"/>
      <c r="N1925" s="30"/>
      <c r="O1925" s="30"/>
      <c r="P1925" s="39"/>
      <c r="Q1925" s="34"/>
      <c r="R1925" s="35"/>
      <c r="S1925" s="36"/>
      <c r="T1925" s="35"/>
      <c r="U1925" s="36"/>
      <c r="V1925" s="37"/>
    </row>
    <row r="1926" spans="1:22" x14ac:dyDescent="0.25">
      <c r="A1926" s="27"/>
      <c r="B1926" s="27"/>
      <c r="C1926" s="27"/>
      <c r="D1926" s="27"/>
      <c r="E1926" s="27"/>
      <c r="F1926" s="27"/>
      <c r="G1926" s="27"/>
      <c r="H1926" s="28"/>
      <c r="I1926" s="27"/>
      <c r="J1926" s="29"/>
      <c r="K1926" s="30"/>
      <c r="L1926" s="31"/>
      <c r="M1926" s="32"/>
      <c r="N1926" s="30"/>
      <c r="O1926" s="30"/>
      <c r="P1926" s="39"/>
      <c r="Q1926" s="34"/>
      <c r="R1926" s="35"/>
      <c r="S1926" s="36"/>
      <c r="T1926" s="35"/>
      <c r="U1926" s="36"/>
      <c r="V1926" s="37"/>
    </row>
    <row r="1927" spans="1:22" x14ac:dyDescent="0.25">
      <c r="A1927" s="27"/>
      <c r="B1927" s="27"/>
      <c r="C1927" s="27"/>
      <c r="D1927" s="27"/>
      <c r="E1927" s="27"/>
      <c r="F1927" s="27"/>
      <c r="G1927" s="27"/>
      <c r="H1927" s="28"/>
      <c r="I1927" s="27"/>
      <c r="J1927" s="29"/>
      <c r="K1927" s="30"/>
      <c r="L1927" s="31"/>
      <c r="M1927" s="32"/>
      <c r="N1927" s="30"/>
      <c r="O1927" s="30"/>
      <c r="P1927" s="39"/>
      <c r="Q1927" s="34"/>
      <c r="R1927" s="35"/>
      <c r="S1927" s="36"/>
      <c r="T1927" s="35"/>
      <c r="U1927" s="36"/>
      <c r="V1927" s="37"/>
    </row>
    <row r="1928" spans="1:22" x14ac:dyDescent="0.25">
      <c r="A1928" s="27"/>
      <c r="B1928" s="27"/>
      <c r="C1928" s="27"/>
      <c r="D1928" s="27"/>
      <c r="E1928" s="27"/>
      <c r="F1928" s="27"/>
      <c r="G1928" s="27"/>
      <c r="H1928" s="28"/>
      <c r="I1928" s="27"/>
      <c r="J1928" s="29"/>
      <c r="K1928" s="30"/>
      <c r="L1928" s="31"/>
      <c r="M1928" s="32"/>
      <c r="N1928" s="30"/>
      <c r="O1928" s="30"/>
      <c r="P1928" s="39"/>
      <c r="Q1928" s="34"/>
      <c r="R1928" s="35"/>
      <c r="S1928" s="36"/>
      <c r="T1928" s="35"/>
      <c r="U1928" s="36"/>
      <c r="V1928" s="37"/>
    </row>
    <row r="1929" spans="1:22" x14ac:dyDescent="0.25">
      <c r="A1929" s="27"/>
      <c r="B1929" s="27"/>
      <c r="C1929" s="27"/>
      <c r="D1929" s="27"/>
      <c r="E1929" s="27"/>
      <c r="F1929" s="27"/>
      <c r="G1929" s="27"/>
      <c r="H1929" s="28"/>
      <c r="I1929" s="27"/>
      <c r="J1929" s="29"/>
      <c r="K1929" s="30"/>
      <c r="L1929" s="31"/>
      <c r="M1929" s="32"/>
      <c r="N1929" s="30"/>
      <c r="O1929" s="30"/>
      <c r="P1929" s="39"/>
      <c r="Q1929" s="34"/>
      <c r="R1929" s="35"/>
      <c r="S1929" s="36"/>
      <c r="T1929" s="35"/>
      <c r="U1929" s="36"/>
      <c r="V1929" s="37"/>
    </row>
    <row r="1930" spans="1:22" x14ac:dyDescent="0.25">
      <c r="A1930" s="27"/>
      <c r="B1930" s="27"/>
      <c r="C1930" s="27"/>
      <c r="D1930" s="27"/>
      <c r="E1930" s="27"/>
      <c r="F1930" s="27"/>
      <c r="G1930" s="27"/>
      <c r="H1930" s="28"/>
      <c r="I1930" s="27"/>
      <c r="J1930" s="29"/>
      <c r="K1930" s="30"/>
      <c r="L1930" s="31"/>
      <c r="M1930" s="32"/>
      <c r="N1930" s="30"/>
      <c r="O1930" s="30"/>
      <c r="P1930" s="39"/>
      <c r="Q1930" s="34"/>
      <c r="R1930" s="35"/>
      <c r="S1930" s="36"/>
      <c r="T1930" s="35"/>
      <c r="U1930" s="36"/>
      <c r="V1930" s="37"/>
    </row>
    <row r="1931" spans="1:22" x14ac:dyDescent="0.25">
      <c r="A1931" s="27"/>
      <c r="B1931" s="27"/>
      <c r="C1931" s="27"/>
      <c r="D1931" s="27"/>
      <c r="E1931" s="27"/>
      <c r="F1931" s="27"/>
      <c r="G1931" s="27"/>
      <c r="H1931" s="28"/>
      <c r="I1931" s="27"/>
      <c r="J1931" s="29"/>
      <c r="K1931" s="30"/>
      <c r="L1931" s="31"/>
      <c r="M1931" s="32"/>
      <c r="N1931" s="30"/>
      <c r="O1931" s="30"/>
      <c r="P1931" s="39"/>
      <c r="Q1931" s="34"/>
      <c r="R1931" s="35"/>
      <c r="S1931" s="36"/>
      <c r="T1931" s="35"/>
      <c r="U1931" s="36"/>
      <c r="V1931" s="37"/>
    </row>
    <row r="1932" spans="1:22" x14ac:dyDescent="0.25">
      <c r="A1932" s="27"/>
      <c r="B1932" s="27"/>
      <c r="C1932" s="27"/>
      <c r="D1932" s="27"/>
      <c r="E1932" s="27"/>
      <c r="F1932" s="27"/>
      <c r="G1932" s="27"/>
      <c r="H1932" s="28"/>
      <c r="I1932" s="27"/>
      <c r="J1932" s="29"/>
      <c r="K1932" s="30"/>
      <c r="L1932" s="31"/>
      <c r="M1932" s="32"/>
      <c r="N1932" s="30"/>
      <c r="O1932" s="30"/>
      <c r="P1932" s="39"/>
      <c r="Q1932" s="34"/>
      <c r="R1932" s="35"/>
      <c r="S1932" s="36"/>
      <c r="T1932" s="35"/>
      <c r="U1932" s="36"/>
      <c r="V1932" s="37"/>
    </row>
    <row r="1933" spans="1:22" x14ac:dyDescent="0.25">
      <c r="A1933" s="27"/>
      <c r="B1933" s="27"/>
      <c r="C1933" s="27"/>
      <c r="D1933" s="27"/>
      <c r="E1933" s="27"/>
      <c r="F1933" s="27"/>
      <c r="G1933" s="27"/>
      <c r="H1933" s="28"/>
      <c r="I1933" s="27"/>
      <c r="J1933" s="29"/>
      <c r="K1933" s="30"/>
      <c r="L1933" s="31"/>
      <c r="M1933" s="32"/>
      <c r="N1933" s="30"/>
      <c r="O1933" s="30"/>
      <c r="P1933" s="39"/>
      <c r="Q1933" s="34"/>
      <c r="R1933" s="35"/>
      <c r="S1933" s="36"/>
      <c r="T1933" s="35"/>
      <c r="U1933" s="36"/>
      <c r="V1933" s="37"/>
    </row>
    <row r="1934" spans="1:22" x14ac:dyDescent="0.25">
      <c r="A1934" s="27"/>
      <c r="B1934" s="27"/>
      <c r="C1934" s="27"/>
      <c r="D1934" s="27"/>
      <c r="E1934" s="27"/>
      <c r="F1934" s="27"/>
      <c r="G1934" s="27"/>
      <c r="H1934" s="28"/>
      <c r="I1934" s="27"/>
      <c r="J1934" s="29"/>
      <c r="K1934" s="30"/>
      <c r="L1934" s="31"/>
      <c r="M1934" s="32"/>
      <c r="N1934" s="30"/>
      <c r="O1934" s="30"/>
      <c r="P1934" s="39"/>
      <c r="Q1934" s="34"/>
      <c r="R1934" s="35"/>
      <c r="S1934" s="36"/>
      <c r="T1934" s="35"/>
      <c r="U1934" s="36"/>
      <c r="V1934" s="37"/>
    </row>
    <row r="1935" spans="1:22" x14ac:dyDescent="0.25">
      <c r="A1935" s="27"/>
      <c r="B1935" s="27"/>
      <c r="C1935" s="27"/>
      <c r="D1935" s="27"/>
      <c r="E1935" s="27"/>
      <c r="F1935" s="27"/>
      <c r="G1935" s="27"/>
      <c r="H1935" s="28"/>
      <c r="I1935" s="27"/>
      <c r="J1935" s="29"/>
      <c r="K1935" s="30"/>
      <c r="L1935" s="31"/>
      <c r="M1935" s="32"/>
      <c r="N1935" s="30"/>
      <c r="O1935" s="30"/>
      <c r="P1935" s="39"/>
      <c r="Q1935" s="34"/>
      <c r="R1935" s="35"/>
      <c r="S1935" s="36"/>
      <c r="T1935" s="35"/>
      <c r="U1935" s="36"/>
      <c r="V1935" s="37"/>
    </row>
    <row r="1936" spans="1:22" x14ac:dyDescent="0.25">
      <c r="A1936" s="27"/>
      <c r="B1936" s="27"/>
      <c r="C1936" s="27"/>
      <c r="D1936" s="27"/>
      <c r="E1936" s="27"/>
      <c r="F1936" s="27"/>
      <c r="G1936" s="27"/>
      <c r="H1936" s="28"/>
      <c r="I1936" s="27"/>
      <c r="J1936" s="29"/>
      <c r="K1936" s="30"/>
      <c r="L1936" s="31"/>
      <c r="M1936" s="32"/>
      <c r="N1936" s="30"/>
      <c r="O1936" s="30"/>
      <c r="P1936" s="39"/>
      <c r="Q1936" s="34"/>
      <c r="R1936" s="35"/>
      <c r="S1936" s="36"/>
      <c r="T1936" s="35"/>
      <c r="U1936" s="36"/>
      <c r="V1936" s="37"/>
    </row>
    <row r="1937" spans="1:22" x14ac:dyDescent="0.25">
      <c r="A1937" s="27"/>
      <c r="B1937" s="27"/>
      <c r="C1937" s="27"/>
      <c r="D1937" s="27"/>
      <c r="E1937" s="27"/>
      <c r="F1937" s="27"/>
      <c r="G1937" s="27"/>
      <c r="H1937" s="28"/>
      <c r="I1937" s="27"/>
      <c r="J1937" s="29"/>
      <c r="K1937" s="30"/>
      <c r="L1937" s="31"/>
      <c r="M1937" s="32"/>
      <c r="N1937" s="30"/>
      <c r="O1937" s="30"/>
      <c r="P1937" s="39"/>
      <c r="Q1937" s="34"/>
      <c r="R1937" s="35"/>
      <c r="S1937" s="36"/>
      <c r="T1937" s="35"/>
      <c r="U1937" s="36"/>
      <c r="V1937" s="37"/>
    </row>
    <row r="1938" spans="1:22" x14ac:dyDescent="0.25">
      <c r="A1938" s="27"/>
      <c r="B1938" s="27"/>
      <c r="C1938" s="27"/>
      <c r="D1938" s="27"/>
      <c r="E1938" s="27"/>
      <c r="F1938" s="27"/>
      <c r="G1938" s="27"/>
      <c r="H1938" s="28"/>
      <c r="I1938" s="27"/>
      <c r="J1938" s="29"/>
      <c r="K1938" s="30"/>
      <c r="L1938" s="31"/>
      <c r="M1938" s="32"/>
      <c r="N1938" s="30"/>
      <c r="O1938" s="30"/>
      <c r="P1938" s="39"/>
      <c r="Q1938" s="34"/>
      <c r="R1938" s="35"/>
      <c r="S1938" s="36"/>
      <c r="T1938" s="35"/>
      <c r="U1938" s="36"/>
      <c r="V1938" s="37"/>
    </row>
    <row r="1939" spans="1:22" x14ac:dyDescent="0.25">
      <c r="A1939" s="27"/>
      <c r="B1939" s="27"/>
      <c r="C1939" s="27"/>
      <c r="D1939" s="27"/>
      <c r="E1939" s="27"/>
      <c r="F1939" s="27"/>
      <c r="G1939" s="27"/>
      <c r="H1939" s="28"/>
      <c r="I1939" s="27"/>
      <c r="J1939" s="29"/>
      <c r="K1939" s="30"/>
      <c r="L1939" s="31"/>
      <c r="M1939" s="32"/>
      <c r="N1939" s="30"/>
      <c r="O1939" s="30"/>
      <c r="P1939" s="39"/>
      <c r="Q1939" s="34"/>
      <c r="R1939" s="35"/>
      <c r="S1939" s="36"/>
      <c r="T1939" s="35"/>
      <c r="U1939" s="36"/>
      <c r="V1939" s="37"/>
    </row>
    <row r="1940" spans="1:22" x14ac:dyDescent="0.25">
      <c r="A1940" s="27"/>
      <c r="B1940" s="27"/>
      <c r="C1940" s="27"/>
      <c r="D1940" s="27"/>
      <c r="E1940" s="27"/>
      <c r="F1940" s="27"/>
      <c r="G1940" s="27"/>
      <c r="H1940" s="28"/>
      <c r="I1940" s="27"/>
      <c r="J1940" s="29"/>
      <c r="K1940" s="30"/>
      <c r="L1940" s="31"/>
      <c r="M1940" s="32"/>
      <c r="N1940" s="30"/>
      <c r="O1940" s="30"/>
      <c r="P1940" s="39"/>
      <c r="Q1940" s="34"/>
      <c r="R1940" s="35"/>
      <c r="S1940" s="36"/>
      <c r="T1940" s="35"/>
      <c r="U1940" s="36"/>
      <c r="V1940" s="37"/>
    </row>
    <row r="1941" spans="1:22" x14ac:dyDescent="0.25">
      <c r="A1941" s="27"/>
      <c r="B1941" s="27"/>
      <c r="C1941" s="27"/>
      <c r="D1941" s="27"/>
      <c r="E1941" s="27"/>
      <c r="F1941" s="27"/>
      <c r="G1941" s="27"/>
      <c r="H1941" s="28"/>
      <c r="I1941" s="27"/>
      <c r="J1941" s="29"/>
      <c r="K1941" s="30"/>
      <c r="L1941" s="31"/>
      <c r="M1941" s="32"/>
      <c r="N1941" s="30"/>
      <c r="O1941" s="30"/>
      <c r="P1941" s="39"/>
      <c r="Q1941" s="34"/>
      <c r="R1941" s="35"/>
      <c r="S1941" s="36"/>
      <c r="T1941" s="35"/>
      <c r="U1941" s="36"/>
      <c r="V1941" s="37"/>
    </row>
    <row r="1942" spans="1:22" x14ac:dyDescent="0.25">
      <c r="A1942" s="27"/>
      <c r="B1942" s="27"/>
      <c r="C1942" s="27"/>
      <c r="D1942" s="27"/>
      <c r="E1942" s="27"/>
      <c r="F1942" s="27"/>
      <c r="G1942" s="27"/>
      <c r="H1942" s="28"/>
      <c r="I1942" s="27"/>
      <c r="J1942" s="29"/>
      <c r="K1942" s="30"/>
      <c r="L1942" s="31"/>
      <c r="M1942" s="32"/>
      <c r="N1942" s="30"/>
      <c r="O1942" s="30"/>
      <c r="P1942" s="39"/>
      <c r="Q1942" s="34"/>
      <c r="R1942" s="35"/>
      <c r="S1942" s="36"/>
      <c r="T1942" s="35"/>
      <c r="U1942" s="36"/>
      <c r="V1942" s="37"/>
    </row>
    <row r="1943" spans="1:22" x14ac:dyDescent="0.25">
      <c r="A1943" s="27"/>
      <c r="B1943" s="27"/>
      <c r="C1943" s="27"/>
      <c r="D1943" s="27"/>
      <c r="E1943" s="27"/>
      <c r="F1943" s="27"/>
      <c r="G1943" s="27"/>
      <c r="H1943" s="28"/>
      <c r="I1943" s="27"/>
      <c r="J1943" s="29"/>
      <c r="K1943" s="30"/>
      <c r="L1943" s="31"/>
      <c r="M1943" s="32"/>
      <c r="N1943" s="30"/>
      <c r="O1943" s="30"/>
      <c r="P1943" s="39"/>
      <c r="Q1943" s="34"/>
      <c r="R1943" s="35"/>
      <c r="S1943" s="36"/>
      <c r="T1943" s="35"/>
      <c r="U1943" s="36"/>
      <c r="V1943" s="37"/>
    </row>
    <row r="1944" spans="1:22" x14ac:dyDescent="0.25">
      <c r="A1944" s="27"/>
      <c r="B1944" s="27"/>
      <c r="C1944" s="27"/>
      <c r="D1944" s="27"/>
      <c r="E1944" s="27"/>
      <c r="F1944" s="27"/>
      <c r="G1944" s="27"/>
      <c r="H1944" s="28"/>
      <c r="I1944" s="27"/>
      <c r="J1944" s="29"/>
      <c r="K1944" s="30"/>
      <c r="L1944" s="31"/>
      <c r="M1944" s="32"/>
      <c r="N1944" s="30"/>
      <c r="O1944" s="30"/>
      <c r="P1944" s="39"/>
      <c r="Q1944" s="34"/>
      <c r="R1944" s="35"/>
      <c r="S1944" s="36"/>
      <c r="T1944" s="35"/>
      <c r="U1944" s="36"/>
      <c r="V1944" s="37"/>
    </row>
    <row r="1945" spans="1:22" x14ac:dyDescent="0.25">
      <c r="A1945" s="27"/>
      <c r="B1945" s="27"/>
      <c r="C1945" s="27"/>
      <c r="D1945" s="27"/>
      <c r="E1945" s="27"/>
      <c r="F1945" s="27"/>
      <c r="G1945" s="27"/>
      <c r="H1945" s="28"/>
      <c r="I1945" s="27"/>
      <c r="J1945" s="29"/>
      <c r="K1945" s="30"/>
      <c r="L1945" s="31"/>
      <c r="M1945" s="32"/>
      <c r="N1945" s="30"/>
      <c r="O1945" s="30"/>
      <c r="P1945" s="39"/>
      <c r="Q1945" s="34"/>
      <c r="R1945" s="35"/>
      <c r="S1945" s="36"/>
      <c r="T1945" s="35"/>
      <c r="U1945" s="36"/>
      <c r="V1945" s="37"/>
    </row>
    <row r="1946" spans="1:22" x14ac:dyDescent="0.25">
      <c r="A1946" s="27"/>
      <c r="B1946" s="27"/>
      <c r="C1946" s="27"/>
      <c r="D1946" s="27"/>
      <c r="E1946" s="27"/>
      <c r="F1946" s="27"/>
      <c r="G1946" s="27"/>
      <c r="H1946" s="28"/>
      <c r="I1946" s="27"/>
      <c r="J1946" s="29"/>
      <c r="K1946" s="30"/>
      <c r="L1946" s="31"/>
      <c r="M1946" s="32"/>
      <c r="N1946" s="30"/>
      <c r="O1946" s="30"/>
      <c r="P1946" s="39"/>
      <c r="Q1946" s="34"/>
      <c r="R1946" s="35"/>
      <c r="S1946" s="36"/>
      <c r="T1946" s="35"/>
      <c r="U1946" s="36"/>
      <c r="V1946" s="37"/>
    </row>
    <row r="1947" spans="1:22" x14ac:dyDescent="0.25">
      <c r="A1947" s="27"/>
      <c r="B1947" s="27"/>
      <c r="C1947" s="27"/>
      <c r="D1947" s="27"/>
      <c r="E1947" s="27"/>
      <c r="F1947" s="27"/>
      <c r="G1947" s="27"/>
      <c r="H1947" s="28"/>
      <c r="I1947" s="27"/>
      <c r="J1947" s="29"/>
      <c r="K1947" s="30"/>
      <c r="L1947" s="31"/>
      <c r="M1947" s="32"/>
      <c r="N1947" s="30"/>
      <c r="O1947" s="30"/>
      <c r="P1947" s="39"/>
      <c r="Q1947" s="34"/>
      <c r="R1947" s="35"/>
      <c r="S1947" s="36"/>
      <c r="T1947" s="35"/>
      <c r="U1947" s="36"/>
      <c r="V1947" s="37"/>
    </row>
    <row r="1948" spans="1:22" x14ac:dyDescent="0.25">
      <c r="A1948" s="27"/>
      <c r="B1948" s="27"/>
      <c r="C1948" s="27"/>
      <c r="D1948" s="27"/>
      <c r="E1948" s="27"/>
      <c r="F1948" s="27"/>
      <c r="G1948" s="27"/>
      <c r="H1948" s="28"/>
      <c r="I1948" s="27"/>
      <c r="J1948" s="29"/>
      <c r="K1948" s="30"/>
      <c r="L1948" s="31"/>
      <c r="M1948" s="32"/>
      <c r="N1948" s="30"/>
      <c r="O1948" s="30"/>
      <c r="P1948" s="39"/>
      <c r="Q1948" s="34"/>
      <c r="R1948" s="35"/>
      <c r="S1948" s="36"/>
      <c r="T1948" s="35"/>
      <c r="U1948" s="36"/>
      <c r="V1948" s="37"/>
    </row>
    <row r="1949" spans="1:22" x14ac:dyDescent="0.25">
      <c r="A1949" s="27"/>
      <c r="B1949" s="27"/>
      <c r="C1949" s="27"/>
      <c r="D1949" s="27"/>
      <c r="E1949" s="27"/>
      <c r="F1949" s="27"/>
      <c r="G1949" s="27"/>
      <c r="H1949" s="28"/>
      <c r="I1949" s="27"/>
      <c r="J1949" s="29"/>
      <c r="K1949" s="30"/>
      <c r="L1949" s="31"/>
      <c r="M1949" s="32"/>
      <c r="N1949" s="30"/>
      <c r="O1949" s="30"/>
      <c r="P1949" s="39"/>
      <c r="Q1949" s="34"/>
      <c r="R1949" s="35"/>
      <c r="S1949" s="36"/>
      <c r="T1949" s="35"/>
      <c r="U1949" s="36"/>
      <c r="V1949" s="37"/>
    </row>
    <row r="1950" spans="1:22" x14ac:dyDescent="0.25">
      <c r="A1950" s="27"/>
      <c r="B1950" s="27"/>
      <c r="C1950" s="27"/>
      <c r="D1950" s="27"/>
      <c r="E1950" s="27"/>
      <c r="F1950" s="27"/>
      <c r="G1950" s="27"/>
      <c r="H1950" s="28"/>
      <c r="I1950" s="27"/>
      <c r="J1950" s="29"/>
      <c r="K1950" s="30"/>
      <c r="L1950" s="31"/>
      <c r="M1950" s="32"/>
      <c r="N1950" s="30"/>
      <c r="O1950" s="30"/>
      <c r="P1950" s="39"/>
      <c r="Q1950" s="34"/>
      <c r="R1950" s="35"/>
      <c r="S1950" s="36"/>
      <c r="T1950" s="35"/>
      <c r="U1950" s="36"/>
      <c r="V1950" s="37"/>
    </row>
    <row r="1951" spans="1:22" x14ac:dyDescent="0.25">
      <c r="A1951" s="27"/>
      <c r="B1951" s="27"/>
      <c r="C1951" s="27"/>
      <c r="D1951" s="27"/>
      <c r="E1951" s="27"/>
      <c r="F1951" s="27"/>
      <c r="G1951" s="27"/>
      <c r="H1951" s="28"/>
      <c r="I1951" s="27"/>
      <c r="J1951" s="29"/>
      <c r="K1951" s="30"/>
      <c r="L1951" s="31"/>
      <c r="M1951" s="32"/>
      <c r="N1951" s="30"/>
      <c r="O1951" s="30"/>
      <c r="P1951" s="39"/>
      <c r="Q1951" s="34"/>
      <c r="R1951" s="35"/>
      <c r="S1951" s="36"/>
      <c r="T1951" s="35"/>
      <c r="U1951" s="36"/>
      <c r="V1951" s="37"/>
    </row>
    <row r="1952" spans="1:22" x14ac:dyDescent="0.25">
      <c r="A1952" s="27"/>
      <c r="B1952" s="27"/>
      <c r="C1952" s="27"/>
      <c r="D1952" s="27"/>
      <c r="E1952" s="27"/>
      <c r="F1952" s="27"/>
      <c r="G1952" s="27"/>
      <c r="H1952" s="28"/>
      <c r="I1952" s="27"/>
      <c r="J1952" s="29"/>
      <c r="K1952" s="30"/>
      <c r="L1952" s="31"/>
      <c r="M1952" s="32"/>
      <c r="N1952" s="30"/>
      <c r="O1952" s="30"/>
      <c r="P1952" s="39"/>
      <c r="Q1952" s="34"/>
      <c r="R1952" s="35"/>
      <c r="S1952" s="36"/>
      <c r="T1952" s="35"/>
      <c r="U1952" s="36"/>
      <c r="V1952" s="37"/>
    </row>
    <row r="1953" spans="1:22" x14ac:dyDescent="0.25">
      <c r="A1953" s="27"/>
      <c r="B1953" s="27"/>
      <c r="C1953" s="27"/>
      <c r="D1953" s="27"/>
      <c r="E1953" s="27"/>
      <c r="F1953" s="27"/>
      <c r="G1953" s="27"/>
      <c r="H1953" s="28"/>
      <c r="I1953" s="27"/>
      <c r="J1953" s="29"/>
      <c r="K1953" s="30"/>
      <c r="L1953" s="31"/>
      <c r="M1953" s="32"/>
      <c r="N1953" s="30"/>
      <c r="O1953" s="30"/>
      <c r="P1953" s="39"/>
      <c r="Q1953" s="34"/>
      <c r="R1953" s="35"/>
      <c r="S1953" s="36"/>
      <c r="T1953" s="35"/>
      <c r="U1953" s="36"/>
      <c r="V1953" s="37"/>
    </row>
    <row r="1954" spans="1:22" x14ac:dyDescent="0.25">
      <c r="A1954" s="27"/>
      <c r="B1954" s="27"/>
      <c r="C1954" s="27"/>
      <c r="D1954" s="27"/>
      <c r="E1954" s="27"/>
      <c r="F1954" s="27"/>
      <c r="G1954" s="27"/>
      <c r="H1954" s="28"/>
      <c r="I1954" s="27"/>
      <c r="J1954" s="29"/>
      <c r="K1954" s="30"/>
      <c r="L1954" s="31"/>
      <c r="M1954" s="32"/>
      <c r="N1954" s="30"/>
      <c r="O1954" s="30"/>
      <c r="P1954" s="39"/>
      <c r="Q1954" s="34"/>
      <c r="R1954" s="35"/>
      <c r="S1954" s="36"/>
      <c r="T1954" s="35"/>
      <c r="U1954" s="36"/>
      <c r="V1954" s="37"/>
    </row>
    <row r="1955" spans="1:22" x14ac:dyDescent="0.25">
      <c r="A1955" s="27"/>
      <c r="B1955" s="27"/>
      <c r="C1955" s="27"/>
      <c r="D1955" s="27"/>
      <c r="E1955" s="27"/>
      <c r="F1955" s="27"/>
      <c r="G1955" s="27"/>
      <c r="H1955" s="28"/>
      <c r="I1955" s="27"/>
      <c r="J1955" s="29"/>
      <c r="K1955" s="30"/>
      <c r="L1955" s="31"/>
      <c r="M1955" s="32"/>
      <c r="N1955" s="30"/>
      <c r="O1955" s="30"/>
      <c r="P1955" s="39"/>
      <c r="Q1955" s="34"/>
      <c r="R1955" s="35"/>
      <c r="S1955" s="36"/>
      <c r="T1955" s="35"/>
      <c r="U1955" s="36"/>
      <c r="V1955" s="37"/>
    </row>
    <row r="1956" spans="1:22" x14ac:dyDescent="0.25">
      <c r="A1956" s="27"/>
      <c r="B1956" s="27"/>
      <c r="C1956" s="27"/>
      <c r="D1956" s="27"/>
      <c r="E1956" s="27"/>
      <c r="F1956" s="27"/>
      <c r="G1956" s="27"/>
      <c r="H1956" s="28"/>
      <c r="I1956" s="27"/>
      <c r="J1956" s="29"/>
      <c r="K1956" s="30"/>
      <c r="L1956" s="31"/>
      <c r="M1956" s="32"/>
      <c r="N1956" s="30"/>
      <c r="O1956" s="30"/>
      <c r="P1956" s="39"/>
      <c r="Q1956" s="34"/>
      <c r="R1956" s="35"/>
      <c r="S1956" s="36"/>
      <c r="T1956" s="35"/>
      <c r="U1956" s="36"/>
      <c r="V1956" s="37"/>
    </row>
    <row r="1957" spans="1:22" x14ac:dyDescent="0.25">
      <c r="A1957" s="27"/>
      <c r="B1957" s="27"/>
      <c r="C1957" s="27"/>
      <c r="D1957" s="27"/>
      <c r="E1957" s="27"/>
      <c r="F1957" s="27"/>
      <c r="G1957" s="27"/>
      <c r="H1957" s="28"/>
      <c r="I1957" s="27"/>
      <c r="J1957" s="29"/>
      <c r="K1957" s="30"/>
      <c r="L1957" s="31"/>
      <c r="M1957" s="32"/>
      <c r="N1957" s="30"/>
      <c r="O1957" s="30"/>
      <c r="P1957" s="39"/>
      <c r="Q1957" s="34"/>
      <c r="R1957" s="35"/>
      <c r="S1957" s="36"/>
      <c r="T1957" s="35"/>
      <c r="U1957" s="36"/>
      <c r="V1957" s="37"/>
    </row>
    <row r="1958" spans="1:22" x14ac:dyDescent="0.25">
      <c r="A1958" s="27"/>
      <c r="B1958" s="27"/>
      <c r="C1958" s="27"/>
      <c r="D1958" s="27"/>
      <c r="E1958" s="27"/>
      <c r="F1958" s="27"/>
      <c r="G1958" s="27"/>
      <c r="H1958" s="28"/>
      <c r="I1958" s="27"/>
      <c r="J1958" s="29"/>
      <c r="K1958" s="30"/>
      <c r="L1958" s="31"/>
      <c r="M1958" s="32"/>
      <c r="N1958" s="30"/>
      <c r="O1958" s="30"/>
      <c r="P1958" s="39"/>
      <c r="Q1958" s="34"/>
      <c r="R1958" s="35"/>
      <c r="S1958" s="36"/>
      <c r="T1958" s="35"/>
      <c r="U1958" s="36"/>
      <c r="V1958" s="37"/>
    </row>
    <row r="1959" spans="1:22" x14ac:dyDescent="0.25">
      <c r="A1959" s="27"/>
      <c r="B1959" s="27"/>
      <c r="C1959" s="27"/>
      <c r="D1959" s="27"/>
      <c r="E1959" s="27"/>
      <c r="F1959" s="27"/>
      <c r="G1959" s="27"/>
      <c r="H1959" s="28"/>
      <c r="I1959" s="27"/>
      <c r="J1959" s="29"/>
      <c r="K1959" s="30"/>
      <c r="L1959" s="31"/>
      <c r="M1959" s="32"/>
      <c r="N1959" s="30"/>
      <c r="O1959" s="30"/>
      <c r="P1959" s="39"/>
      <c r="Q1959" s="34"/>
      <c r="R1959" s="35"/>
      <c r="S1959" s="36"/>
      <c r="T1959" s="35"/>
      <c r="U1959" s="36"/>
      <c r="V1959" s="37"/>
    </row>
    <row r="1960" spans="1:22" x14ac:dyDescent="0.25">
      <c r="A1960" s="27"/>
      <c r="B1960" s="27"/>
      <c r="C1960" s="27"/>
      <c r="D1960" s="27"/>
      <c r="E1960" s="27"/>
      <c r="F1960" s="27"/>
      <c r="G1960" s="27"/>
      <c r="H1960" s="28"/>
      <c r="I1960" s="27"/>
      <c r="J1960" s="29"/>
      <c r="K1960" s="30"/>
      <c r="L1960" s="31"/>
      <c r="M1960" s="32"/>
      <c r="N1960" s="30"/>
      <c r="O1960" s="30"/>
      <c r="P1960" s="39"/>
      <c r="Q1960" s="34"/>
      <c r="R1960" s="35"/>
      <c r="S1960" s="36"/>
      <c r="T1960" s="35"/>
      <c r="U1960" s="36"/>
      <c r="V1960" s="37"/>
    </row>
    <row r="1961" spans="1:22" x14ac:dyDescent="0.25">
      <c r="A1961" s="27"/>
      <c r="B1961" s="27"/>
      <c r="C1961" s="27"/>
      <c r="D1961" s="27"/>
      <c r="E1961" s="27"/>
      <c r="F1961" s="27"/>
      <c r="G1961" s="27"/>
      <c r="H1961" s="28"/>
      <c r="I1961" s="27"/>
      <c r="J1961" s="29"/>
      <c r="K1961" s="30"/>
      <c r="L1961" s="31"/>
      <c r="M1961" s="32"/>
      <c r="N1961" s="30"/>
      <c r="O1961" s="30"/>
      <c r="P1961" s="39"/>
      <c r="Q1961" s="34"/>
      <c r="R1961" s="35"/>
      <c r="S1961" s="36"/>
      <c r="T1961" s="35"/>
      <c r="U1961" s="36"/>
      <c r="V1961" s="37"/>
    </row>
    <row r="1962" spans="1:22" x14ac:dyDescent="0.25">
      <c r="A1962" s="27"/>
      <c r="B1962" s="27"/>
      <c r="C1962" s="27"/>
      <c r="D1962" s="27"/>
      <c r="E1962" s="27"/>
      <c r="F1962" s="27"/>
      <c r="G1962" s="27"/>
      <c r="H1962" s="28"/>
      <c r="I1962" s="27"/>
      <c r="J1962" s="29"/>
      <c r="K1962" s="30"/>
      <c r="L1962" s="31"/>
      <c r="M1962" s="32"/>
      <c r="N1962" s="30"/>
      <c r="O1962" s="30"/>
      <c r="P1962" s="39"/>
      <c r="Q1962" s="34"/>
      <c r="R1962" s="35"/>
      <c r="S1962" s="36"/>
      <c r="T1962" s="35"/>
      <c r="U1962" s="36"/>
      <c r="V1962" s="37"/>
    </row>
    <row r="1963" spans="1:22" x14ac:dyDescent="0.25">
      <c r="A1963" s="27"/>
      <c r="B1963" s="27"/>
      <c r="C1963" s="27"/>
      <c r="D1963" s="27"/>
      <c r="E1963" s="27"/>
      <c r="F1963" s="27"/>
      <c r="G1963" s="27"/>
      <c r="H1963" s="28"/>
      <c r="I1963" s="27"/>
      <c r="J1963" s="29"/>
      <c r="K1963" s="30"/>
      <c r="L1963" s="31"/>
      <c r="M1963" s="32"/>
      <c r="N1963" s="30"/>
      <c r="O1963" s="30"/>
      <c r="P1963" s="39"/>
      <c r="Q1963" s="34"/>
      <c r="R1963" s="35"/>
      <c r="S1963" s="36"/>
      <c r="T1963" s="35"/>
      <c r="U1963" s="36"/>
      <c r="V1963" s="37"/>
    </row>
    <row r="1964" spans="1:22" x14ac:dyDescent="0.25">
      <c r="A1964" s="27"/>
      <c r="B1964" s="27"/>
      <c r="C1964" s="27"/>
      <c r="D1964" s="27"/>
      <c r="E1964" s="27"/>
      <c r="F1964" s="27"/>
      <c r="G1964" s="27"/>
      <c r="H1964" s="28"/>
      <c r="I1964" s="27"/>
      <c r="J1964" s="29"/>
      <c r="K1964" s="30"/>
      <c r="L1964" s="31"/>
      <c r="M1964" s="32"/>
      <c r="N1964" s="30"/>
      <c r="O1964" s="30"/>
      <c r="P1964" s="39"/>
      <c r="Q1964" s="34"/>
      <c r="R1964" s="35"/>
      <c r="S1964" s="36"/>
      <c r="T1964" s="35"/>
      <c r="U1964" s="36"/>
      <c r="V1964" s="37"/>
    </row>
    <row r="1965" spans="1:22" x14ac:dyDescent="0.25">
      <c r="A1965" s="27"/>
      <c r="B1965" s="27"/>
      <c r="C1965" s="27"/>
      <c r="D1965" s="27"/>
      <c r="E1965" s="27"/>
      <c r="F1965" s="27"/>
      <c r="G1965" s="27"/>
      <c r="H1965" s="28"/>
      <c r="I1965" s="27"/>
      <c r="J1965" s="29"/>
      <c r="K1965" s="30"/>
      <c r="L1965" s="31"/>
      <c r="M1965" s="32"/>
      <c r="N1965" s="30"/>
      <c r="O1965" s="30"/>
      <c r="P1965" s="39"/>
      <c r="Q1965" s="34"/>
      <c r="R1965" s="35"/>
      <c r="S1965" s="36"/>
      <c r="T1965" s="35"/>
      <c r="U1965" s="36"/>
      <c r="V1965" s="37"/>
    </row>
    <row r="1966" spans="1:22" x14ac:dyDescent="0.25">
      <c r="A1966" s="27"/>
      <c r="B1966" s="27"/>
      <c r="C1966" s="27"/>
      <c r="D1966" s="27"/>
      <c r="E1966" s="27"/>
      <c r="F1966" s="27"/>
      <c r="G1966" s="27"/>
      <c r="H1966" s="28"/>
      <c r="I1966" s="27"/>
      <c r="J1966" s="29"/>
      <c r="K1966" s="30"/>
      <c r="L1966" s="31"/>
      <c r="M1966" s="32"/>
      <c r="N1966" s="30"/>
      <c r="O1966" s="30"/>
      <c r="P1966" s="39"/>
      <c r="Q1966" s="34"/>
      <c r="R1966" s="35"/>
      <c r="S1966" s="36"/>
      <c r="T1966" s="35"/>
      <c r="U1966" s="36"/>
      <c r="V1966" s="37"/>
    </row>
    <row r="1967" spans="1:22" x14ac:dyDescent="0.25">
      <c r="A1967" s="27"/>
      <c r="B1967" s="27"/>
      <c r="C1967" s="27"/>
      <c r="D1967" s="27"/>
      <c r="E1967" s="27"/>
      <c r="F1967" s="27"/>
      <c r="G1967" s="27"/>
      <c r="H1967" s="28"/>
      <c r="I1967" s="27"/>
      <c r="J1967" s="29"/>
      <c r="K1967" s="30"/>
      <c r="L1967" s="31"/>
      <c r="M1967" s="32"/>
      <c r="N1967" s="30"/>
      <c r="O1967" s="30"/>
      <c r="P1967" s="39"/>
      <c r="Q1967" s="34"/>
      <c r="R1967" s="35"/>
      <c r="S1967" s="36"/>
      <c r="T1967" s="35"/>
      <c r="U1967" s="36"/>
      <c r="V1967" s="37"/>
    </row>
    <row r="1968" spans="1:22" x14ac:dyDescent="0.25">
      <c r="A1968" s="27"/>
      <c r="B1968" s="27"/>
      <c r="C1968" s="27"/>
      <c r="D1968" s="27"/>
      <c r="E1968" s="27"/>
      <c r="F1968" s="27"/>
      <c r="G1968" s="27"/>
      <c r="H1968" s="28"/>
      <c r="I1968" s="27"/>
      <c r="J1968" s="29"/>
      <c r="K1968" s="30"/>
      <c r="L1968" s="31"/>
      <c r="M1968" s="32"/>
      <c r="N1968" s="30"/>
      <c r="O1968" s="30"/>
      <c r="P1968" s="39"/>
      <c r="Q1968" s="34"/>
      <c r="R1968" s="35"/>
      <c r="S1968" s="36"/>
      <c r="T1968" s="35"/>
      <c r="U1968" s="36"/>
      <c r="V1968" s="37"/>
    </row>
    <row r="1969" spans="1:22" x14ac:dyDescent="0.25">
      <c r="A1969" s="27"/>
      <c r="B1969" s="27"/>
      <c r="C1969" s="27"/>
      <c r="D1969" s="27"/>
      <c r="E1969" s="27"/>
      <c r="F1969" s="27"/>
      <c r="G1969" s="27"/>
      <c r="H1969" s="28"/>
      <c r="I1969" s="27"/>
      <c r="J1969" s="29"/>
      <c r="K1969" s="30"/>
      <c r="L1969" s="31"/>
      <c r="M1969" s="32"/>
      <c r="N1969" s="30"/>
      <c r="O1969" s="30"/>
      <c r="P1969" s="39"/>
      <c r="Q1969" s="34"/>
      <c r="R1969" s="35"/>
      <c r="S1969" s="36"/>
      <c r="T1969" s="35"/>
      <c r="U1969" s="36"/>
      <c r="V1969" s="37"/>
    </row>
    <row r="1970" spans="1:22" x14ac:dyDescent="0.25">
      <c r="A1970" s="27"/>
      <c r="B1970" s="27"/>
      <c r="C1970" s="27"/>
      <c r="D1970" s="27"/>
      <c r="E1970" s="27"/>
      <c r="F1970" s="27"/>
      <c r="G1970" s="27"/>
      <c r="H1970" s="28"/>
      <c r="I1970" s="27"/>
      <c r="J1970" s="29"/>
      <c r="K1970" s="30"/>
      <c r="L1970" s="31"/>
      <c r="M1970" s="32"/>
      <c r="N1970" s="30"/>
      <c r="O1970" s="30"/>
      <c r="P1970" s="39"/>
      <c r="Q1970" s="34"/>
      <c r="R1970" s="35"/>
      <c r="S1970" s="36"/>
      <c r="T1970" s="35"/>
      <c r="U1970" s="36"/>
      <c r="V1970" s="37"/>
    </row>
    <row r="1971" spans="1:22" x14ac:dyDescent="0.25">
      <c r="A1971" s="27"/>
      <c r="B1971" s="27"/>
      <c r="C1971" s="27"/>
      <c r="D1971" s="27"/>
      <c r="E1971" s="27"/>
      <c r="F1971" s="27"/>
      <c r="G1971" s="27"/>
      <c r="H1971" s="28"/>
      <c r="I1971" s="27"/>
      <c r="J1971" s="29"/>
      <c r="K1971" s="30"/>
      <c r="L1971" s="31"/>
      <c r="M1971" s="32"/>
      <c r="N1971" s="30"/>
      <c r="O1971" s="30"/>
      <c r="P1971" s="39"/>
      <c r="Q1971" s="34"/>
      <c r="R1971" s="35"/>
      <c r="S1971" s="36"/>
      <c r="T1971" s="35"/>
      <c r="U1971" s="36"/>
      <c r="V1971" s="37"/>
    </row>
    <row r="1972" spans="1:22" x14ac:dyDescent="0.25">
      <c r="A1972" s="27"/>
      <c r="B1972" s="27"/>
      <c r="C1972" s="27"/>
      <c r="D1972" s="27"/>
      <c r="E1972" s="27"/>
      <c r="F1972" s="27"/>
      <c r="G1972" s="27"/>
      <c r="H1972" s="28"/>
      <c r="I1972" s="27"/>
      <c r="J1972" s="29"/>
      <c r="K1972" s="30"/>
      <c r="L1972" s="31"/>
      <c r="M1972" s="32"/>
      <c r="N1972" s="30"/>
      <c r="O1972" s="30"/>
      <c r="P1972" s="39"/>
      <c r="Q1972" s="34"/>
      <c r="R1972" s="35"/>
      <c r="S1972" s="36"/>
      <c r="T1972" s="35"/>
      <c r="U1972" s="36"/>
      <c r="V1972" s="37"/>
    </row>
    <row r="1973" spans="1:22" x14ac:dyDescent="0.25">
      <c r="A1973" s="27"/>
      <c r="B1973" s="27"/>
      <c r="C1973" s="27"/>
      <c r="D1973" s="27"/>
      <c r="E1973" s="27"/>
      <c r="F1973" s="27"/>
      <c r="G1973" s="27"/>
      <c r="H1973" s="28"/>
      <c r="I1973" s="27"/>
      <c r="J1973" s="29"/>
      <c r="K1973" s="30"/>
      <c r="L1973" s="31"/>
      <c r="M1973" s="32"/>
      <c r="N1973" s="30"/>
      <c r="O1973" s="30"/>
      <c r="P1973" s="39"/>
      <c r="Q1973" s="34"/>
      <c r="R1973" s="35"/>
      <c r="S1973" s="36"/>
      <c r="T1973" s="35"/>
      <c r="U1973" s="36"/>
      <c r="V1973" s="37"/>
    </row>
    <row r="1974" spans="1:22" x14ac:dyDescent="0.25">
      <c r="A1974" s="27"/>
      <c r="B1974" s="27"/>
      <c r="C1974" s="27"/>
      <c r="D1974" s="27"/>
      <c r="E1974" s="27"/>
      <c r="F1974" s="27"/>
      <c r="G1974" s="27"/>
      <c r="H1974" s="28"/>
      <c r="I1974" s="27"/>
      <c r="J1974" s="29"/>
      <c r="K1974" s="30"/>
      <c r="L1974" s="31"/>
      <c r="M1974" s="32"/>
      <c r="N1974" s="30"/>
      <c r="O1974" s="30"/>
      <c r="P1974" s="39"/>
      <c r="Q1974" s="34"/>
      <c r="R1974" s="35"/>
      <c r="S1974" s="36"/>
      <c r="T1974" s="35"/>
      <c r="U1974" s="36"/>
      <c r="V1974" s="37"/>
    </row>
    <row r="1975" spans="1:22" x14ac:dyDescent="0.25">
      <c r="A1975" s="27"/>
      <c r="B1975" s="27"/>
      <c r="C1975" s="27"/>
      <c r="D1975" s="27"/>
      <c r="E1975" s="27"/>
      <c r="F1975" s="27"/>
      <c r="G1975" s="27"/>
      <c r="H1975" s="28"/>
      <c r="I1975" s="27"/>
      <c r="J1975" s="29"/>
      <c r="K1975" s="30"/>
      <c r="L1975" s="31"/>
      <c r="M1975" s="32"/>
      <c r="N1975" s="30"/>
      <c r="O1975" s="30"/>
      <c r="P1975" s="39"/>
      <c r="Q1975" s="34"/>
      <c r="R1975" s="35"/>
      <c r="S1975" s="36"/>
      <c r="T1975" s="35"/>
      <c r="U1975" s="36"/>
      <c r="V1975" s="37"/>
    </row>
    <row r="1976" spans="1:22" x14ac:dyDescent="0.25">
      <c r="A1976" s="27"/>
      <c r="B1976" s="27"/>
      <c r="C1976" s="27"/>
      <c r="D1976" s="27"/>
      <c r="E1976" s="27"/>
      <c r="F1976" s="27"/>
      <c r="G1976" s="27"/>
      <c r="H1976" s="28"/>
      <c r="I1976" s="27"/>
      <c r="J1976" s="29"/>
      <c r="K1976" s="30"/>
      <c r="L1976" s="31"/>
      <c r="M1976" s="32"/>
      <c r="N1976" s="30"/>
      <c r="O1976" s="30"/>
      <c r="P1976" s="39"/>
      <c r="Q1976" s="34"/>
      <c r="R1976" s="35"/>
      <c r="S1976" s="36"/>
      <c r="T1976" s="35"/>
      <c r="U1976" s="36"/>
      <c r="V1976" s="37"/>
    </row>
    <row r="1977" spans="1:22" x14ac:dyDescent="0.25">
      <c r="A1977" s="27"/>
      <c r="B1977" s="27"/>
      <c r="C1977" s="27"/>
      <c r="D1977" s="27"/>
      <c r="E1977" s="27"/>
      <c r="F1977" s="27"/>
      <c r="G1977" s="27"/>
      <c r="H1977" s="28"/>
      <c r="I1977" s="27"/>
      <c r="J1977" s="29"/>
      <c r="K1977" s="30"/>
      <c r="L1977" s="31"/>
      <c r="M1977" s="32"/>
      <c r="N1977" s="30"/>
      <c r="O1977" s="30"/>
      <c r="P1977" s="39"/>
      <c r="Q1977" s="34"/>
      <c r="R1977" s="35"/>
      <c r="S1977" s="36"/>
      <c r="T1977" s="35"/>
      <c r="U1977" s="36"/>
      <c r="V1977" s="37"/>
    </row>
    <row r="1978" spans="1:22" x14ac:dyDescent="0.25">
      <c r="A1978" s="27"/>
      <c r="B1978" s="27"/>
      <c r="C1978" s="27"/>
      <c r="D1978" s="27"/>
      <c r="E1978" s="27"/>
      <c r="F1978" s="27"/>
      <c r="G1978" s="27"/>
      <c r="H1978" s="28"/>
      <c r="I1978" s="27"/>
      <c r="J1978" s="29"/>
      <c r="K1978" s="30"/>
      <c r="L1978" s="31"/>
      <c r="M1978" s="32"/>
      <c r="N1978" s="30"/>
      <c r="O1978" s="30"/>
      <c r="P1978" s="39"/>
      <c r="Q1978" s="34"/>
      <c r="R1978" s="35"/>
      <c r="S1978" s="36"/>
      <c r="T1978" s="35"/>
      <c r="U1978" s="36"/>
      <c r="V1978" s="37"/>
    </row>
    <row r="1979" spans="1:22" x14ac:dyDescent="0.25">
      <c r="A1979" s="27"/>
      <c r="B1979" s="27"/>
      <c r="C1979" s="27"/>
      <c r="D1979" s="27"/>
      <c r="E1979" s="27"/>
      <c r="F1979" s="27"/>
      <c r="G1979" s="27"/>
      <c r="H1979" s="28"/>
      <c r="I1979" s="27"/>
      <c r="J1979" s="29"/>
      <c r="K1979" s="30"/>
      <c r="L1979" s="31"/>
      <c r="M1979" s="32"/>
      <c r="N1979" s="30"/>
      <c r="O1979" s="30"/>
      <c r="P1979" s="39"/>
      <c r="Q1979" s="34"/>
      <c r="R1979" s="35"/>
      <c r="S1979" s="36"/>
      <c r="T1979" s="35"/>
      <c r="U1979" s="36"/>
      <c r="V1979" s="37"/>
    </row>
    <row r="1980" spans="1:22" x14ac:dyDescent="0.25">
      <c r="A1980" s="27"/>
      <c r="B1980" s="27"/>
      <c r="C1980" s="27"/>
      <c r="D1980" s="27"/>
      <c r="E1980" s="27"/>
      <c r="F1980" s="27"/>
      <c r="G1980" s="27"/>
      <c r="H1980" s="28"/>
      <c r="I1980" s="27"/>
      <c r="J1980" s="29"/>
      <c r="K1980" s="30"/>
      <c r="L1980" s="31"/>
      <c r="M1980" s="32"/>
      <c r="N1980" s="30"/>
      <c r="O1980" s="30"/>
      <c r="P1980" s="39"/>
      <c r="Q1980" s="34"/>
      <c r="R1980" s="35"/>
      <c r="S1980" s="36"/>
      <c r="T1980" s="35"/>
      <c r="U1980" s="36"/>
      <c r="V1980" s="37"/>
    </row>
    <row r="1981" spans="1:22" x14ac:dyDescent="0.25">
      <c r="A1981" s="27"/>
      <c r="B1981" s="27"/>
      <c r="C1981" s="27"/>
      <c r="D1981" s="27"/>
      <c r="E1981" s="27"/>
      <c r="F1981" s="27"/>
      <c r="G1981" s="27"/>
      <c r="H1981" s="28"/>
      <c r="I1981" s="27"/>
      <c r="J1981" s="29"/>
      <c r="K1981" s="30"/>
      <c r="L1981" s="31"/>
      <c r="M1981" s="32"/>
      <c r="N1981" s="30"/>
      <c r="O1981" s="30"/>
      <c r="P1981" s="39"/>
      <c r="Q1981" s="34"/>
      <c r="R1981" s="35"/>
      <c r="S1981" s="36"/>
      <c r="T1981" s="35"/>
      <c r="U1981" s="36"/>
      <c r="V1981" s="37"/>
    </row>
    <row r="1982" spans="1:22" x14ac:dyDescent="0.25">
      <c r="A1982" s="27"/>
      <c r="B1982" s="27"/>
      <c r="C1982" s="27"/>
      <c r="D1982" s="27"/>
      <c r="E1982" s="27"/>
      <c r="F1982" s="27"/>
      <c r="G1982" s="27"/>
      <c r="H1982" s="28"/>
      <c r="I1982" s="27"/>
      <c r="J1982" s="29"/>
      <c r="K1982" s="30"/>
      <c r="L1982" s="31"/>
      <c r="M1982" s="32"/>
      <c r="N1982" s="30"/>
      <c r="O1982" s="30"/>
      <c r="P1982" s="39"/>
      <c r="Q1982" s="34"/>
      <c r="R1982" s="35"/>
      <c r="S1982" s="36"/>
      <c r="T1982" s="35"/>
      <c r="U1982" s="36"/>
      <c r="V1982" s="37"/>
    </row>
    <row r="1983" spans="1:22" x14ac:dyDescent="0.25">
      <c r="A1983" s="27"/>
      <c r="B1983" s="27"/>
      <c r="C1983" s="27"/>
      <c r="D1983" s="27"/>
      <c r="E1983" s="27"/>
      <c r="F1983" s="27"/>
      <c r="G1983" s="27"/>
      <c r="H1983" s="28"/>
      <c r="I1983" s="27"/>
      <c r="J1983" s="29"/>
      <c r="K1983" s="30"/>
      <c r="L1983" s="31"/>
      <c r="M1983" s="32"/>
      <c r="N1983" s="30"/>
      <c r="O1983" s="30"/>
      <c r="P1983" s="39"/>
      <c r="Q1983" s="34"/>
      <c r="R1983" s="35"/>
      <c r="S1983" s="36"/>
      <c r="T1983" s="35"/>
      <c r="U1983" s="36"/>
      <c r="V1983" s="37"/>
    </row>
    <row r="1984" spans="1:22" x14ac:dyDescent="0.25">
      <c r="A1984" s="27"/>
      <c r="B1984" s="27"/>
      <c r="C1984" s="27"/>
      <c r="D1984" s="27"/>
      <c r="E1984" s="27"/>
      <c r="F1984" s="27"/>
      <c r="G1984" s="27"/>
      <c r="H1984" s="28"/>
      <c r="I1984" s="27"/>
      <c r="J1984" s="29"/>
      <c r="K1984" s="30"/>
      <c r="L1984" s="31"/>
      <c r="M1984" s="32"/>
      <c r="N1984" s="30"/>
      <c r="O1984" s="30"/>
      <c r="P1984" s="39"/>
      <c r="Q1984" s="34"/>
      <c r="R1984" s="35"/>
      <c r="S1984" s="36"/>
      <c r="T1984" s="35"/>
      <c r="U1984" s="36"/>
      <c r="V1984" s="37"/>
    </row>
    <row r="1985" spans="1:22" x14ac:dyDescent="0.25">
      <c r="A1985" s="27"/>
      <c r="B1985" s="27"/>
      <c r="C1985" s="27"/>
      <c r="D1985" s="27"/>
      <c r="E1985" s="27"/>
      <c r="F1985" s="27"/>
      <c r="G1985" s="27"/>
      <c r="H1985" s="28"/>
      <c r="I1985" s="27"/>
      <c r="J1985" s="29"/>
      <c r="K1985" s="30"/>
      <c r="L1985" s="31"/>
      <c r="M1985" s="32"/>
      <c r="N1985" s="30"/>
      <c r="O1985" s="30"/>
      <c r="P1985" s="39"/>
      <c r="Q1985" s="34"/>
      <c r="R1985" s="35"/>
      <c r="S1985" s="36"/>
      <c r="T1985" s="35"/>
      <c r="U1985" s="36"/>
      <c r="V1985" s="37"/>
    </row>
    <row r="1986" spans="1:22" x14ac:dyDescent="0.25">
      <c r="A1986" s="27"/>
      <c r="B1986" s="27"/>
      <c r="C1986" s="27"/>
      <c r="D1986" s="27"/>
      <c r="E1986" s="27"/>
      <c r="F1986" s="27"/>
      <c r="G1986" s="27"/>
      <c r="H1986" s="28"/>
      <c r="I1986" s="27"/>
      <c r="J1986" s="29"/>
      <c r="K1986" s="30"/>
      <c r="L1986" s="31"/>
      <c r="M1986" s="32"/>
      <c r="N1986" s="30"/>
      <c r="O1986" s="30"/>
      <c r="P1986" s="39"/>
      <c r="Q1986" s="34"/>
      <c r="R1986" s="35"/>
      <c r="S1986" s="36"/>
      <c r="T1986" s="35"/>
      <c r="U1986" s="36"/>
      <c r="V1986" s="37"/>
    </row>
    <row r="1987" spans="1:22" x14ac:dyDescent="0.25">
      <c r="A1987" s="27"/>
      <c r="B1987" s="27"/>
      <c r="C1987" s="27"/>
      <c r="D1987" s="27"/>
      <c r="E1987" s="27"/>
      <c r="F1987" s="27"/>
      <c r="G1987" s="27"/>
      <c r="H1987" s="28"/>
      <c r="I1987" s="27"/>
      <c r="J1987" s="29"/>
      <c r="K1987" s="30"/>
      <c r="L1987" s="31"/>
      <c r="M1987" s="32"/>
      <c r="N1987" s="30"/>
      <c r="O1987" s="30"/>
      <c r="P1987" s="39"/>
      <c r="Q1987" s="34"/>
      <c r="R1987" s="35"/>
      <c r="S1987" s="36"/>
      <c r="T1987" s="35"/>
      <c r="U1987" s="36"/>
      <c r="V1987" s="37"/>
    </row>
    <row r="1988" spans="1:22" x14ac:dyDescent="0.25">
      <c r="A1988" s="27"/>
      <c r="B1988" s="27"/>
      <c r="C1988" s="27"/>
      <c r="D1988" s="27"/>
      <c r="E1988" s="27"/>
      <c r="F1988" s="27"/>
      <c r="G1988" s="27"/>
      <c r="H1988" s="28"/>
      <c r="I1988" s="27"/>
      <c r="J1988" s="29"/>
      <c r="K1988" s="30"/>
      <c r="L1988" s="31"/>
      <c r="M1988" s="32"/>
      <c r="N1988" s="30"/>
      <c r="O1988" s="30"/>
      <c r="P1988" s="39"/>
      <c r="Q1988" s="34"/>
      <c r="R1988" s="35"/>
      <c r="S1988" s="36"/>
      <c r="T1988" s="35"/>
      <c r="U1988" s="36"/>
      <c r="V1988" s="37"/>
    </row>
    <row r="1989" spans="1:22" x14ac:dyDescent="0.25">
      <c r="A1989" s="27"/>
      <c r="B1989" s="27"/>
      <c r="C1989" s="27"/>
      <c r="D1989" s="27"/>
      <c r="E1989" s="27"/>
      <c r="F1989" s="27"/>
      <c r="G1989" s="27"/>
      <c r="H1989" s="28"/>
      <c r="I1989" s="27"/>
      <c r="J1989" s="29"/>
      <c r="K1989" s="30"/>
      <c r="L1989" s="31"/>
      <c r="M1989" s="32"/>
      <c r="N1989" s="30"/>
      <c r="O1989" s="30"/>
      <c r="P1989" s="39"/>
      <c r="Q1989" s="34"/>
      <c r="R1989" s="35"/>
      <c r="S1989" s="36"/>
      <c r="T1989" s="35"/>
      <c r="U1989" s="36"/>
      <c r="V1989" s="37"/>
    </row>
    <row r="1990" spans="1:22" x14ac:dyDescent="0.25">
      <c r="A1990" s="27"/>
      <c r="B1990" s="27"/>
      <c r="C1990" s="27"/>
      <c r="D1990" s="27"/>
      <c r="E1990" s="27"/>
      <c r="F1990" s="27"/>
      <c r="G1990" s="27"/>
      <c r="H1990" s="28"/>
      <c r="I1990" s="27"/>
      <c r="J1990" s="29"/>
      <c r="K1990" s="30"/>
      <c r="L1990" s="31"/>
      <c r="M1990" s="32"/>
      <c r="N1990" s="30"/>
      <c r="O1990" s="30"/>
      <c r="P1990" s="39"/>
      <c r="Q1990" s="34"/>
      <c r="R1990" s="35"/>
      <c r="S1990" s="36"/>
      <c r="T1990" s="35"/>
      <c r="U1990" s="36"/>
      <c r="V1990" s="37"/>
    </row>
    <row r="1991" spans="1:22" x14ac:dyDescent="0.25">
      <c r="A1991" s="27"/>
      <c r="B1991" s="27"/>
      <c r="C1991" s="27"/>
      <c r="D1991" s="27"/>
      <c r="E1991" s="27"/>
      <c r="F1991" s="27"/>
      <c r="G1991" s="27"/>
      <c r="H1991" s="28"/>
      <c r="I1991" s="27"/>
      <c r="J1991" s="29"/>
      <c r="K1991" s="30"/>
      <c r="L1991" s="31"/>
      <c r="M1991" s="32"/>
      <c r="N1991" s="30"/>
      <c r="O1991" s="30"/>
      <c r="P1991" s="39"/>
      <c r="Q1991" s="34"/>
      <c r="R1991" s="35"/>
      <c r="S1991" s="36"/>
      <c r="T1991" s="35"/>
      <c r="U1991" s="36"/>
      <c r="V1991" s="37"/>
    </row>
    <row r="1992" spans="1:22" x14ac:dyDescent="0.25">
      <c r="A1992" s="27"/>
      <c r="B1992" s="27"/>
      <c r="C1992" s="27"/>
      <c r="D1992" s="27"/>
      <c r="E1992" s="27"/>
      <c r="F1992" s="27"/>
      <c r="G1992" s="27"/>
      <c r="H1992" s="28"/>
      <c r="I1992" s="27"/>
      <c r="J1992" s="29"/>
      <c r="K1992" s="30"/>
      <c r="L1992" s="31"/>
      <c r="M1992" s="32"/>
      <c r="N1992" s="30"/>
      <c r="O1992" s="30"/>
      <c r="P1992" s="39"/>
      <c r="Q1992" s="34"/>
      <c r="R1992" s="35"/>
      <c r="S1992" s="36"/>
      <c r="T1992" s="35"/>
      <c r="U1992" s="36"/>
      <c r="V1992" s="37"/>
    </row>
    <row r="1993" spans="1:22" x14ac:dyDescent="0.25">
      <c r="A1993" s="27"/>
      <c r="B1993" s="27"/>
      <c r="C1993" s="27"/>
      <c r="D1993" s="27"/>
      <c r="E1993" s="27"/>
      <c r="F1993" s="27"/>
      <c r="G1993" s="27"/>
      <c r="H1993" s="28"/>
      <c r="I1993" s="27"/>
      <c r="J1993" s="29"/>
      <c r="K1993" s="30"/>
      <c r="L1993" s="31"/>
      <c r="M1993" s="32"/>
      <c r="N1993" s="30"/>
      <c r="O1993" s="30"/>
      <c r="P1993" s="39"/>
      <c r="Q1993" s="34"/>
      <c r="R1993" s="35"/>
      <c r="S1993" s="36"/>
      <c r="T1993" s="35"/>
      <c r="U1993" s="36"/>
      <c r="V1993" s="37"/>
    </row>
    <row r="1994" spans="1:22" x14ac:dyDescent="0.25">
      <c r="A1994" s="27"/>
      <c r="B1994" s="27"/>
      <c r="C1994" s="27"/>
      <c r="D1994" s="27"/>
      <c r="E1994" s="27"/>
      <c r="F1994" s="27"/>
      <c r="G1994" s="27"/>
      <c r="H1994" s="28"/>
      <c r="I1994" s="27"/>
      <c r="J1994" s="29"/>
      <c r="K1994" s="30"/>
      <c r="L1994" s="31"/>
      <c r="M1994" s="32"/>
      <c r="N1994" s="30"/>
      <c r="O1994" s="30"/>
      <c r="P1994" s="39"/>
      <c r="Q1994" s="34"/>
      <c r="R1994" s="35"/>
      <c r="S1994" s="36"/>
      <c r="T1994" s="35"/>
      <c r="U1994" s="36"/>
      <c r="V1994" s="37"/>
    </row>
    <row r="1995" spans="1:22" x14ac:dyDescent="0.25">
      <c r="A1995" s="27"/>
      <c r="B1995" s="27"/>
      <c r="C1995" s="27"/>
      <c r="D1995" s="27"/>
      <c r="E1995" s="27"/>
      <c r="F1995" s="27"/>
      <c r="G1995" s="27"/>
      <c r="H1995" s="28"/>
      <c r="I1995" s="27"/>
      <c r="J1995" s="29"/>
      <c r="K1995" s="30"/>
      <c r="L1995" s="31"/>
      <c r="M1995" s="32"/>
      <c r="N1995" s="30"/>
      <c r="O1995" s="30"/>
      <c r="P1995" s="39"/>
      <c r="Q1995" s="34"/>
      <c r="R1995" s="35"/>
      <c r="S1995" s="36"/>
      <c r="T1995" s="35"/>
      <c r="U1995" s="36"/>
      <c r="V1995" s="37"/>
    </row>
    <row r="1996" spans="1:22" x14ac:dyDescent="0.25">
      <c r="A1996" s="27"/>
      <c r="B1996" s="27"/>
      <c r="C1996" s="27"/>
      <c r="D1996" s="27"/>
      <c r="E1996" s="27"/>
      <c r="F1996" s="27"/>
      <c r="G1996" s="27"/>
      <c r="H1996" s="28"/>
      <c r="I1996" s="27"/>
      <c r="J1996" s="29"/>
      <c r="K1996" s="30"/>
      <c r="L1996" s="31"/>
      <c r="M1996" s="32"/>
      <c r="N1996" s="30"/>
      <c r="O1996" s="30"/>
      <c r="P1996" s="39"/>
      <c r="Q1996" s="34"/>
      <c r="R1996" s="35"/>
      <c r="S1996" s="36"/>
      <c r="T1996" s="35"/>
      <c r="U1996" s="36"/>
      <c r="V1996" s="37"/>
    </row>
    <row r="1997" spans="1:22" x14ac:dyDescent="0.25">
      <c r="A1997" s="27"/>
      <c r="B1997" s="27"/>
      <c r="C1997" s="27"/>
      <c r="D1997" s="27"/>
      <c r="E1997" s="27"/>
      <c r="F1997" s="27"/>
      <c r="G1997" s="27"/>
      <c r="H1997" s="28"/>
      <c r="I1997" s="27"/>
      <c r="J1997" s="29"/>
      <c r="K1997" s="30"/>
      <c r="L1997" s="31"/>
      <c r="M1997" s="32"/>
      <c r="N1997" s="30"/>
      <c r="O1997" s="30"/>
      <c r="P1997" s="39"/>
      <c r="Q1997" s="34"/>
      <c r="R1997" s="35"/>
      <c r="S1997" s="36"/>
      <c r="T1997" s="35"/>
      <c r="U1997" s="36"/>
      <c r="V1997" s="37"/>
    </row>
    <row r="1998" spans="1:22" x14ac:dyDescent="0.25">
      <c r="A1998" s="27"/>
      <c r="B1998" s="27"/>
      <c r="C1998" s="27"/>
      <c r="D1998" s="27"/>
      <c r="E1998" s="27"/>
      <c r="F1998" s="27"/>
      <c r="G1998" s="27"/>
      <c r="H1998" s="28"/>
      <c r="I1998" s="27"/>
      <c r="J1998" s="29"/>
      <c r="K1998" s="30"/>
      <c r="L1998" s="31"/>
      <c r="M1998" s="32"/>
      <c r="N1998" s="30"/>
      <c r="O1998" s="30"/>
      <c r="P1998" s="39"/>
      <c r="Q1998" s="34"/>
      <c r="R1998" s="35"/>
      <c r="S1998" s="36"/>
      <c r="T1998" s="35"/>
      <c r="U1998" s="36"/>
      <c r="V1998" s="37"/>
    </row>
    <row r="1999" spans="1:22" x14ac:dyDescent="0.25">
      <c r="A1999" s="27"/>
      <c r="B1999" s="27"/>
      <c r="C1999" s="27"/>
      <c r="D1999" s="27"/>
      <c r="E1999" s="27"/>
      <c r="F1999" s="27"/>
      <c r="G1999" s="27"/>
      <c r="H1999" s="28"/>
      <c r="I1999" s="27"/>
      <c r="J1999" s="29"/>
      <c r="K1999" s="30"/>
      <c r="L1999" s="31"/>
      <c r="M1999" s="32"/>
      <c r="N1999" s="30"/>
      <c r="O1999" s="30"/>
      <c r="P1999" s="39"/>
      <c r="Q1999" s="34"/>
      <c r="R1999" s="35"/>
      <c r="S1999" s="36"/>
      <c r="T1999" s="35"/>
      <c r="U1999" s="36"/>
      <c r="V1999" s="37"/>
    </row>
    <row r="2000" spans="1:22" x14ac:dyDescent="0.25">
      <c r="A2000" s="27"/>
      <c r="B2000" s="27"/>
      <c r="C2000" s="27"/>
      <c r="D2000" s="27"/>
      <c r="E2000" s="27"/>
      <c r="F2000" s="27"/>
      <c r="G2000" s="27"/>
      <c r="H2000" s="28"/>
      <c r="I2000" s="27"/>
      <c r="J2000" s="29"/>
      <c r="K2000" s="30"/>
      <c r="L2000" s="31"/>
      <c r="M2000" s="32"/>
      <c r="N2000" s="30"/>
      <c r="O2000" s="30"/>
      <c r="P2000" s="39"/>
      <c r="Q2000" s="34"/>
      <c r="R2000" s="35"/>
      <c r="S2000" s="36"/>
      <c r="T2000" s="35"/>
      <c r="U2000" s="36"/>
      <c r="V2000" s="37"/>
    </row>
    <row r="2001" spans="1:22" x14ac:dyDescent="0.25">
      <c r="A2001" s="27"/>
      <c r="B2001" s="27"/>
      <c r="C2001" s="27"/>
      <c r="D2001" s="27"/>
      <c r="E2001" s="27"/>
      <c r="F2001" s="27"/>
      <c r="G2001" s="27"/>
      <c r="H2001" s="28"/>
      <c r="I2001" s="27"/>
      <c r="J2001" s="29"/>
      <c r="K2001" s="30"/>
      <c r="L2001" s="31"/>
      <c r="M2001" s="32"/>
      <c r="N2001" s="30"/>
      <c r="O2001" s="30"/>
      <c r="P2001" s="39"/>
      <c r="Q2001" s="34"/>
      <c r="R2001" s="35"/>
      <c r="S2001" s="36"/>
      <c r="T2001" s="35"/>
      <c r="U2001" s="36"/>
      <c r="V2001" s="37"/>
    </row>
    <row r="2002" spans="1:22" x14ac:dyDescent="0.25">
      <c r="A2002" s="27"/>
      <c r="B2002" s="27"/>
      <c r="C2002" s="27"/>
      <c r="D2002" s="27"/>
      <c r="E2002" s="27"/>
      <c r="F2002" s="27"/>
      <c r="G2002" s="27"/>
      <c r="H2002" s="28"/>
      <c r="I2002" s="27"/>
      <c r="J2002" s="29"/>
      <c r="K2002" s="30"/>
      <c r="L2002" s="31"/>
      <c r="M2002" s="32"/>
      <c r="N2002" s="30"/>
      <c r="O2002" s="30"/>
      <c r="P2002" s="39"/>
      <c r="Q2002" s="34"/>
      <c r="R2002" s="35"/>
      <c r="S2002" s="36"/>
      <c r="T2002" s="35"/>
      <c r="U2002" s="36"/>
      <c r="V2002" s="37"/>
    </row>
    <row r="2003" spans="1:22" x14ac:dyDescent="0.25">
      <c r="A2003" s="27"/>
      <c r="B2003" s="27"/>
      <c r="C2003" s="27"/>
      <c r="D2003" s="27"/>
      <c r="E2003" s="27"/>
      <c r="F2003" s="27"/>
      <c r="G2003" s="27"/>
      <c r="H2003" s="28"/>
      <c r="I2003" s="27"/>
      <c r="J2003" s="29"/>
      <c r="K2003" s="30"/>
      <c r="L2003" s="31"/>
      <c r="M2003" s="32"/>
      <c r="N2003" s="30"/>
      <c r="O2003" s="30"/>
      <c r="P2003" s="39"/>
      <c r="Q2003" s="34"/>
      <c r="R2003" s="35"/>
      <c r="S2003" s="36"/>
      <c r="T2003" s="35"/>
      <c r="U2003" s="36"/>
      <c r="V2003" s="37"/>
    </row>
    <row r="2004" spans="1:22" x14ac:dyDescent="0.25">
      <c r="A2004" s="27"/>
      <c r="B2004" s="27"/>
      <c r="C2004" s="27"/>
      <c r="D2004" s="27"/>
      <c r="E2004" s="27"/>
      <c r="F2004" s="27"/>
      <c r="G2004" s="27"/>
      <c r="H2004" s="28"/>
      <c r="I2004" s="27"/>
      <c r="J2004" s="29"/>
      <c r="K2004" s="30"/>
      <c r="L2004" s="31"/>
      <c r="M2004" s="32"/>
      <c r="N2004" s="30"/>
      <c r="O2004" s="30"/>
      <c r="P2004" s="39"/>
      <c r="Q2004" s="34"/>
      <c r="R2004" s="35"/>
      <c r="S2004" s="36"/>
      <c r="T2004" s="35"/>
      <c r="U2004" s="36"/>
      <c r="V2004" s="37"/>
    </row>
    <row r="2005" spans="1:22" x14ac:dyDescent="0.25">
      <c r="A2005" s="27"/>
      <c r="B2005" s="27"/>
      <c r="C2005" s="27"/>
      <c r="D2005" s="27"/>
      <c r="E2005" s="27"/>
      <c r="F2005" s="27"/>
      <c r="G2005" s="27"/>
      <c r="H2005" s="28"/>
      <c r="I2005" s="27"/>
      <c r="J2005" s="29"/>
      <c r="K2005" s="30"/>
      <c r="L2005" s="31"/>
      <c r="M2005" s="32"/>
      <c r="N2005" s="30"/>
      <c r="O2005" s="30"/>
      <c r="P2005" s="39"/>
      <c r="Q2005" s="34"/>
      <c r="R2005" s="35"/>
      <c r="S2005" s="36"/>
      <c r="T2005" s="35"/>
      <c r="U2005" s="36"/>
      <c r="V2005" s="37"/>
    </row>
    <row r="2006" spans="1:22" x14ac:dyDescent="0.25">
      <c r="A2006" s="27"/>
      <c r="B2006" s="27"/>
      <c r="C2006" s="27"/>
      <c r="D2006" s="27"/>
      <c r="E2006" s="27"/>
      <c r="F2006" s="27"/>
      <c r="G2006" s="27"/>
      <c r="H2006" s="28"/>
      <c r="I2006" s="27"/>
      <c r="J2006" s="29"/>
      <c r="K2006" s="30"/>
      <c r="L2006" s="31"/>
      <c r="M2006" s="32"/>
      <c r="N2006" s="30"/>
      <c r="O2006" s="30"/>
      <c r="P2006" s="39"/>
      <c r="Q2006" s="34"/>
      <c r="R2006" s="35"/>
      <c r="S2006" s="36"/>
      <c r="T2006" s="35"/>
      <c r="U2006" s="36"/>
      <c r="V2006" s="37"/>
    </row>
    <row r="2007" spans="1:22" x14ac:dyDescent="0.25">
      <c r="A2007" s="27"/>
      <c r="B2007" s="27"/>
      <c r="C2007" s="27"/>
      <c r="D2007" s="27"/>
      <c r="E2007" s="27"/>
      <c r="F2007" s="27"/>
      <c r="G2007" s="27"/>
      <c r="H2007" s="28"/>
      <c r="I2007" s="27"/>
      <c r="J2007" s="29"/>
      <c r="K2007" s="30"/>
      <c r="L2007" s="31"/>
      <c r="M2007" s="32"/>
      <c r="N2007" s="30"/>
      <c r="O2007" s="30"/>
      <c r="P2007" s="39"/>
      <c r="Q2007" s="34"/>
      <c r="R2007" s="35"/>
      <c r="S2007" s="36"/>
      <c r="T2007" s="35"/>
      <c r="U2007" s="36"/>
      <c r="V2007" s="37"/>
    </row>
    <row r="2008" spans="1:22" x14ac:dyDescent="0.25">
      <c r="A2008" s="27"/>
      <c r="B2008" s="27"/>
      <c r="C2008" s="27"/>
      <c r="D2008" s="27"/>
      <c r="E2008" s="27"/>
      <c r="F2008" s="27"/>
      <c r="G2008" s="27"/>
      <c r="H2008" s="28"/>
      <c r="I2008" s="27"/>
      <c r="J2008" s="29"/>
      <c r="K2008" s="30"/>
      <c r="L2008" s="31"/>
      <c r="M2008" s="32"/>
      <c r="N2008" s="30"/>
      <c r="O2008" s="30"/>
      <c r="P2008" s="39"/>
      <c r="Q2008" s="34"/>
      <c r="R2008" s="35"/>
      <c r="S2008" s="36"/>
      <c r="T2008" s="35"/>
      <c r="U2008" s="36"/>
      <c r="V2008" s="37"/>
    </row>
    <row r="2009" spans="1:22" x14ac:dyDescent="0.25">
      <c r="A2009" s="27"/>
      <c r="B2009" s="27"/>
      <c r="C2009" s="27"/>
      <c r="D2009" s="27"/>
      <c r="E2009" s="27"/>
      <c r="F2009" s="27"/>
      <c r="G2009" s="27"/>
      <c r="H2009" s="28"/>
      <c r="I2009" s="27"/>
      <c r="J2009" s="29"/>
      <c r="K2009" s="30"/>
      <c r="L2009" s="31"/>
      <c r="M2009" s="32"/>
      <c r="N2009" s="30"/>
      <c r="O2009" s="30"/>
      <c r="P2009" s="39"/>
      <c r="Q2009" s="34"/>
      <c r="R2009" s="35"/>
      <c r="S2009" s="36"/>
      <c r="T2009" s="35"/>
      <c r="U2009" s="36"/>
      <c r="V2009" s="37"/>
    </row>
    <row r="2010" spans="1:22" x14ac:dyDescent="0.25">
      <c r="A2010" s="27"/>
      <c r="B2010" s="27"/>
      <c r="C2010" s="27"/>
      <c r="D2010" s="27"/>
      <c r="E2010" s="27"/>
      <c r="F2010" s="27"/>
      <c r="G2010" s="27"/>
      <c r="H2010" s="28"/>
      <c r="I2010" s="27"/>
      <c r="J2010" s="29"/>
      <c r="K2010" s="30"/>
      <c r="L2010" s="31"/>
      <c r="M2010" s="32"/>
      <c r="N2010" s="30"/>
      <c r="O2010" s="30"/>
      <c r="P2010" s="39"/>
      <c r="Q2010" s="34"/>
      <c r="R2010" s="35"/>
      <c r="S2010" s="36"/>
      <c r="T2010" s="35"/>
      <c r="U2010" s="36"/>
      <c r="V2010" s="37"/>
    </row>
    <row r="2011" spans="1:22" x14ac:dyDescent="0.25">
      <c r="A2011" s="27"/>
      <c r="B2011" s="27"/>
      <c r="C2011" s="27"/>
      <c r="D2011" s="27"/>
      <c r="E2011" s="27"/>
      <c r="F2011" s="27"/>
      <c r="G2011" s="27"/>
      <c r="H2011" s="28"/>
      <c r="I2011" s="27"/>
      <c r="J2011" s="29"/>
      <c r="K2011" s="30"/>
      <c r="L2011" s="31"/>
      <c r="M2011" s="32"/>
      <c r="N2011" s="30"/>
      <c r="O2011" s="30"/>
      <c r="P2011" s="39"/>
      <c r="Q2011" s="34"/>
      <c r="R2011" s="35"/>
      <c r="S2011" s="36"/>
      <c r="T2011" s="35"/>
      <c r="U2011" s="36"/>
      <c r="V2011" s="37"/>
    </row>
    <row r="2012" spans="1:22" x14ac:dyDescent="0.25">
      <c r="A2012" s="27"/>
      <c r="B2012" s="27"/>
      <c r="C2012" s="27"/>
      <c r="D2012" s="27"/>
      <c r="E2012" s="27"/>
      <c r="F2012" s="27"/>
      <c r="G2012" s="27"/>
      <c r="H2012" s="28"/>
      <c r="I2012" s="27"/>
      <c r="J2012" s="29"/>
      <c r="K2012" s="30"/>
      <c r="L2012" s="31"/>
      <c r="M2012" s="32"/>
      <c r="N2012" s="30"/>
      <c r="O2012" s="30"/>
      <c r="P2012" s="39"/>
      <c r="Q2012" s="34"/>
      <c r="R2012" s="35"/>
      <c r="S2012" s="36"/>
      <c r="T2012" s="35"/>
      <c r="U2012" s="36"/>
      <c r="V2012" s="37"/>
    </row>
    <row r="2013" spans="1:22" x14ac:dyDescent="0.25">
      <c r="A2013" s="27"/>
      <c r="B2013" s="27"/>
      <c r="C2013" s="27"/>
      <c r="D2013" s="27"/>
      <c r="E2013" s="27"/>
      <c r="F2013" s="27"/>
      <c r="G2013" s="27"/>
      <c r="H2013" s="28"/>
      <c r="I2013" s="27"/>
      <c r="J2013" s="29"/>
      <c r="K2013" s="30"/>
      <c r="L2013" s="31"/>
      <c r="M2013" s="32"/>
      <c r="N2013" s="30"/>
      <c r="O2013" s="30"/>
      <c r="P2013" s="39"/>
      <c r="Q2013" s="34"/>
      <c r="R2013" s="35"/>
      <c r="S2013" s="36"/>
      <c r="T2013" s="35"/>
      <c r="U2013" s="36"/>
      <c r="V2013" s="37"/>
    </row>
    <row r="2014" spans="1:22" x14ac:dyDescent="0.25">
      <c r="A2014" s="27"/>
      <c r="B2014" s="27"/>
      <c r="C2014" s="27"/>
      <c r="D2014" s="27"/>
      <c r="E2014" s="27"/>
      <c r="F2014" s="27"/>
      <c r="G2014" s="27"/>
      <c r="H2014" s="28"/>
      <c r="I2014" s="27"/>
      <c r="J2014" s="29"/>
      <c r="K2014" s="30"/>
      <c r="L2014" s="31"/>
      <c r="M2014" s="32"/>
      <c r="N2014" s="30"/>
      <c r="O2014" s="30"/>
      <c r="P2014" s="39"/>
      <c r="Q2014" s="34"/>
      <c r="R2014" s="35"/>
      <c r="S2014" s="36"/>
      <c r="T2014" s="35"/>
      <c r="U2014" s="36"/>
      <c r="V2014" s="37"/>
    </row>
  </sheetData>
  <autoFilter ref="A3:AU138" xr:uid="{5E283FEA-EE24-4A35-A5E5-19D1DB1005D2}">
    <filterColumn colId="6">
      <filters>
        <filter val="Futures"/>
      </filters>
    </filterColumn>
  </autoFilter>
  <mergeCells count="5">
    <mergeCell ref="J2:L2"/>
    <mergeCell ref="M2:O2"/>
    <mergeCell ref="Q2:R2"/>
    <mergeCell ref="S2:T2"/>
    <mergeCell ref="U2:V2"/>
  </mergeCells>
  <conditionalFormatting sqref="Q4:Q1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EC1E-D35F-4D89-BCBB-4469E6F6DD52}">
  <dimension ref="A3:G10"/>
  <sheetViews>
    <sheetView workbookViewId="0">
      <selection activeCell="F27" sqref="F27"/>
    </sheetView>
  </sheetViews>
  <sheetFormatPr defaultRowHeight="15" x14ac:dyDescent="0.25"/>
  <cols>
    <col min="1" max="1" width="13.42578125" bestFit="1" customWidth="1"/>
    <col min="2" max="2" width="16.85546875" bestFit="1" customWidth="1"/>
    <col min="3" max="4" width="12.28515625" bestFit="1" customWidth="1"/>
    <col min="5" max="5" width="13.42578125" bestFit="1" customWidth="1"/>
    <col min="6" max="6" width="12.28515625" bestFit="1" customWidth="1"/>
    <col min="7" max="7" width="13.42578125" bestFit="1" customWidth="1"/>
    <col min="8" max="8" width="12.5703125" bestFit="1" customWidth="1"/>
  </cols>
  <sheetData>
    <row r="3" spans="1:7" x14ac:dyDescent="0.25">
      <c r="A3" s="78" t="s">
        <v>350</v>
      </c>
      <c r="B3" s="78" t="s">
        <v>351</v>
      </c>
    </row>
    <row r="4" spans="1:7" x14ac:dyDescent="0.25">
      <c r="A4" s="78" t="s">
        <v>348</v>
      </c>
      <c r="B4" s="72" t="s">
        <v>40</v>
      </c>
      <c r="C4" s="72" t="s">
        <v>333</v>
      </c>
      <c r="D4" s="72" t="s">
        <v>285</v>
      </c>
      <c r="E4" s="72" t="s">
        <v>31</v>
      </c>
      <c r="F4" s="72" t="s">
        <v>334</v>
      </c>
      <c r="G4" t="s">
        <v>349</v>
      </c>
    </row>
    <row r="5" spans="1:7" x14ac:dyDescent="0.25">
      <c r="A5" s="79" t="s">
        <v>283</v>
      </c>
      <c r="B5" s="72">
        <v>-39308.090000000142</v>
      </c>
      <c r="C5" s="72">
        <v>-9776.5999999999985</v>
      </c>
      <c r="D5" s="72">
        <v>-20008.929999999993</v>
      </c>
      <c r="E5" s="72">
        <v>-235576.9741053562</v>
      </c>
      <c r="F5" s="72">
        <v>-13553.95000000007</v>
      </c>
      <c r="G5" s="72">
        <v>-318224.54410535644</v>
      </c>
    </row>
    <row r="6" spans="1:7" x14ac:dyDescent="0.25">
      <c r="A6" s="80" t="s">
        <v>38</v>
      </c>
      <c r="B6" s="72">
        <v>-17213.270000000193</v>
      </c>
      <c r="C6" s="72">
        <v>-721.59999999999854</v>
      </c>
      <c r="D6" s="72">
        <v>-20008.929999999993</v>
      </c>
      <c r="E6" s="72">
        <v>-192699.33979999973</v>
      </c>
      <c r="F6" s="72">
        <v>-16133.95000000007</v>
      </c>
      <c r="G6" s="72">
        <v>-246777.08979999999</v>
      </c>
    </row>
    <row r="7" spans="1:7" x14ac:dyDescent="0.25">
      <c r="A7" s="80" t="s">
        <v>36</v>
      </c>
      <c r="B7" s="72">
        <v>-22094.819999999949</v>
      </c>
      <c r="C7" s="72">
        <v>-9055</v>
      </c>
      <c r="D7" s="72"/>
      <c r="E7" s="72">
        <v>-42877.634305356492</v>
      </c>
      <c r="F7" s="72">
        <v>2580</v>
      </c>
      <c r="G7" s="72">
        <v>-71447.454305356441</v>
      </c>
    </row>
    <row r="8" spans="1:7" x14ac:dyDescent="0.25">
      <c r="A8" s="79" t="s">
        <v>276</v>
      </c>
      <c r="B8" s="72">
        <v>-5298.059999999994</v>
      </c>
      <c r="C8" s="72">
        <v>-18792.64</v>
      </c>
      <c r="D8" s="72"/>
      <c r="E8" s="72">
        <v>16440.600000000002</v>
      </c>
      <c r="F8" s="72">
        <v>3209.670000000001</v>
      </c>
      <c r="G8" s="72">
        <v>-4440.4299999999903</v>
      </c>
    </row>
    <row r="9" spans="1:7" x14ac:dyDescent="0.25">
      <c r="A9" s="80" t="s">
        <v>38</v>
      </c>
      <c r="B9" s="72">
        <v>-5298.059999999994</v>
      </c>
      <c r="C9" s="72">
        <v>-18792.64</v>
      </c>
      <c r="D9" s="72"/>
      <c r="E9" s="72">
        <v>16440.600000000002</v>
      </c>
      <c r="F9" s="72">
        <v>3209.670000000001</v>
      </c>
      <c r="G9" s="72">
        <v>-4440.4299999999903</v>
      </c>
    </row>
    <row r="10" spans="1:7" x14ac:dyDescent="0.25">
      <c r="A10" s="79" t="s">
        <v>349</v>
      </c>
      <c r="B10" s="72">
        <v>-44606.15000000014</v>
      </c>
      <c r="C10" s="72">
        <v>-28569.239999999998</v>
      </c>
      <c r="D10" s="72">
        <v>-20008.929999999993</v>
      </c>
      <c r="E10" s="72">
        <v>-219136.3741053562</v>
      </c>
      <c r="F10" s="72">
        <v>-10344.280000000068</v>
      </c>
      <c r="G10" s="72">
        <v>-322664.97410535644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98EF-90E6-4366-8E8A-138CDC8011B5}">
  <dimension ref="A1:T674"/>
  <sheetViews>
    <sheetView tabSelected="1" workbookViewId="0">
      <pane ySplit="1" topLeftCell="A650" activePane="bottomLeft" state="frozen"/>
      <selection pane="bottomLeft" activeCell="T679" sqref="T679"/>
    </sheetView>
  </sheetViews>
  <sheetFormatPr defaultRowHeight="15" x14ac:dyDescent="0.25"/>
  <cols>
    <col min="1" max="1" width="9.5703125" bestFit="1" customWidth="1"/>
    <col min="2" max="2" width="17" bestFit="1" customWidth="1"/>
    <col min="3" max="3" width="16" bestFit="1" customWidth="1"/>
    <col min="4" max="4" width="13.5703125" bestFit="1" customWidth="1"/>
    <col min="5" max="5" width="9.42578125" bestFit="1" customWidth="1"/>
    <col min="6" max="6" width="14.7109375" style="60" customWidth="1"/>
    <col min="7" max="7" width="10.85546875" bestFit="1" customWidth="1"/>
    <col min="8" max="8" width="14.28515625" bestFit="1" customWidth="1"/>
    <col min="9" max="9" width="17.140625" style="49" bestFit="1" customWidth="1"/>
    <col min="10" max="10" width="17.140625" style="106" customWidth="1"/>
    <col min="11" max="11" width="17.7109375" style="115" bestFit="1" customWidth="1"/>
    <col min="12" max="12" width="11.5703125" style="49" bestFit="1" customWidth="1"/>
    <col min="13" max="13" width="17.28515625" bestFit="1" customWidth="1"/>
    <col min="14" max="14" width="12.28515625" style="49" bestFit="1" customWidth="1"/>
    <col min="15" max="15" width="10.85546875" style="49" bestFit="1" customWidth="1"/>
    <col min="16" max="16" width="17" style="47" bestFit="1" customWidth="1"/>
    <col min="17" max="17" width="11" bestFit="1" customWidth="1"/>
    <col min="18" max="19" width="12.7109375" bestFit="1" customWidth="1"/>
  </cols>
  <sheetData>
    <row r="1" spans="1:20" x14ac:dyDescent="0.25">
      <c r="A1" s="20" t="s">
        <v>282</v>
      </c>
      <c r="B1" s="20" t="s">
        <v>284</v>
      </c>
      <c r="C1" s="20" t="s">
        <v>286</v>
      </c>
      <c r="D1" s="20" t="s">
        <v>165</v>
      </c>
      <c r="E1" t="s">
        <v>410</v>
      </c>
      <c r="F1" s="69" t="s">
        <v>142</v>
      </c>
      <c r="G1" s="20" t="s">
        <v>10</v>
      </c>
      <c r="H1" s="20" t="s">
        <v>24</v>
      </c>
      <c r="I1" s="48" t="s">
        <v>144</v>
      </c>
      <c r="J1" s="105" t="s">
        <v>418</v>
      </c>
      <c r="K1" s="116" t="s">
        <v>145</v>
      </c>
      <c r="L1" s="48" t="s">
        <v>26</v>
      </c>
      <c r="M1" s="48" t="s">
        <v>168</v>
      </c>
      <c r="N1" s="55" t="s">
        <v>30</v>
      </c>
      <c r="O1" s="46" t="s">
        <v>169</v>
      </c>
      <c r="P1" s="73" t="s">
        <v>336</v>
      </c>
      <c r="Q1" s="73" t="s">
        <v>352</v>
      </c>
      <c r="R1" s="73" t="s">
        <v>353</v>
      </c>
      <c r="S1" t="s">
        <v>367</v>
      </c>
      <c r="T1" t="s">
        <v>424</v>
      </c>
    </row>
    <row r="2" spans="1:20" x14ac:dyDescent="0.25">
      <c r="A2" t="s">
        <v>276</v>
      </c>
      <c r="B2" t="s">
        <v>430</v>
      </c>
      <c r="C2" t="s">
        <v>148</v>
      </c>
      <c r="D2" t="s">
        <v>38</v>
      </c>
      <c r="E2" s="49"/>
      <c r="F2" s="60">
        <v>44645</v>
      </c>
      <c r="G2" t="s">
        <v>48</v>
      </c>
      <c r="H2">
        <v>16</v>
      </c>
      <c r="I2" s="49">
        <v>3604.51</v>
      </c>
      <c r="J2" s="106">
        <v>100</v>
      </c>
      <c r="K2" s="115">
        <v>1297.03</v>
      </c>
      <c r="L2" s="49">
        <v>2.2528187500000003</v>
      </c>
      <c r="M2" s="49">
        <v>0.81064375</v>
      </c>
      <c r="N2" s="49">
        <v>-2307.4800000000005</v>
      </c>
      <c r="O2" s="47">
        <v>-0.64016468257821457</v>
      </c>
      <c r="P2" s="72">
        <f>N2</f>
        <v>-2307.4800000000005</v>
      </c>
      <c r="Q2" s="49" t="str">
        <f>TEXT(Table1[[#This Row],[Closing Date]],"yyyy")</f>
        <v>2022</v>
      </c>
      <c r="R2" s="49" t="str">
        <f>TEXT(Table1[[#This Row],[Closing Date]],"mmmm")</f>
        <v>March</v>
      </c>
      <c r="S2" s="49" t="s">
        <v>368</v>
      </c>
      <c r="T2" s="49" t="s">
        <v>429</v>
      </c>
    </row>
    <row r="3" spans="1:20" x14ac:dyDescent="0.25">
      <c r="A3" t="s">
        <v>276</v>
      </c>
      <c r="B3" t="s">
        <v>430</v>
      </c>
      <c r="C3" t="s">
        <v>148</v>
      </c>
      <c r="D3" t="s">
        <v>38</v>
      </c>
      <c r="E3" s="49"/>
      <c r="F3" s="60">
        <v>44679</v>
      </c>
      <c r="G3" t="s">
        <v>79</v>
      </c>
      <c r="H3">
        <v>25</v>
      </c>
      <c r="I3" s="49">
        <v>3752.06</v>
      </c>
      <c r="J3" s="106">
        <v>100</v>
      </c>
      <c r="K3" s="115">
        <v>15103.41</v>
      </c>
      <c r="L3" s="49">
        <v>1.5008240000000002</v>
      </c>
      <c r="M3" s="49">
        <v>6.0413639999999997</v>
      </c>
      <c r="N3" s="49">
        <v>11351.35</v>
      </c>
      <c r="O3" s="47">
        <v>3.0253647329733528</v>
      </c>
      <c r="P3" s="72">
        <f t="shared" ref="P3:P66" si="0">N3+P2</f>
        <v>9043.869999999999</v>
      </c>
      <c r="Q3" s="49" t="str">
        <f>TEXT(Table1[[#This Row],[Closing Date]],"yyyy")</f>
        <v>2022</v>
      </c>
      <c r="R3" s="49" t="str">
        <f>TEXT(Table1[[#This Row],[Closing Date]],"mmmm")</f>
        <v>April</v>
      </c>
      <c r="S3" s="49" t="s">
        <v>368</v>
      </c>
      <c r="T3" s="49" t="s">
        <v>429</v>
      </c>
    </row>
    <row r="4" spans="1:20" x14ac:dyDescent="0.25">
      <c r="A4" t="s">
        <v>276</v>
      </c>
      <c r="B4" t="s">
        <v>430</v>
      </c>
      <c r="C4" t="s">
        <v>147</v>
      </c>
      <c r="D4" t="s">
        <v>38</v>
      </c>
      <c r="E4" s="49"/>
      <c r="F4" s="60">
        <v>44694</v>
      </c>
      <c r="G4" t="s">
        <v>48</v>
      </c>
      <c r="H4">
        <v>20</v>
      </c>
      <c r="I4" s="49">
        <v>3329.78</v>
      </c>
      <c r="J4" s="106">
        <v>100</v>
      </c>
      <c r="K4" s="115">
        <v>1645.71</v>
      </c>
      <c r="L4" s="49">
        <v>1.66489</v>
      </c>
      <c r="M4" s="49">
        <v>0.822855</v>
      </c>
      <c r="N4" s="49">
        <v>-1684.0700000000002</v>
      </c>
      <c r="O4" s="47">
        <v>-0.50576014030956995</v>
      </c>
      <c r="P4" s="72">
        <f t="shared" si="0"/>
        <v>7359.7999999999993</v>
      </c>
      <c r="Q4" s="49" t="str">
        <f>TEXT(Table1[[#This Row],[Closing Date]],"yyyy")</f>
        <v>2022</v>
      </c>
      <c r="R4" s="49" t="str">
        <f>TEXT(Table1[[#This Row],[Closing Date]],"mmmm")</f>
        <v>May</v>
      </c>
      <c r="S4" s="49" t="s">
        <v>368</v>
      </c>
      <c r="T4" s="49" t="s">
        <v>429</v>
      </c>
    </row>
    <row r="5" spans="1:20" x14ac:dyDescent="0.25">
      <c r="A5" t="s">
        <v>276</v>
      </c>
      <c r="B5" t="s">
        <v>430</v>
      </c>
      <c r="C5" t="s">
        <v>147</v>
      </c>
      <c r="D5" t="s">
        <v>38</v>
      </c>
      <c r="E5" s="49"/>
      <c r="F5" s="60">
        <v>44708</v>
      </c>
      <c r="G5" t="s">
        <v>146</v>
      </c>
      <c r="H5">
        <v>25</v>
      </c>
      <c r="I5" s="49">
        <v>3521.88</v>
      </c>
      <c r="J5" s="106">
        <v>100</v>
      </c>
      <c r="K5" s="115">
        <v>0</v>
      </c>
      <c r="L5" s="49">
        <v>1.408752</v>
      </c>
      <c r="M5" s="49">
        <v>0</v>
      </c>
      <c r="N5" s="49">
        <v>-3521.88</v>
      </c>
      <c r="O5" s="47">
        <v>-1</v>
      </c>
      <c r="P5" s="72">
        <f t="shared" si="0"/>
        <v>3837.9199999999992</v>
      </c>
      <c r="Q5" s="49" t="str">
        <f>TEXT(Table1[[#This Row],[Closing Date]],"yyyy")</f>
        <v>2022</v>
      </c>
      <c r="R5" s="49" t="str">
        <f>TEXT(Table1[[#This Row],[Closing Date]],"mmmm")</f>
        <v>May</v>
      </c>
      <c r="S5" s="49" t="s">
        <v>368</v>
      </c>
      <c r="T5" s="49" t="s">
        <v>429</v>
      </c>
    </row>
    <row r="6" spans="1:20" x14ac:dyDescent="0.25">
      <c r="A6" t="s">
        <v>276</v>
      </c>
      <c r="B6" t="s">
        <v>430</v>
      </c>
      <c r="C6" t="s">
        <v>149</v>
      </c>
      <c r="D6" t="s">
        <v>38</v>
      </c>
      <c r="E6" s="49"/>
      <c r="F6" s="60">
        <v>44844</v>
      </c>
      <c r="G6" t="s">
        <v>79</v>
      </c>
      <c r="H6">
        <v>5</v>
      </c>
      <c r="I6" s="49">
        <v>2278.4499999999998</v>
      </c>
      <c r="J6" s="106">
        <v>100</v>
      </c>
      <c r="K6" s="115">
        <v>8484.5499999999993</v>
      </c>
      <c r="L6" s="49">
        <v>4.5568999999999997</v>
      </c>
      <c r="M6" s="49">
        <v>16.969099999999997</v>
      </c>
      <c r="N6" s="49">
        <v>6206.0999999999995</v>
      </c>
      <c r="O6" s="47">
        <v>2.7238254076236035</v>
      </c>
      <c r="P6" s="72">
        <f t="shared" si="0"/>
        <v>10044.019999999999</v>
      </c>
      <c r="Q6" s="49" t="str">
        <f>TEXT(Table1[[#This Row],[Closing Date]],"yyyy")</f>
        <v>2022</v>
      </c>
      <c r="R6" s="49" t="str">
        <f>TEXT(Table1[[#This Row],[Closing Date]],"mmmm")</f>
        <v>October</v>
      </c>
      <c r="S6" s="49" t="s">
        <v>368</v>
      </c>
      <c r="T6" s="49" t="s">
        <v>429</v>
      </c>
    </row>
    <row r="7" spans="1:20" x14ac:dyDescent="0.25">
      <c r="A7" t="s">
        <v>276</v>
      </c>
      <c r="B7" t="s">
        <v>430</v>
      </c>
      <c r="C7" t="s">
        <v>148</v>
      </c>
      <c r="D7" t="s">
        <v>38</v>
      </c>
      <c r="E7" s="49"/>
      <c r="F7" s="60">
        <v>44925</v>
      </c>
      <c r="G7" t="s">
        <v>96</v>
      </c>
      <c r="H7">
        <v>5</v>
      </c>
      <c r="I7" s="49">
        <v>2451.3199999999997</v>
      </c>
      <c r="J7" s="106">
        <v>100</v>
      </c>
      <c r="K7" s="115">
        <v>7028.34</v>
      </c>
      <c r="L7" s="49">
        <v>4.9026399999999999</v>
      </c>
      <c r="M7" s="49">
        <v>14.056680000000002</v>
      </c>
      <c r="N7" s="49">
        <v>4577.0200000000004</v>
      </c>
      <c r="O7" s="47">
        <v>1.8671654455558642</v>
      </c>
      <c r="P7" s="72">
        <f t="shared" si="0"/>
        <v>14621.039999999999</v>
      </c>
      <c r="Q7" s="49" t="str">
        <f>TEXT(Table1[[#This Row],[Closing Date]],"yyyy")</f>
        <v>2022</v>
      </c>
      <c r="R7" s="49" t="str">
        <f>TEXT(Table1[[#This Row],[Closing Date]],"mmmm")</f>
        <v>December</v>
      </c>
      <c r="S7" s="49" t="s">
        <v>368</v>
      </c>
      <c r="T7" s="49" t="s">
        <v>429</v>
      </c>
    </row>
    <row r="8" spans="1:20" x14ac:dyDescent="0.25">
      <c r="A8" t="s">
        <v>283</v>
      </c>
      <c r="B8" t="s">
        <v>431</v>
      </c>
      <c r="C8" t="s">
        <v>56</v>
      </c>
      <c r="D8" t="s">
        <v>38</v>
      </c>
      <c r="E8" s="49"/>
      <c r="F8" s="60">
        <v>44934</v>
      </c>
      <c r="G8" t="s">
        <v>236</v>
      </c>
      <c r="H8">
        <v>12500</v>
      </c>
      <c r="I8" s="49">
        <v>422187.5</v>
      </c>
      <c r="K8" s="115">
        <v>424757.63</v>
      </c>
      <c r="L8" s="49">
        <v>33.774999999999999</v>
      </c>
      <c r="M8" s="49">
        <v>33.980610400000003</v>
      </c>
      <c r="N8" s="49">
        <v>2570.1300000000047</v>
      </c>
      <c r="O8" s="47">
        <v>6.0876506291635936E-3</v>
      </c>
      <c r="P8" s="72">
        <f t="shared" si="0"/>
        <v>17191.170000000006</v>
      </c>
      <c r="Q8" s="49" t="str">
        <f>TEXT(Table1[[#This Row],[Closing Date]],"yyyy")</f>
        <v>2023</v>
      </c>
      <c r="R8" s="49" t="str">
        <f>TEXT(Table1[[#This Row],[Closing Date]],"mmmm")</f>
        <v>January</v>
      </c>
      <c r="S8" s="49" t="s">
        <v>368</v>
      </c>
      <c r="T8" s="49" t="s">
        <v>429</v>
      </c>
    </row>
    <row r="9" spans="1:20" x14ac:dyDescent="0.25">
      <c r="A9" t="s">
        <v>276</v>
      </c>
      <c r="B9" t="s">
        <v>430</v>
      </c>
      <c r="C9" t="s">
        <v>148</v>
      </c>
      <c r="D9" t="s">
        <v>38</v>
      </c>
      <c r="E9" s="49"/>
      <c r="F9" s="60">
        <v>44946</v>
      </c>
      <c r="G9" t="s">
        <v>48</v>
      </c>
      <c r="H9">
        <v>14</v>
      </c>
      <c r="I9" s="49">
        <v>3435.77</v>
      </c>
      <c r="J9" s="106">
        <v>100</v>
      </c>
      <c r="K9" s="115">
        <v>3574.7400000000002</v>
      </c>
      <c r="L9" s="49">
        <v>2.4541214285714288</v>
      </c>
      <c r="M9" s="49">
        <v>2.5533857142857146</v>
      </c>
      <c r="N9" s="49">
        <v>138.97000000000025</v>
      </c>
      <c r="O9" s="47">
        <v>4.0447992735252979E-2</v>
      </c>
      <c r="P9" s="72">
        <f t="shared" si="0"/>
        <v>17330.140000000007</v>
      </c>
      <c r="Q9" s="49" t="str">
        <f>TEXT(Table1[[#This Row],[Closing Date]],"yyyy")</f>
        <v>2023</v>
      </c>
      <c r="R9" s="49" t="str">
        <f>TEXT(Table1[[#This Row],[Closing Date]],"mmmm")</f>
        <v>January</v>
      </c>
      <c r="S9" s="49" t="s">
        <v>368</v>
      </c>
      <c r="T9" s="49" t="s">
        <v>429</v>
      </c>
    </row>
    <row r="10" spans="1:20" x14ac:dyDescent="0.25">
      <c r="A10" t="s">
        <v>335</v>
      </c>
      <c r="B10" t="s">
        <v>432</v>
      </c>
      <c r="C10" t="s">
        <v>51</v>
      </c>
      <c r="D10" t="s">
        <v>38</v>
      </c>
      <c r="E10" s="49"/>
      <c r="F10" s="60">
        <v>44952</v>
      </c>
      <c r="G10" t="s">
        <v>130</v>
      </c>
      <c r="H10">
        <v>3</v>
      </c>
      <c r="I10" s="49">
        <v>608243.55000000005</v>
      </c>
      <c r="K10" s="115">
        <v>607218.15</v>
      </c>
      <c r="L10" s="49">
        <v>4054.9570000000003</v>
      </c>
      <c r="M10" s="49">
        <v>4048.1210000000005</v>
      </c>
      <c r="N10" s="49">
        <v>-1025.4000000000233</v>
      </c>
      <c r="O10" s="47">
        <v>-1.6858378522878997E-3</v>
      </c>
      <c r="P10" s="72">
        <f t="shared" si="0"/>
        <v>16304.739999999983</v>
      </c>
      <c r="Q10" s="49" t="str">
        <f>TEXT(Table1[[#This Row],[Closing Date]],"yyyy")</f>
        <v>2023</v>
      </c>
      <c r="R10" s="49" t="str">
        <f>TEXT(Table1[[#This Row],[Closing Date]],"mmmm")</f>
        <v>January</v>
      </c>
      <c r="S10" s="49" t="s">
        <v>368</v>
      </c>
      <c r="T10" s="49" t="s">
        <v>429</v>
      </c>
    </row>
    <row r="11" spans="1:20" x14ac:dyDescent="0.25">
      <c r="A11" t="s">
        <v>335</v>
      </c>
      <c r="B11" t="s">
        <v>432</v>
      </c>
      <c r="C11" t="s">
        <v>51</v>
      </c>
      <c r="D11" t="s">
        <v>36</v>
      </c>
      <c r="E11" s="49"/>
      <c r="F11" s="60">
        <v>44957</v>
      </c>
      <c r="G11" t="s">
        <v>263</v>
      </c>
      <c r="H11">
        <v>150</v>
      </c>
      <c r="I11" s="49">
        <v>3039531.25</v>
      </c>
      <c r="K11" s="115">
        <v>3041562.5</v>
      </c>
      <c r="L11" s="49">
        <v>4052.7083333333335</v>
      </c>
      <c r="M11" s="49">
        <v>4055.4166666666665</v>
      </c>
      <c r="N11" s="49">
        <v>2031.25</v>
      </c>
      <c r="O11" s="47">
        <v>6.6827738652128438E-4</v>
      </c>
      <c r="P11" s="72">
        <f t="shared" si="0"/>
        <v>18335.989999999983</v>
      </c>
      <c r="Q11" s="49" t="str">
        <f>TEXT(Table1[[#This Row],[Closing Date]],"yyyy")</f>
        <v>2023</v>
      </c>
      <c r="R11" s="49" t="str">
        <f>TEXT(Table1[[#This Row],[Closing Date]],"mmmm")</f>
        <v>January</v>
      </c>
      <c r="S11" s="49" t="s">
        <v>368</v>
      </c>
      <c r="T11" s="49" t="s">
        <v>429</v>
      </c>
    </row>
    <row r="12" spans="1:20" x14ac:dyDescent="0.25">
      <c r="A12" t="s">
        <v>335</v>
      </c>
      <c r="B12" t="s">
        <v>432</v>
      </c>
      <c r="C12" t="s">
        <v>51</v>
      </c>
      <c r="D12" t="s">
        <v>38</v>
      </c>
      <c r="E12" s="49"/>
      <c r="F12" s="60">
        <v>44966</v>
      </c>
      <c r="G12" t="s">
        <v>263</v>
      </c>
      <c r="H12">
        <v>40</v>
      </c>
      <c r="I12" s="49">
        <v>817000</v>
      </c>
      <c r="K12" s="115">
        <v>814877.9</v>
      </c>
      <c r="L12" s="49">
        <v>4085</v>
      </c>
      <c r="M12" s="49">
        <v>4074.3895000000002</v>
      </c>
      <c r="N12" s="49">
        <v>-2122.0999999999767</v>
      </c>
      <c r="O12" s="47">
        <v>-2.5974296205629804E-3</v>
      </c>
      <c r="P12" s="72">
        <f t="shared" si="0"/>
        <v>16213.890000000007</v>
      </c>
      <c r="Q12" s="49" t="str">
        <f>TEXT(Table1[[#This Row],[Closing Date]],"yyyy")</f>
        <v>2023</v>
      </c>
      <c r="R12" s="49" t="str">
        <f>TEXT(Table1[[#This Row],[Closing Date]],"mmmm")</f>
        <v>February</v>
      </c>
      <c r="S12" s="49" t="s">
        <v>368</v>
      </c>
      <c r="T12" s="49" t="s">
        <v>429</v>
      </c>
    </row>
    <row r="13" spans="1:20" x14ac:dyDescent="0.25">
      <c r="A13" t="s">
        <v>276</v>
      </c>
      <c r="B13" t="s">
        <v>430</v>
      </c>
      <c r="C13" t="s">
        <v>149</v>
      </c>
      <c r="D13" t="s">
        <v>38</v>
      </c>
      <c r="E13" s="49"/>
      <c r="F13" s="60">
        <v>44970</v>
      </c>
      <c r="G13" t="s">
        <v>150</v>
      </c>
      <c r="H13">
        <v>10</v>
      </c>
      <c r="I13" s="49">
        <v>1896.99</v>
      </c>
      <c r="J13" s="106">
        <v>100</v>
      </c>
      <c r="K13" s="115">
        <v>5420.01</v>
      </c>
      <c r="L13" s="49">
        <v>1.8969900000000002</v>
      </c>
      <c r="M13" s="49">
        <v>5.4200099999999996</v>
      </c>
      <c r="N13" s="49">
        <v>3523.0200000000004</v>
      </c>
      <c r="O13" s="47">
        <v>1.8571631901064312</v>
      </c>
      <c r="P13" s="72">
        <f t="shared" si="0"/>
        <v>19736.910000000007</v>
      </c>
      <c r="Q13" s="49" t="str">
        <f>TEXT(Table1[[#This Row],[Closing Date]],"yyyy")</f>
        <v>2023</v>
      </c>
      <c r="R13" s="49" t="str">
        <f>TEXT(Table1[[#This Row],[Closing Date]],"mmmm")</f>
        <v>February</v>
      </c>
      <c r="S13" s="49" t="s">
        <v>368</v>
      </c>
      <c r="T13" s="49" t="s">
        <v>429</v>
      </c>
    </row>
    <row r="14" spans="1:20" x14ac:dyDescent="0.25">
      <c r="A14" t="s">
        <v>335</v>
      </c>
      <c r="B14" t="s">
        <v>432</v>
      </c>
      <c r="C14" t="s">
        <v>51</v>
      </c>
      <c r="D14" t="s">
        <v>38</v>
      </c>
      <c r="E14" s="49"/>
      <c r="F14" s="60">
        <v>44973</v>
      </c>
      <c r="G14" t="s">
        <v>263</v>
      </c>
      <c r="H14">
        <v>40</v>
      </c>
      <c r="I14" s="49">
        <v>820424.8</v>
      </c>
      <c r="K14" s="115">
        <v>826775.2</v>
      </c>
      <c r="L14" s="49">
        <v>4102.1240000000007</v>
      </c>
      <c r="M14" s="49">
        <v>4133.8759999999993</v>
      </c>
      <c r="N14" s="49">
        <v>6350.3999999999069</v>
      </c>
      <c r="O14" s="47">
        <v>7.7403803493016256E-3</v>
      </c>
      <c r="P14" s="72">
        <f t="shared" si="0"/>
        <v>26087.309999999914</v>
      </c>
      <c r="Q14" s="49" t="str">
        <f>TEXT(Table1[[#This Row],[Closing Date]],"yyyy")</f>
        <v>2023</v>
      </c>
      <c r="R14" s="49" t="str">
        <f>TEXT(Table1[[#This Row],[Closing Date]],"mmmm")</f>
        <v>February</v>
      </c>
      <c r="S14" s="49" t="s">
        <v>368</v>
      </c>
      <c r="T14" s="49" t="s">
        <v>429</v>
      </c>
    </row>
    <row r="15" spans="1:20" x14ac:dyDescent="0.25">
      <c r="A15" t="s">
        <v>335</v>
      </c>
      <c r="B15" t="s">
        <v>432</v>
      </c>
      <c r="C15" t="s">
        <v>51</v>
      </c>
      <c r="D15" t="s">
        <v>38</v>
      </c>
      <c r="E15" s="49"/>
      <c r="F15" s="60">
        <v>44978</v>
      </c>
      <c r="G15" t="s">
        <v>130</v>
      </c>
      <c r="H15">
        <v>5</v>
      </c>
      <c r="I15" s="49">
        <v>1010000</v>
      </c>
      <c r="K15" s="115">
        <v>1008000</v>
      </c>
      <c r="L15" s="49">
        <v>4040</v>
      </c>
      <c r="M15" s="49">
        <v>4032</v>
      </c>
      <c r="N15" s="49">
        <v>-2000</v>
      </c>
      <c r="O15" s="47">
        <v>-1.9801980198019802E-3</v>
      </c>
      <c r="P15" s="72">
        <f t="shared" si="0"/>
        <v>24087.309999999914</v>
      </c>
      <c r="Q15" s="49" t="str">
        <f>TEXT(Table1[[#This Row],[Closing Date]],"yyyy")</f>
        <v>2023</v>
      </c>
      <c r="R15" s="49" t="str">
        <f>TEXT(Table1[[#This Row],[Closing Date]],"mmmm")</f>
        <v>February</v>
      </c>
      <c r="S15" s="49" t="s">
        <v>368</v>
      </c>
      <c r="T15" s="49" t="s">
        <v>429</v>
      </c>
    </row>
    <row r="16" spans="1:20" x14ac:dyDescent="0.25">
      <c r="A16" t="s">
        <v>335</v>
      </c>
      <c r="B16" t="s">
        <v>432</v>
      </c>
      <c r="C16" t="s">
        <v>51</v>
      </c>
      <c r="D16" t="s">
        <v>38</v>
      </c>
      <c r="E16" s="49"/>
      <c r="F16" s="60">
        <v>44978</v>
      </c>
      <c r="G16" t="s">
        <v>130</v>
      </c>
      <c r="H16">
        <v>5</v>
      </c>
      <c r="I16" s="49">
        <v>1001562.5</v>
      </c>
      <c r="K16" s="115">
        <v>1001643.5</v>
      </c>
      <c r="L16" s="49">
        <v>4006.25</v>
      </c>
      <c r="M16" s="49">
        <v>4006.5739999999996</v>
      </c>
      <c r="N16" s="49">
        <v>81</v>
      </c>
      <c r="O16" s="47">
        <v>8.087363494530156E-5</v>
      </c>
      <c r="P16" s="72">
        <f t="shared" si="0"/>
        <v>24168.309999999914</v>
      </c>
      <c r="Q16" s="49" t="str">
        <f>TEXT(Table1[[#This Row],[Closing Date]],"yyyy")</f>
        <v>2023</v>
      </c>
      <c r="R16" s="49" t="str">
        <f>TEXT(Table1[[#This Row],[Closing Date]],"mmmm")</f>
        <v>February</v>
      </c>
      <c r="S16" s="49" t="s">
        <v>368</v>
      </c>
      <c r="T16" s="49" t="s">
        <v>429</v>
      </c>
    </row>
    <row r="17" spans="1:20" x14ac:dyDescent="0.25">
      <c r="A17" t="s">
        <v>276</v>
      </c>
      <c r="B17" t="s">
        <v>430</v>
      </c>
      <c r="C17" t="s">
        <v>152</v>
      </c>
      <c r="D17" t="s">
        <v>38</v>
      </c>
      <c r="E17" s="49"/>
      <c r="F17" s="60">
        <v>44979</v>
      </c>
      <c r="G17" t="s">
        <v>151</v>
      </c>
      <c r="H17">
        <v>75</v>
      </c>
      <c r="I17" s="49">
        <v>3616.61</v>
      </c>
      <c r="J17" s="106">
        <v>100</v>
      </c>
      <c r="K17" s="115">
        <v>3534.1099999999997</v>
      </c>
      <c r="L17" s="49">
        <v>0.48221466666666674</v>
      </c>
      <c r="M17" s="49">
        <v>0.47121466666666662</v>
      </c>
      <c r="N17" s="49">
        <v>-82.500000000000455</v>
      </c>
      <c r="O17" s="47">
        <v>-2.2811417321746304E-2</v>
      </c>
      <c r="P17" s="72">
        <f t="shared" si="0"/>
        <v>24085.809999999914</v>
      </c>
      <c r="Q17" s="49" t="str">
        <f>TEXT(Table1[[#This Row],[Closing Date]],"yyyy")</f>
        <v>2023</v>
      </c>
      <c r="R17" s="49" t="str">
        <f>TEXT(Table1[[#This Row],[Closing Date]],"mmmm")</f>
        <v>February</v>
      </c>
      <c r="S17" s="49" t="s">
        <v>368</v>
      </c>
      <c r="T17" s="49" t="s">
        <v>429</v>
      </c>
    </row>
    <row r="18" spans="1:20" x14ac:dyDescent="0.25">
      <c r="A18" t="s">
        <v>335</v>
      </c>
      <c r="B18" t="s">
        <v>432</v>
      </c>
      <c r="C18" t="s">
        <v>51</v>
      </c>
      <c r="D18" t="s">
        <v>38</v>
      </c>
      <c r="E18" s="49"/>
      <c r="F18" s="60">
        <v>44979</v>
      </c>
      <c r="G18" t="s">
        <v>130</v>
      </c>
      <c r="H18">
        <v>4</v>
      </c>
      <c r="I18" s="49">
        <v>799117.6</v>
      </c>
      <c r="K18" s="115">
        <v>802350</v>
      </c>
      <c r="L18" s="49">
        <v>3995.5879999999997</v>
      </c>
      <c r="M18" s="49">
        <v>4011.75</v>
      </c>
      <c r="N18" s="49">
        <v>3232.4000000000233</v>
      </c>
      <c r="O18" s="47">
        <v>4.0449615926367441E-3</v>
      </c>
      <c r="P18" s="72">
        <f t="shared" si="0"/>
        <v>27318.209999999937</v>
      </c>
      <c r="Q18" s="49" t="str">
        <f>TEXT(Table1[[#This Row],[Closing Date]],"yyyy")</f>
        <v>2023</v>
      </c>
      <c r="R18" s="49" t="str">
        <f>TEXT(Table1[[#This Row],[Closing Date]],"mmmm")</f>
        <v>February</v>
      </c>
      <c r="S18" s="49" t="s">
        <v>368</v>
      </c>
      <c r="T18" s="49" t="s">
        <v>429</v>
      </c>
    </row>
    <row r="19" spans="1:20" x14ac:dyDescent="0.25">
      <c r="A19" t="s">
        <v>335</v>
      </c>
      <c r="B19" t="s">
        <v>432</v>
      </c>
      <c r="C19" t="s">
        <v>51</v>
      </c>
      <c r="D19" t="s">
        <v>38</v>
      </c>
      <c r="E19" s="49"/>
      <c r="F19" s="60">
        <v>44980</v>
      </c>
      <c r="G19" t="s">
        <v>130</v>
      </c>
      <c r="H19">
        <v>8</v>
      </c>
      <c r="I19" s="49">
        <v>1598000</v>
      </c>
      <c r="K19" s="115">
        <v>1595964.8</v>
      </c>
      <c r="L19" s="49">
        <v>3995</v>
      </c>
      <c r="M19" s="49">
        <v>3989.9120000000003</v>
      </c>
      <c r="N19" s="49">
        <v>-2035.1999999999534</v>
      </c>
      <c r="O19" s="47">
        <v>-1.2735919899874188E-3</v>
      </c>
      <c r="P19" s="72">
        <f t="shared" si="0"/>
        <v>25283.009999999984</v>
      </c>
      <c r="Q19" s="49" t="str">
        <f>TEXT(Table1[[#This Row],[Closing Date]],"yyyy")</f>
        <v>2023</v>
      </c>
      <c r="R19" s="49" t="str">
        <f>TEXT(Table1[[#This Row],[Closing Date]],"mmmm")</f>
        <v>February</v>
      </c>
      <c r="S19" s="49" t="s">
        <v>368</v>
      </c>
      <c r="T19" s="49" t="s">
        <v>429</v>
      </c>
    </row>
    <row r="20" spans="1:20" x14ac:dyDescent="0.25">
      <c r="A20" t="s">
        <v>335</v>
      </c>
      <c r="B20" t="s">
        <v>432</v>
      </c>
      <c r="C20" t="s">
        <v>51</v>
      </c>
      <c r="D20" t="s">
        <v>38</v>
      </c>
      <c r="E20" s="49"/>
      <c r="F20" s="60">
        <v>44981</v>
      </c>
      <c r="G20" t="s">
        <v>130</v>
      </c>
      <c r="H20">
        <v>8</v>
      </c>
      <c r="I20" s="49">
        <v>1584900</v>
      </c>
      <c r="K20" s="115">
        <v>1582464.8</v>
      </c>
      <c r="L20" s="49">
        <v>3962.25</v>
      </c>
      <c r="M20" s="49">
        <v>3956.1620000000003</v>
      </c>
      <c r="N20" s="49">
        <v>-2435.1999999999534</v>
      </c>
      <c r="O20" s="47">
        <v>-1.5365007255977634E-3</v>
      </c>
      <c r="P20" s="72">
        <f t="shared" si="0"/>
        <v>22847.81000000003</v>
      </c>
      <c r="Q20" s="49" t="str">
        <f>TEXT(Table1[[#This Row],[Closing Date]],"yyyy")</f>
        <v>2023</v>
      </c>
      <c r="R20" s="49" t="str">
        <f>TEXT(Table1[[#This Row],[Closing Date]],"mmmm")</f>
        <v>February</v>
      </c>
      <c r="S20" s="49" t="s">
        <v>368</v>
      </c>
      <c r="T20" s="49" t="s">
        <v>429</v>
      </c>
    </row>
    <row r="21" spans="1:20" x14ac:dyDescent="0.25">
      <c r="A21" t="s">
        <v>335</v>
      </c>
      <c r="B21" t="s">
        <v>432</v>
      </c>
      <c r="C21" t="s">
        <v>51</v>
      </c>
      <c r="D21" t="s">
        <v>36</v>
      </c>
      <c r="E21" s="49"/>
      <c r="F21" s="60">
        <v>44981</v>
      </c>
      <c r="G21" t="s">
        <v>130</v>
      </c>
      <c r="H21">
        <v>4</v>
      </c>
      <c r="I21" s="49">
        <v>795693.3</v>
      </c>
      <c r="K21" s="115">
        <v>793991.2</v>
      </c>
      <c r="L21" s="49">
        <v>3978.4665000000005</v>
      </c>
      <c r="M21" s="49">
        <v>3969.9559999999997</v>
      </c>
      <c r="N21" s="49">
        <v>-1702.1000000000931</v>
      </c>
      <c r="O21" s="47">
        <v>-2.1391407970887209E-3</v>
      </c>
      <c r="P21" s="72">
        <f t="shared" si="0"/>
        <v>21145.709999999937</v>
      </c>
      <c r="Q21" s="49" t="str">
        <f>TEXT(Table1[[#This Row],[Closing Date]],"yyyy")</f>
        <v>2023</v>
      </c>
      <c r="R21" s="49" t="str">
        <f>TEXT(Table1[[#This Row],[Closing Date]],"mmmm")</f>
        <v>February</v>
      </c>
      <c r="S21" s="49" t="s">
        <v>368</v>
      </c>
      <c r="T21" s="49" t="s">
        <v>429</v>
      </c>
    </row>
    <row r="22" spans="1:20" x14ac:dyDescent="0.25">
      <c r="A22" t="s">
        <v>335</v>
      </c>
      <c r="B22" t="s">
        <v>432</v>
      </c>
      <c r="C22" t="s">
        <v>51</v>
      </c>
      <c r="D22" t="s">
        <v>38</v>
      </c>
      <c r="E22" s="49"/>
      <c r="F22" s="60">
        <v>44981</v>
      </c>
      <c r="G22" t="s">
        <v>130</v>
      </c>
      <c r="H22">
        <v>10</v>
      </c>
      <c r="I22" s="49">
        <v>1974647</v>
      </c>
      <c r="K22" s="115">
        <v>1979603</v>
      </c>
      <c r="L22" s="49">
        <v>3949.2940000000003</v>
      </c>
      <c r="M22" s="49">
        <v>3959.2059999999997</v>
      </c>
      <c r="N22" s="49">
        <v>4956</v>
      </c>
      <c r="O22" s="47">
        <v>2.5098156784476799E-3</v>
      </c>
      <c r="P22" s="72">
        <f t="shared" si="0"/>
        <v>26101.709999999937</v>
      </c>
      <c r="Q22" s="49" t="str">
        <f>TEXT(Table1[[#This Row],[Closing Date]],"yyyy")</f>
        <v>2023</v>
      </c>
      <c r="R22" s="49" t="str">
        <f>TEXT(Table1[[#This Row],[Closing Date]],"mmmm")</f>
        <v>February</v>
      </c>
      <c r="S22" s="49" t="s">
        <v>368</v>
      </c>
      <c r="T22" s="49" t="s">
        <v>429</v>
      </c>
    </row>
    <row r="23" spans="1:20" x14ac:dyDescent="0.25">
      <c r="A23" t="s">
        <v>335</v>
      </c>
      <c r="B23" t="s">
        <v>432</v>
      </c>
      <c r="C23" t="s">
        <v>51</v>
      </c>
      <c r="D23" t="s">
        <v>36</v>
      </c>
      <c r="E23" s="49"/>
      <c r="F23" s="60">
        <v>44984</v>
      </c>
      <c r="G23" t="s">
        <v>130</v>
      </c>
      <c r="H23">
        <v>4</v>
      </c>
      <c r="I23" s="49">
        <v>804908.8</v>
      </c>
      <c r="K23" s="115">
        <v>802891.2</v>
      </c>
      <c r="L23" s="49">
        <v>4024.5440000000003</v>
      </c>
      <c r="M23" s="49">
        <v>4014.4559999999997</v>
      </c>
      <c r="N23" s="49">
        <v>-2017.6000000000931</v>
      </c>
      <c r="O23" s="47">
        <v>-2.5066193834632315E-3</v>
      </c>
      <c r="P23" s="72">
        <f t="shared" si="0"/>
        <v>24084.109999999844</v>
      </c>
      <c r="Q23" s="49" t="str">
        <f>TEXT(Table1[[#This Row],[Closing Date]],"yyyy")</f>
        <v>2023</v>
      </c>
      <c r="R23" s="49" t="str">
        <f>TEXT(Table1[[#This Row],[Closing Date]],"mmmm")</f>
        <v>February</v>
      </c>
      <c r="S23" s="49" t="s">
        <v>368</v>
      </c>
      <c r="T23" s="49" t="s">
        <v>429</v>
      </c>
    </row>
    <row r="24" spans="1:20" x14ac:dyDescent="0.25">
      <c r="A24" t="s">
        <v>335</v>
      </c>
      <c r="B24" t="s">
        <v>432</v>
      </c>
      <c r="C24" t="s">
        <v>51</v>
      </c>
      <c r="D24" t="s">
        <v>36</v>
      </c>
      <c r="E24" s="49"/>
      <c r="F24" s="60">
        <v>44984</v>
      </c>
      <c r="G24" t="s">
        <v>130</v>
      </c>
      <c r="H24">
        <v>3</v>
      </c>
      <c r="I24" s="49">
        <v>600531.6</v>
      </c>
      <c r="K24" s="115">
        <v>600180.9</v>
      </c>
      <c r="L24" s="49">
        <v>4003.5439999999999</v>
      </c>
      <c r="M24" s="49">
        <v>4001.2060000000001</v>
      </c>
      <c r="N24" s="49">
        <v>-350.69999999995343</v>
      </c>
      <c r="O24" s="47">
        <v>-5.8398259142393297E-4</v>
      </c>
      <c r="P24" s="72">
        <f t="shared" si="0"/>
        <v>23733.409999999891</v>
      </c>
      <c r="Q24" s="49" t="str">
        <f>TEXT(Table1[[#This Row],[Closing Date]],"yyyy")</f>
        <v>2023</v>
      </c>
      <c r="R24" s="49" t="str">
        <f>TEXT(Table1[[#This Row],[Closing Date]],"mmmm")</f>
        <v>February</v>
      </c>
      <c r="S24" s="49" t="s">
        <v>368</v>
      </c>
      <c r="T24" s="49" t="s">
        <v>429</v>
      </c>
    </row>
    <row r="25" spans="1:20" x14ac:dyDescent="0.25">
      <c r="A25" t="s">
        <v>335</v>
      </c>
      <c r="B25" t="s">
        <v>432</v>
      </c>
      <c r="C25" t="s">
        <v>51</v>
      </c>
      <c r="D25" t="s">
        <v>36</v>
      </c>
      <c r="E25" s="49"/>
      <c r="F25" s="60">
        <v>44984</v>
      </c>
      <c r="G25" t="s">
        <v>130</v>
      </c>
      <c r="H25">
        <v>10</v>
      </c>
      <c r="I25" s="49">
        <v>1999022</v>
      </c>
      <c r="K25" s="115">
        <v>2011353</v>
      </c>
      <c r="L25" s="49">
        <v>3998.0440000000003</v>
      </c>
      <c r="M25" s="49">
        <v>4022.7059999999997</v>
      </c>
      <c r="N25" s="49">
        <v>12331</v>
      </c>
      <c r="O25" s="47">
        <v>6.1685164045216486E-3</v>
      </c>
      <c r="P25" s="72">
        <f t="shared" si="0"/>
        <v>36064.409999999887</v>
      </c>
      <c r="Q25" s="49" t="str">
        <f>TEXT(Table1[[#This Row],[Closing Date]],"yyyy")</f>
        <v>2023</v>
      </c>
      <c r="R25" s="49" t="str">
        <f>TEXT(Table1[[#This Row],[Closing Date]],"mmmm")</f>
        <v>February</v>
      </c>
      <c r="S25" s="49" t="s">
        <v>368</v>
      </c>
      <c r="T25" s="49" t="s">
        <v>429</v>
      </c>
    </row>
    <row r="26" spans="1:20" x14ac:dyDescent="0.25">
      <c r="A26" t="s">
        <v>335</v>
      </c>
      <c r="B26" t="s">
        <v>432</v>
      </c>
      <c r="C26" t="s">
        <v>51</v>
      </c>
      <c r="D26" t="s">
        <v>36</v>
      </c>
      <c r="E26" s="49"/>
      <c r="F26" s="60">
        <v>44985</v>
      </c>
      <c r="G26" t="s">
        <v>130</v>
      </c>
      <c r="H26">
        <v>4</v>
      </c>
      <c r="I26" s="49">
        <v>798108.8</v>
      </c>
      <c r="K26" s="115">
        <v>799491.2</v>
      </c>
      <c r="L26" s="49">
        <v>3990.5440000000003</v>
      </c>
      <c r="M26" s="49">
        <v>3997.4559999999997</v>
      </c>
      <c r="N26" s="49">
        <v>1382.3999999999069</v>
      </c>
      <c r="O26" s="47">
        <v>1.7320946718039827E-3</v>
      </c>
      <c r="P26" s="72">
        <f t="shared" si="0"/>
        <v>37446.809999999794</v>
      </c>
      <c r="Q26" s="49" t="str">
        <f>TEXT(Table1[[#This Row],[Closing Date]],"yyyy")</f>
        <v>2023</v>
      </c>
      <c r="R26" s="49" t="str">
        <f>TEXT(Table1[[#This Row],[Closing Date]],"mmmm")</f>
        <v>February</v>
      </c>
      <c r="S26" s="49" t="s">
        <v>368</v>
      </c>
      <c r="T26" s="49" t="s">
        <v>429</v>
      </c>
    </row>
    <row r="27" spans="1:20" x14ac:dyDescent="0.25">
      <c r="A27" t="s">
        <v>335</v>
      </c>
      <c r="B27" t="s">
        <v>432</v>
      </c>
      <c r="C27" t="s">
        <v>51</v>
      </c>
      <c r="D27" t="s">
        <v>38</v>
      </c>
      <c r="E27" s="49"/>
      <c r="F27" s="60">
        <v>44986</v>
      </c>
      <c r="G27" t="s">
        <v>263</v>
      </c>
      <c r="H27">
        <v>100</v>
      </c>
      <c r="I27" s="49">
        <v>1976562</v>
      </c>
      <c r="K27" s="115">
        <v>1980438</v>
      </c>
      <c r="L27" s="49">
        <v>3953.1240000000003</v>
      </c>
      <c r="M27" s="49">
        <v>3960.8759999999997</v>
      </c>
      <c r="N27" s="49">
        <v>3876</v>
      </c>
      <c r="O27" s="47">
        <v>1.9609807332123903E-3</v>
      </c>
      <c r="P27" s="72">
        <f t="shared" si="0"/>
        <v>41322.809999999794</v>
      </c>
      <c r="Q27" s="49" t="str">
        <f>TEXT(Table1[[#This Row],[Closing Date]],"yyyy")</f>
        <v>2023</v>
      </c>
      <c r="R27" s="49" t="str">
        <f>TEXT(Table1[[#This Row],[Closing Date]],"mmmm")</f>
        <v>March</v>
      </c>
      <c r="S27" s="49" t="s">
        <v>368</v>
      </c>
      <c r="T27" s="49" t="s">
        <v>429</v>
      </c>
    </row>
    <row r="28" spans="1:20" x14ac:dyDescent="0.25">
      <c r="A28" t="s">
        <v>335</v>
      </c>
      <c r="B28" t="s">
        <v>432</v>
      </c>
      <c r="C28" t="s">
        <v>51</v>
      </c>
      <c r="D28" t="s">
        <v>38</v>
      </c>
      <c r="E28" s="49"/>
      <c r="F28" s="60">
        <v>44986</v>
      </c>
      <c r="G28" t="s">
        <v>263</v>
      </c>
      <c r="H28">
        <v>133</v>
      </c>
      <c r="I28" s="49">
        <v>2623507.46</v>
      </c>
      <c r="K28" s="115">
        <v>2641962.54</v>
      </c>
      <c r="L28" s="49">
        <v>3945.1239999999998</v>
      </c>
      <c r="M28" s="49">
        <v>3972.8760000000002</v>
      </c>
      <c r="N28" s="49">
        <v>18455.080000000075</v>
      </c>
      <c r="O28" s="47">
        <v>7.0345063932085302E-3</v>
      </c>
      <c r="P28" s="72">
        <f t="shared" si="0"/>
        <v>59777.889999999868</v>
      </c>
      <c r="Q28" s="49" t="str">
        <f>TEXT(Table1[[#This Row],[Closing Date]],"yyyy")</f>
        <v>2023</v>
      </c>
      <c r="R28" s="49" t="str">
        <f>TEXT(Table1[[#This Row],[Closing Date]],"mmmm")</f>
        <v>March</v>
      </c>
      <c r="S28" s="49" t="s">
        <v>368</v>
      </c>
      <c r="T28" s="49" t="s">
        <v>429</v>
      </c>
    </row>
    <row r="29" spans="1:20" x14ac:dyDescent="0.25">
      <c r="A29" t="s">
        <v>335</v>
      </c>
      <c r="B29" t="s">
        <v>432</v>
      </c>
      <c r="C29" t="s">
        <v>51</v>
      </c>
      <c r="D29" t="s">
        <v>36</v>
      </c>
      <c r="E29" s="49"/>
      <c r="F29" s="60">
        <v>44987</v>
      </c>
      <c r="G29" t="s">
        <v>130</v>
      </c>
      <c r="H29">
        <v>15</v>
      </c>
      <c r="I29" s="49">
        <v>2982033</v>
      </c>
      <c r="K29" s="115">
        <v>2975967</v>
      </c>
      <c r="L29" s="49">
        <v>3976.0440000000003</v>
      </c>
      <c r="M29" s="49">
        <v>3967.9559999999997</v>
      </c>
      <c r="N29" s="49">
        <v>-6066</v>
      </c>
      <c r="O29" s="47">
        <v>-2.034182720312111E-3</v>
      </c>
      <c r="P29" s="72">
        <f t="shared" si="0"/>
        <v>53711.889999999868</v>
      </c>
      <c r="Q29" s="49" t="str">
        <f>TEXT(Table1[[#This Row],[Closing Date]],"yyyy")</f>
        <v>2023</v>
      </c>
      <c r="R29" s="49" t="str">
        <f>TEXT(Table1[[#This Row],[Closing Date]],"mmmm")</f>
        <v>March</v>
      </c>
      <c r="S29" s="49" t="s">
        <v>368</v>
      </c>
      <c r="T29" s="49" t="s">
        <v>429</v>
      </c>
    </row>
    <row r="30" spans="1:20" x14ac:dyDescent="0.25">
      <c r="A30" t="s">
        <v>335</v>
      </c>
      <c r="B30" t="s">
        <v>432</v>
      </c>
      <c r="C30" t="s">
        <v>51</v>
      </c>
      <c r="D30" t="s">
        <v>36</v>
      </c>
      <c r="E30" s="49"/>
      <c r="F30" s="60">
        <v>44987</v>
      </c>
      <c r="G30" t="s">
        <v>130</v>
      </c>
      <c r="H30">
        <v>12</v>
      </c>
      <c r="I30" s="49">
        <v>2394626.4</v>
      </c>
      <c r="K30" s="115">
        <v>2388723.6</v>
      </c>
      <c r="L30" s="49">
        <v>3991.0439999999999</v>
      </c>
      <c r="M30" s="49">
        <v>3981.2060000000001</v>
      </c>
      <c r="N30" s="49">
        <v>-5902.7999999998137</v>
      </c>
      <c r="O30" s="47">
        <v>-2.4650191779393409E-3</v>
      </c>
      <c r="P30" s="72">
        <f t="shared" si="0"/>
        <v>47809.090000000055</v>
      </c>
      <c r="Q30" s="49" t="str">
        <f>TEXT(Table1[[#This Row],[Closing Date]],"yyyy")</f>
        <v>2023</v>
      </c>
      <c r="R30" s="49" t="str">
        <f>TEXT(Table1[[#This Row],[Closing Date]],"mmmm")</f>
        <v>March</v>
      </c>
      <c r="S30" s="49" t="s">
        <v>368</v>
      </c>
      <c r="T30" s="49" t="s">
        <v>429</v>
      </c>
    </row>
    <row r="31" spans="1:20" x14ac:dyDescent="0.25">
      <c r="A31" t="s">
        <v>335</v>
      </c>
      <c r="B31" t="s">
        <v>432</v>
      </c>
      <c r="C31" t="s">
        <v>51</v>
      </c>
      <c r="D31" t="s">
        <v>36</v>
      </c>
      <c r="E31" s="49"/>
      <c r="F31" s="60">
        <v>44988</v>
      </c>
      <c r="G31" t="s">
        <v>130</v>
      </c>
      <c r="H31">
        <v>25</v>
      </c>
      <c r="I31" s="49">
        <v>5020055</v>
      </c>
      <c r="K31" s="115">
        <v>5015945</v>
      </c>
      <c r="L31" s="49">
        <v>4016.0440000000003</v>
      </c>
      <c r="M31" s="49">
        <v>4012.7559999999999</v>
      </c>
      <c r="N31" s="49">
        <v>-4110</v>
      </c>
      <c r="O31" s="47">
        <v>-8.1871612960427364E-4</v>
      </c>
      <c r="P31" s="72">
        <f t="shared" si="0"/>
        <v>43699.090000000055</v>
      </c>
      <c r="Q31" s="49" t="str">
        <f>TEXT(Table1[[#This Row],[Closing Date]],"yyyy")</f>
        <v>2023</v>
      </c>
      <c r="R31" s="49" t="str">
        <f>TEXT(Table1[[#This Row],[Closing Date]],"mmmm")</f>
        <v>March</v>
      </c>
      <c r="S31" s="49" t="s">
        <v>368</v>
      </c>
      <c r="T31" s="49" t="s">
        <v>429</v>
      </c>
    </row>
    <row r="32" spans="1:20" x14ac:dyDescent="0.25">
      <c r="A32" t="s">
        <v>335</v>
      </c>
      <c r="B32" t="s">
        <v>432</v>
      </c>
      <c r="C32" t="s">
        <v>51</v>
      </c>
      <c r="D32" t="s">
        <v>36</v>
      </c>
      <c r="E32" s="49"/>
      <c r="F32" s="60">
        <v>44988</v>
      </c>
      <c r="G32" t="s">
        <v>130</v>
      </c>
      <c r="H32">
        <v>10</v>
      </c>
      <c r="I32" s="49">
        <v>2000772</v>
      </c>
      <c r="K32" s="115">
        <v>1996728</v>
      </c>
      <c r="L32" s="49">
        <v>4001.5440000000003</v>
      </c>
      <c r="M32" s="49">
        <v>3993.4559999999997</v>
      </c>
      <c r="N32" s="49">
        <v>-4044</v>
      </c>
      <c r="O32" s="47">
        <v>-2.0212198091538285E-3</v>
      </c>
      <c r="P32" s="72">
        <f t="shared" si="0"/>
        <v>39655.090000000055</v>
      </c>
      <c r="Q32" s="49" t="str">
        <f>TEXT(Table1[[#This Row],[Closing Date]],"yyyy")</f>
        <v>2023</v>
      </c>
      <c r="R32" s="49" t="str">
        <f>TEXT(Table1[[#This Row],[Closing Date]],"mmmm")</f>
        <v>March</v>
      </c>
      <c r="S32" s="49" t="s">
        <v>368</v>
      </c>
      <c r="T32" s="49" t="s">
        <v>429</v>
      </c>
    </row>
    <row r="33" spans="1:20" x14ac:dyDescent="0.25">
      <c r="A33" t="s">
        <v>335</v>
      </c>
      <c r="B33" t="s">
        <v>432</v>
      </c>
      <c r="C33" t="s">
        <v>51</v>
      </c>
      <c r="D33" t="s">
        <v>36</v>
      </c>
      <c r="E33" s="49"/>
      <c r="F33" s="60">
        <v>44988</v>
      </c>
      <c r="G33" t="s">
        <v>130</v>
      </c>
      <c r="H33">
        <v>8</v>
      </c>
      <c r="I33" s="49">
        <v>1599317.6</v>
      </c>
      <c r="K33" s="115">
        <v>1595282.4</v>
      </c>
      <c r="L33" s="49">
        <v>3998.2940000000003</v>
      </c>
      <c r="M33" s="49">
        <v>3988.2059999999997</v>
      </c>
      <c r="N33" s="49">
        <v>-4035.2000000001863</v>
      </c>
      <c r="O33" s="47">
        <v>-2.5230760919533798E-3</v>
      </c>
      <c r="P33" s="72">
        <f t="shared" si="0"/>
        <v>35619.889999999868</v>
      </c>
      <c r="Q33" s="49" t="str">
        <f>TEXT(Table1[[#This Row],[Closing Date]],"yyyy")</f>
        <v>2023</v>
      </c>
      <c r="R33" s="49" t="str">
        <f>TEXT(Table1[[#This Row],[Closing Date]],"mmmm")</f>
        <v>March</v>
      </c>
      <c r="S33" s="49" t="s">
        <v>368</v>
      </c>
      <c r="T33" s="49" t="s">
        <v>429</v>
      </c>
    </row>
    <row r="34" spans="1:20" x14ac:dyDescent="0.25">
      <c r="A34" t="s">
        <v>335</v>
      </c>
      <c r="B34" t="s">
        <v>432</v>
      </c>
      <c r="C34" t="s">
        <v>51</v>
      </c>
      <c r="D34" t="s">
        <v>36</v>
      </c>
      <c r="E34" s="49"/>
      <c r="F34" s="60">
        <v>44991</v>
      </c>
      <c r="G34" t="s">
        <v>130</v>
      </c>
      <c r="H34">
        <v>10</v>
      </c>
      <c r="I34" s="49">
        <v>2035897</v>
      </c>
      <c r="K34" s="115">
        <v>2031978</v>
      </c>
      <c r="L34" s="49">
        <v>4071.7940000000003</v>
      </c>
      <c r="M34" s="49">
        <v>4063.9559999999997</v>
      </c>
      <c r="N34" s="49">
        <v>-3919</v>
      </c>
      <c r="O34" s="47">
        <v>-1.9249500343093602E-3</v>
      </c>
      <c r="P34" s="72">
        <f t="shared" si="0"/>
        <v>31700.889999999868</v>
      </c>
      <c r="Q34" s="49" t="str">
        <f>TEXT(Table1[[#This Row],[Closing Date]],"yyyy")</f>
        <v>2023</v>
      </c>
      <c r="R34" s="49" t="str">
        <f>TEXT(Table1[[#This Row],[Closing Date]],"mmmm")</f>
        <v>March</v>
      </c>
      <c r="S34" s="49" t="s">
        <v>368</v>
      </c>
      <c r="T34" s="49" t="s">
        <v>429</v>
      </c>
    </row>
    <row r="35" spans="1:20" x14ac:dyDescent="0.25">
      <c r="A35" t="s">
        <v>335</v>
      </c>
      <c r="B35" t="s">
        <v>432</v>
      </c>
      <c r="C35" t="s">
        <v>51</v>
      </c>
      <c r="D35" t="s">
        <v>38</v>
      </c>
      <c r="E35" s="49"/>
      <c r="F35" s="60">
        <v>44992</v>
      </c>
      <c r="G35" t="s">
        <v>130</v>
      </c>
      <c r="H35">
        <v>8</v>
      </c>
      <c r="I35" s="49">
        <v>1620017.6</v>
      </c>
      <c r="K35" s="115">
        <v>1617782.4</v>
      </c>
      <c r="L35" s="49">
        <v>4050.0440000000003</v>
      </c>
      <c r="M35" s="49">
        <v>4044.4559999999997</v>
      </c>
      <c r="N35" s="49">
        <v>-2235.2000000001863</v>
      </c>
      <c r="O35" s="47">
        <v>-1.3797380966726897E-3</v>
      </c>
      <c r="P35" s="72">
        <f t="shared" si="0"/>
        <v>29465.689999999682</v>
      </c>
      <c r="Q35" s="49" t="str">
        <f>TEXT(Table1[[#This Row],[Closing Date]],"yyyy")</f>
        <v>2023</v>
      </c>
      <c r="R35" s="49" t="str">
        <f>TEXT(Table1[[#This Row],[Closing Date]],"mmmm")</f>
        <v>March</v>
      </c>
      <c r="S35" s="49" t="s">
        <v>368</v>
      </c>
      <c r="T35" s="49" t="s">
        <v>429</v>
      </c>
    </row>
    <row r="36" spans="1:20" x14ac:dyDescent="0.25">
      <c r="A36" t="s">
        <v>335</v>
      </c>
      <c r="B36" t="s">
        <v>432</v>
      </c>
      <c r="C36" t="s">
        <v>51</v>
      </c>
      <c r="D36" t="s">
        <v>38</v>
      </c>
      <c r="E36" s="49"/>
      <c r="F36" s="60">
        <v>44992</v>
      </c>
      <c r="G36" t="s">
        <v>130</v>
      </c>
      <c r="H36">
        <v>4</v>
      </c>
      <c r="I36" s="49">
        <v>800558.8</v>
      </c>
      <c r="K36" s="115">
        <v>798691.2</v>
      </c>
      <c r="L36" s="49">
        <v>4002.7940000000003</v>
      </c>
      <c r="M36" s="49">
        <v>3993.4559999999997</v>
      </c>
      <c r="N36" s="49">
        <v>-1867.6000000000931</v>
      </c>
      <c r="O36" s="47">
        <v>-2.3328704899629226E-3</v>
      </c>
      <c r="P36" s="72">
        <f t="shared" si="0"/>
        <v>27598.089999999589</v>
      </c>
      <c r="Q36" s="49" t="str">
        <f>TEXT(Table1[[#This Row],[Closing Date]],"yyyy")</f>
        <v>2023</v>
      </c>
      <c r="R36" s="49" t="str">
        <f>TEXT(Table1[[#This Row],[Closing Date]],"mmmm")</f>
        <v>March</v>
      </c>
      <c r="S36" s="49" t="s">
        <v>368</v>
      </c>
      <c r="T36" s="49" t="s">
        <v>429</v>
      </c>
    </row>
    <row r="37" spans="1:20" x14ac:dyDescent="0.25">
      <c r="A37" t="s">
        <v>335</v>
      </c>
      <c r="B37" t="s">
        <v>432</v>
      </c>
      <c r="C37" t="s">
        <v>51</v>
      </c>
      <c r="D37" t="s">
        <v>36</v>
      </c>
      <c r="E37" s="49"/>
      <c r="F37" s="60">
        <v>44992</v>
      </c>
      <c r="G37" t="s">
        <v>130</v>
      </c>
      <c r="H37">
        <v>8</v>
      </c>
      <c r="I37" s="49">
        <v>1598617.6000000001</v>
      </c>
      <c r="K37" s="115">
        <v>1597982.4</v>
      </c>
      <c r="L37" s="49">
        <v>3996.5440000000003</v>
      </c>
      <c r="M37" s="49">
        <v>3994.9559999999997</v>
      </c>
      <c r="N37" s="49">
        <v>-635.20000000018626</v>
      </c>
      <c r="O37" s="47">
        <v>-3.9734330461534953E-4</v>
      </c>
      <c r="P37" s="72">
        <f t="shared" si="0"/>
        <v>26962.889999999403</v>
      </c>
      <c r="Q37" s="49" t="str">
        <f>TEXT(Table1[[#This Row],[Closing Date]],"yyyy")</f>
        <v>2023</v>
      </c>
      <c r="R37" s="49" t="str">
        <f>TEXT(Table1[[#This Row],[Closing Date]],"mmmm")</f>
        <v>March</v>
      </c>
      <c r="S37" s="49" t="s">
        <v>368</v>
      </c>
      <c r="T37" s="49" t="s">
        <v>429</v>
      </c>
    </row>
    <row r="38" spans="1:20" x14ac:dyDescent="0.25">
      <c r="A38" t="s">
        <v>276</v>
      </c>
      <c r="B38" t="s">
        <v>430</v>
      </c>
      <c r="C38" t="s">
        <v>149</v>
      </c>
      <c r="D38" t="s">
        <v>38</v>
      </c>
      <c r="E38" s="49"/>
      <c r="F38" s="60">
        <v>44993</v>
      </c>
      <c r="G38" t="s">
        <v>153</v>
      </c>
      <c r="H38">
        <v>60</v>
      </c>
      <c r="I38" s="49">
        <v>6391.94</v>
      </c>
      <c r="J38" s="106">
        <v>100</v>
      </c>
      <c r="K38" s="115">
        <v>3302.88</v>
      </c>
      <c r="L38" s="49">
        <v>1.0653233333333332</v>
      </c>
      <c r="M38" s="49">
        <v>0.55047999999999997</v>
      </c>
      <c r="N38" s="49">
        <v>-3089.0599999999995</v>
      </c>
      <c r="O38" s="47">
        <v>-0.48327424850671308</v>
      </c>
      <c r="P38" s="72">
        <f t="shared" si="0"/>
        <v>23873.829999999405</v>
      </c>
      <c r="Q38" s="49" t="str">
        <f>TEXT(Table1[[#This Row],[Closing Date]],"yyyy")</f>
        <v>2023</v>
      </c>
      <c r="R38" s="49" t="str">
        <f>TEXT(Table1[[#This Row],[Closing Date]],"mmmm")</f>
        <v>March</v>
      </c>
      <c r="S38" s="49" t="s">
        <v>368</v>
      </c>
      <c r="T38" s="49" t="s">
        <v>429</v>
      </c>
    </row>
    <row r="39" spans="1:20" x14ac:dyDescent="0.25">
      <c r="A39" t="s">
        <v>335</v>
      </c>
      <c r="B39" t="s">
        <v>432</v>
      </c>
      <c r="C39" t="s">
        <v>51</v>
      </c>
      <c r="D39" t="s">
        <v>38</v>
      </c>
      <c r="E39" s="49"/>
      <c r="F39" s="60">
        <v>44993</v>
      </c>
      <c r="G39" t="s">
        <v>263</v>
      </c>
      <c r="H39">
        <v>50</v>
      </c>
      <c r="I39" s="49">
        <v>995253.5</v>
      </c>
      <c r="K39" s="115">
        <v>996594</v>
      </c>
      <c r="L39" s="49">
        <v>3981.0140000000001</v>
      </c>
      <c r="M39" s="49">
        <v>3986.3759999999997</v>
      </c>
      <c r="N39" s="49">
        <v>1340.5</v>
      </c>
      <c r="O39" s="47">
        <v>1.3468930277561509E-3</v>
      </c>
      <c r="P39" s="72">
        <f t="shared" si="0"/>
        <v>25214.329999999405</v>
      </c>
      <c r="Q39" s="49" t="str">
        <f>TEXT(Table1[[#This Row],[Closing Date]],"yyyy")</f>
        <v>2023</v>
      </c>
      <c r="R39" s="49" t="str">
        <f>TEXT(Table1[[#This Row],[Closing Date]],"mmmm")</f>
        <v>March</v>
      </c>
      <c r="S39" s="49" t="s">
        <v>368</v>
      </c>
      <c r="T39" s="49" t="s">
        <v>429</v>
      </c>
    </row>
    <row r="40" spans="1:20" x14ac:dyDescent="0.25">
      <c r="A40" t="s">
        <v>335</v>
      </c>
      <c r="B40" t="s">
        <v>432</v>
      </c>
      <c r="C40" t="s">
        <v>51</v>
      </c>
      <c r="D40" t="s">
        <v>38</v>
      </c>
      <c r="E40" s="49"/>
      <c r="F40" s="60">
        <v>44994</v>
      </c>
      <c r="G40" t="s">
        <v>130</v>
      </c>
      <c r="H40">
        <v>5</v>
      </c>
      <c r="I40" s="49">
        <v>987323.5</v>
      </c>
      <c r="K40" s="115">
        <v>986676.5</v>
      </c>
      <c r="L40" s="49">
        <v>3949.2940000000003</v>
      </c>
      <c r="M40" s="49">
        <v>3946.7059999999997</v>
      </c>
      <c r="N40" s="49">
        <v>-647</v>
      </c>
      <c r="O40" s="47">
        <v>-6.5530699917520636E-4</v>
      </c>
      <c r="P40" s="72">
        <f t="shared" si="0"/>
        <v>24567.329999999405</v>
      </c>
      <c r="Q40" s="49" t="str">
        <f>TEXT(Table1[[#This Row],[Closing Date]],"yyyy")</f>
        <v>2023</v>
      </c>
      <c r="R40" s="49" t="str">
        <f>TEXT(Table1[[#This Row],[Closing Date]],"mmmm")</f>
        <v>March</v>
      </c>
      <c r="S40" s="49" t="s">
        <v>368</v>
      </c>
      <c r="T40" s="49" t="s">
        <v>429</v>
      </c>
    </row>
    <row r="41" spans="1:20" x14ac:dyDescent="0.25">
      <c r="A41" t="s">
        <v>335</v>
      </c>
      <c r="B41" t="s">
        <v>432</v>
      </c>
      <c r="C41" t="s">
        <v>51</v>
      </c>
      <c r="D41" t="s">
        <v>36</v>
      </c>
      <c r="E41" s="49"/>
      <c r="F41" s="60">
        <v>44994</v>
      </c>
      <c r="G41" t="s">
        <v>130</v>
      </c>
      <c r="H41">
        <v>15</v>
      </c>
      <c r="I41" s="49">
        <v>2987908</v>
      </c>
      <c r="K41" s="115">
        <v>3009342</v>
      </c>
      <c r="L41" s="49">
        <v>3983.8773333333334</v>
      </c>
      <c r="M41" s="49">
        <v>4012.4559999999997</v>
      </c>
      <c r="N41" s="49">
        <v>21434</v>
      </c>
      <c r="O41" s="47">
        <v>7.1735809804049323E-3</v>
      </c>
      <c r="P41" s="72">
        <f t="shared" si="0"/>
        <v>46001.329999999405</v>
      </c>
      <c r="Q41" s="49" t="str">
        <f>TEXT(Table1[[#This Row],[Closing Date]],"yyyy")</f>
        <v>2023</v>
      </c>
      <c r="R41" s="49" t="str">
        <f>TEXT(Table1[[#This Row],[Closing Date]],"mmmm")</f>
        <v>March</v>
      </c>
      <c r="S41" s="49" t="s">
        <v>368</v>
      </c>
      <c r="T41" s="49" t="s">
        <v>429</v>
      </c>
    </row>
    <row r="42" spans="1:20" x14ac:dyDescent="0.25">
      <c r="A42" t="s">
        <v>283</v>
      </c>
      <c r="B42" t="s">
        <v>433</v>
      </c>
      <c r="C42" t="s">
        <v>56</v>
      </c>
      <c r="D42" t="s">
        <v>38</v>
      </c>
      <c r="E42" s="49"/>
      <c r="F42" s="60">
        <v>44994</v>
      </c>
      <c r="G42" t="s">
        <v>221</v>
      </c>
      <c r="H42">
        <v>333</v>
      </c>
      <c r="I42" s="49">
        <v>99733.5</v>
      </c>
      <c r="K42" s="115">
        <v>106541.85</v>
      </c>
      <c r="L42" s="49">
        <v>299.5</v>
      </c>
      <c r="M42" s="49">
        <v>319.94549549549549</v>
      </c>
      <c r="N42" s="49">
        <v>6808.3500000000058</v>
      </c>
      <c r="O42" s="47">
        <v>6.8265427363924921E-2</v>
      </c>
      <c r="P42" s="72">
        <f t="shared" si="0"/>
        <v>52809.679999999411</v>
      </c>
      <c r="Q42" s="49" t="str">
        <f>TEXT(Table1[[#This Row],[Closing Date]],"yyyy")</f>
        <v>2023</v>
      </c>
      <c r="R42" s="49" t="str">
        <f>TEXT(Table1[[#This Row],[Closing Date]],"mmmm")</f>
        <v>March</v>
      </c>
      <c r="S42" s="49" t="s">
        <v>368</v>
      </c>
      <c r="T42" s="49" t="s">
        <v>285</v>
      </c>
    </row>
    <row r="43" spans="1:20" x14ac:dyDescent="0.25">
      <c r="A43" t="s">
        <v>276</v>
      </c>
      <c r="B43" t="s">
        <v>430</v>
      </c>
      <c r="C43" t="s">
        <v>148</v>
      </c>
      <c r="D43" t="s">
        <v>38</v>
      </c>
      <c r="E43" s="49"/>
      <c r="F43" s="60">
        <v>44995</v>
      </c>
      <c r="G43" t="s">
        <v>96</v>
      </c>
      <c r="H43">
        <v>9</v>
      </c>
      <c r="I43" s="49">
        <v>3147.38</v>
      </c>
      <c r="J43" s="106">
        <v>100</v>
      </c>
      <c r="K43" s="115">
        <v>6614.1900000000005</v>
      </c>
      <c r="L43" s="49">
        <v>3.4970888888888889</v>
      </c>
      <c r="M43" s="49">
        <v>7.3491000000000009</v>
      </c>
      <c r="N43" s="49">
        <v>3466.8100000000004</v>
      </c>
      <c r="O43" s="47">
        <v>1.1014907637463542</v>
      </c>
      <c r="P43" s="72">
        <f t="shared" si="0"/>
        <v>56276.489999999409</v>
      </c>
      <c r="Q43" s="49" t="str">
        <f>TEXT(Table1[[#This Row],[Closing Date]],"yyyy")</f>
        <v>2023</v>
      </c>
      <c r="R43" s="49" t="str">
        <f>TEXT(Table1[[#This Row],[Closing Date]],"mmmm")</f>
        <v>March</v>
      </c>
      <c r="S43" s="49" t="s">
        <v>368</v>
      </c>
      <c r="T43" s="49" t="s">
        <v>429</v>
      </c>
    </row>
    <row r="44" spans="1:20" x14ac:dyDescent="0.25">
      <c r="A44" t="s">
        <v>276</v>
      </c>
      <c r="B44" t="s">
        <v>430</v>
      </c>
      <c r="C44" t="s">
        <v>149</v>
      </c>
      <c r="D44" t="s">
        <v>38</v>
      </c>
      <c r="E44" s="49"/>
      <c r="F44" s="60">
        <v>44995</v>
      </c>
      <c r="G44" t="s">
        <v>81</v>
      </c>
      <c r="H44">
        <v>150</v>
      </c>
      <c r="I44" s="49">
        <v>2278.16</v>
      </c>
      <c r="J44" s="106">
        <v>100</v>
      </c>
      <c r="K44" s="115">
        <v>5950.2300000000014</v>
      </c>
      <c r="L44" s="49">
        <v>0.15187733333333331</v>
      </c>
      <c r="M44" s="49">
        <v>0.39668200000000003</v>
      </c>
      <c r="N44" s="49">
        <v>3672.0700000000015</v>
      </c>
      <c r="O44" s="47">
        <v>1.6118578150788363</v>
      </c>
      <c r="P44" s="72">
        <f t="shared" si="0"/>
        <v>59948.559999999408</v>
      </c>
      <c r="Q44" s="49" t="str">
        <f>TEXT(Table1[[#This Row],[Closing Date]],"yyyy")</f>
        <v>2023</v>
      </c>
      <c r="R44" s="49" t="str">
        <f>TEXT(Table1[[#This Row],[Closing Date]],"mmmm")</f>
        <v>March</v>
      </c>
      <c r="S44" s="49" t="s">
        <v>368</v>
      </c>
      <c r="T44" s="49" t="s">
        <v>429</v>
      </c>
    </row>
    <row r="45" spans="1:20" x14ac:dyDescent="0.25">
      <c r="A45" t="s">
        <v>335</v>
      </c>
      <c r="B45" t="s">
        <v>432</v>
      </c>
      <c r="C45" t="s">
        <v>51</v>
      </c>
      <c r="D45" t="s">
        <v>38</v>
      </c>
      <c r="E45" s="49"/>
      <c r="F45" s="60">
        <v>44995</v>
      </c>
      <c r="G45" t="s">
        <v>130</v>
      </c>
      <c r="H45">
        <v>10</v>
      </c>
      <c r="I45" s="49">
        <v>1941522</v>
      </c>
      <c r="K45" s="115">
        <v>1945978</v>
      </c>
      <c r="L45" s="49">
        <v>3883.0440000000003</v>
      </c>
      <c r="M45" s="49">
        <v>3891.9559999999997</v>
      </c>
      <c r="N45" s="49">
        <v>4456</v>
      </c>
      <c r="O45" s="47">
        <v>2.2951066225361731E-3</v>
      </c>
      <c r="P45" s="72">
        <f t="shared" si="0"/>
        <v>64404.559999999408</v>
      </c>
      <c r="Q45" s="49" t="str">
        <f>TEXT(Table1[[#This Row],[Closing Date]],"yyyy")</f>
        <v>2023</v>
      </c>
      <c r="R45" s="49" t="str">
        <f>TEXT(Table1[[#This Row],[Closing Date]],"mmmm")</f>
        <v>March</v>
      </c>
      <c r="S45" s="49" t="s">
        <v>368</v>
      </c>
      <c r="T45" s="49" t="s">
        <v>429</v>
      </c>
    </row>
    <row r="46" spans="1:20" x14ac:dyDescent="0.25">
      <c r="A46" t="s">
        <v>335</v>
      </c>
      <c r="B46" t="s">
        <v>432</v>
      </c>
      <c r="C46" t="s">
        <v>51</v>
      </c>
      <c r="D46" t="s">
        <v>36</v>
      </c>
      <c r="E46" s="49"/>
      <c r="F46" s="60">
        <v>44998</v>
      </c>
      <c r="G46" t="s">
        <v>130</v>
      </c>
      <c r="H46">
        <v>4</v>
      </c>
      <c r="I46" s="49">
        <v>784458.8</v>
      </c>
      <c r="K46" s="115">
        <v>781891.2</v>
      </c>
      <c r="L46" s="49">
        <v>3922.2940000000003</v>
      </c>
      <c r="M46" s="49">
        <v>3909.4559999999997</v>
      </c>
      <c r="N46" s="49">
        <v>-2567.6000000000931</v>
      </c>
      <c r="O46" s="47">
        <v>-3.2730845775458561E-3</v>
      </c>
      <c r="P46" s="72">
        <f t="shared" si="0"/>
        <v>61836.959999999315</v>
      </c>
      <c r="Q46" s="49" t="str">
        <f>TEXT(Table1[[#This Row],[Closing Date]],"yyyy")</f>
        <v>2023</v>
      </c>
      <c r="R46" s="49" t="str">
        <f>TEXT(Table1[[#This Row],[Closing Date]],"mmmm")</f>
        <v>March</v>
      </c>
      <c r="S46" s="49" t="s">
        <v>368</v>
      </c>
      <c r="T46" s="49" t="s">
        <v>429</v>
      </c>
    </row>
    <row r="47" spans="1:20" x14ac:dyDescent="0.25">
      <c r="A47" t="s">
        <v>335</v>
      </c>
      <c r="B47" t="s">
        <v>432</v>
      </c>
      <c r="C47" t="s">
        <v>51</v>
      </c>
      <c r="D47" t="s">
        <v>36</v>
      </c>
      <c r="E47" s="49"/>
      <c r="F47" s="60">
        <v>44998</v>
      </c>
      <c r="G47" t="s">
        <v>130</v>
      </c>
      <c r="H47">
        <v>4</v>
      </c>
      <c r="I47" s="49">
        <v>783608.8</v>
      </c>
      <c r="K47" s="115">
        <v>781591.2</v>
      </c>
      <c r="L47" s="49">
        <v>3918.0440000000003</v>
      </c>
      <c r="M47" s="49">
        <v>3907.9559999999997</v>
      </c>
      <c r="N47" s="49">
        <v>-2017.6000000000931</v>
      </c>
      <c r="O47" s="47">
        <v>-2.5747541375238888E-3</v>
      </c>
      <c r="P47" s="72">
        <f t="shared" si="0"/>
        <v>59819.359999999222</v>
      </c>
      <c r="Q47" s="49" t="str">
        <f>TEXT(Table1[[#This Row],[Closing Date]],"yyyy")</f>
        <v>2023</v>
      </c>
      <c r="R47" s="49" t="str">
        <f>TEXT(Table1[[#This Row],[Closing Date]],"mmmm")</f>
        <v>March</v>
      </c>
      <c r="S47" s="49" t="s">
        <v>368</v>
      </c>
      <c r="T47" s="49" t="s">
        <v>429</v>
      </c>
    </row>
    <row r="48" spans="1:20" x14ac:dyDescent="0.25">
      <c r="A48" t="s">
        <v>335</v>
      </c>
      <c r="B48" t="s">
        <v>432</v>
      </c>
      <c r="C48" t="s">
        <v>51</v>
      </c>
      <c r="D48" t="s">
        <v>36</v>
      </c>
      <c r="E48" s="49"/>
      <c r="F48" s="60">
        <v>44998</v>
      </c>
      <c r="G48" t="s">
        <v>130</v>
      </c>
      <c r="H48">
        <v>4</v>
      </c>
      <c r="I48" s="49">
        <v>777883.8</v>
      </c>
      <c r="K48" s="115">
        <v>784991.2</v>
      </c>
      <c r="L48" s="49">
        <v>3889.4190000000003</v>
      </c>
      <c r="M48" s="49">
        <v>3924.9559999999997</v>
      </c>
      <c r="N48" s="49">
        <v>7107.3999999999069</v>
      </c>
      <c r="O48" s="47">
        <v>9.1368402324355762E-3</v>
      </c>
      <c r="P48" s="72">
        <f t="shared" si="0"/>
        <v>66926.759999999136</v>
      </c>
      <c r="Q48" s="49" t="str">
        <f>TEXT(Table1[[#This Row],[Closing Date]],"yyyy")</f>
        <v>2023</v>
      </c>
      <c r="R48" s="49" t="str">
        <f>TEXT(Table1[[#This Row],[Closing Date]],"mmmm")</f>
        <v>March</v>
      </c>
      <c r="S48" s="49" t="s">
        <v>368</v>
      </c>
      <c r="T48" s="49" t="s">
        <v>429</v>
      </c>
    </row>
    <row r="49" spans="1:20" x14ac:dyDescent="0.25">
      <c r="A49" t="s">
        <v>335</v>
      </c>
      <c r="B49" t="s">
        <v>432</v>
      </c>
      <c r="C49" t="s">
        <v>51</v>
      </c>
      <c r="D49" t="s">
        <v>36</v>
      </c>
      <c r="E49" s="49"/>
      <c r="F49" s="60">
        <v>44999</v>
      </c>
      <c r="G49" t="s">
        <v>130</v>
      </c>
      <c r="H49">
        <v>15</v>
      </c>
      <c r="I49" s="49">
        <v>2963845.5</v>
      </c>
      <c r="K49" s="115">
        <v>2958967</v>
      </c>
      <c r="L49" s="49">
        <v>3951.7940000000003</v>
      </c>
      <c r="M49" s="49">
        <v>3945.2893333333332</v>
      </c>
      <c r="N49" s="49">
        <v>-4878.5</v>
      </c>
      <c r="O49" s="47">
        <v>-1.6460034775768074E-3</v>
      </c>
      <c r="P49" s="72">
        <f t="shared" si="0"/>
        <v>62048.259999999136</v>
      </c>
      <c r="Q49" s="49" t="str">
        <f>TEXT(Table1[[#This Row],[Closing Date]],"yyyy")</f>
        <v>2023</v>
      </c>
      <c r="R49" s="49" t="str">
        <f>TEXT(Table1[[#This Row],[Closing Date]],"mmmm")</f>
        <v>March</v>
      </c>
      <c r="S49" s="49" t="s">
        <v>368</v>
      </c>
      <c r="T49" s="49" t="s">
        <v>429</v>
      </c>
    </row>
    <row r="50" spans="1:20" x14ac:dyDescent="0.25">
      <c r="A50" t="s">
        <v>335</v>
      </c>
      <c r="B50" t="s">
        <v>432</v>
      </c>
      <c r="C50" t="s">
        <v>51</v>
      </c>
      <c r="D50" t="s">
        <v>36</v>
      </c>
      <c r="E50" s="49"/>
      <c r="F50" s="60">
        <v>44999</v>
      </c>
      <c r="G50" t="s">
        <v>130</v>
      </c>
      <c r="H50">
        <v>8</v>
      </c>
      <c r="I50" s="49">
        <v>1570442.6</v>
      </c>
      <c r="K50" s="115">
        <v>1587582.4</v>
      </c>
      <c r="L50" s="49">
        <v>3926.1065000000003</v>
      </c>
      <c r="M50" s="49">
        <v>3968.9559999999997</v>
      </c>
      <c r="N50" s="49">
        <v>17139.799999999814</v>
      </c>
      <c r="O50" s="47">
        <v>1.0913993290808425E-2</v>
      </c>
      <c r="P50" s="72">
        <f t="shared" si="0"/>
        <v>79188.05999999895</v>
      </c>
      <c r="Q50" s="49" t="str">
        <f>TEXT(Table1[[#This Row],[Closing Date]],"yyyy")</f>
        <v>2023</v>
      </c>
      <c r="R50" s="49" t="str">
        <f>TEXT(Table1[[#This Row],[Closing Date]],"mmmm")</f>
        <v>March</v>
      </c>
      <c r="S50" s="49" t="s">
        <v>368</v>
      </c>
      <c r="T50" s="49" t="s">
        <v>429</v>
      </c>
    </row>
    <row r="51" spans="1:20" x14ac:dyDescent="0.25">
      <c r="A51" t="s">
        <v>335</v>
      </c>
      <c r="B51" t="s">
        <v>432</v>
      </c>
      <c r="C51" t="s">
        <v>51</v>
      </c>
      <c r="D51" t="s">
        <v>36</v>
      </c>
      <c r="E51" s="49"/>
      <c r="F51" s="60">
        <v>45001</v>
      </c>
      <c r="G51" t="s">
        <v>130</v>
      </c>
      <c r="H51">
        <v>15</v>
      </c>
      <c r="I51" s="49">
        <v>2994783</v>
      </c>
      <c r="K51" s="115">
        <v>2988717</v>
      </c>
      <c r="L51" s="49">
        <v>3993.0440000000003</v>
      </c>
      <c r="M51" s="49">
        <v>3984.9559999999997</v>
      </c>
      <c r="N51" s="49">
        <v>-6066</v>
      </c>
      <c r="O51" s="47">
        <v>-2.0255223834249377E-3</v>
      </c>
      <c r="P51" s="72">
        <f t="shared" si="0"/>
        <v>73122.05999999895</v>
      </c>
      <c r="Q51" s="49" t="str">
        <f>TEXT(Table1[[#This Row],[Closing Date]],"yyyy")</f>
        <v>2023</v>
      </c>
      <c r="R51" s="49" t="str">
        <f>TEXT(Table1[[#This Row],[Closing Date]],"mmmm")</f>
        <v>March</v>
      </c>
      <c r="S51" s="49" t="s">
        <v>368</v>
      </c>
      <c r="T51" s="49" t="s">
        <v>429</v>
      </c>
    </row>
    <row r="52" spans="1:20" x14ac:dyDescent="0.25">
      <c r="A52" t="s">
        <v>335</v>
      </c>
      <c r="B52" t="s">
        <v>432</v>
      </c>
      <c r="C52" t="s">
        <v>51</v>
      </c>
      <c r="D52" t="s">
        <v>36</v>
      </c>
      <c r="E52" s="49"/>
      <c r="F52" s="60">
        <v>45001</v>
      </c>
      <c r="G52" t="s">
        <v>130</v>
      </c>
      <c r="H52">
        <v>15</v>
      </c>
      <c r="I52" s="49">
        <v>2978095.5</v>
      </c>
      <c r="K52" s="115">
        <v>2972217</v>
      </c>
      <c r="L52" s="49">
        <v>3970.7940000000003</v>
      </c>
      <c r="M52" s="49">
        <v>3962.9559999999997</v>
      </c>
      <c r="N52" s="49">
        <v>-5878.5</v>
      </c>
      <c r="O52" s="47">
        <v>-1.9739125222816008E-3</v>
      </c>
      <c r="P52" s="72">
        <f t="shared" si="0"/>
        <v>67243.55999999895</v>
      </c>
      <c r="Q52" s="49" t="str">
        <f>TEXT(Table1[[#This Row],[Closing Date]],"yyyy")</f>
        <v>2023</v>
      </c>
      <c r="R52" s="49" t="str">
        <f>TEXT(Table1[[#This Row],[Closing Date]],"mmmm")</f>
        <v>March</v>
      </c>
      <c r="S52" s="49" t="s">
        <v>368</v>
      </c>
      <c r="T52" s="49" t="s">
        <v>429</v>
      </c>
    </row>
    <row r="53" spans="1:20" x14ac:dyDescent="0.25">
      <c r="A53" t="s">
        <v>335</v>
      </c>
      <c r="B53" t="s">
        <v>432</v>
      </c>
      <c r="C53" t="s">
        <v>51</v>
      </c>
      <c r="D53" t="s">
        <v>38</v>
      </c>
      <c r="E53" s="49"/>
      <c r="F53" s="60">
        <v>45001</v>
      </c>
      <c r="G53" t="s">
        <v>130</v>
      </c>
      <c r="H53">
        <v>5</v>
      </c>
      <c r="I53" s="49">
        <v>973948.5</v>
      </c>
      <c r="K53" s="115">
        <v>975051.5</v>
      </c>
      <c r="L53" s="49">
        <v>3895.7940000000003</v>
      </c>
      <c r="M53" s="49">
        <v>3900.2059999999997</v>
      </c>
      <c r="N53" s="49">
        <v>1103</v>
      </c>
      <c r="O53" s="47">
        <v>1.1325034126546097E-3</v>
      </c>
      <c r="P53" s="72">
        <f t="shared" si="0"/>
        <v>68346.55999999895</v>
      </c>
      <c r="Q53" s="49" t="str">
        <f>TEXT(Table1[[#This Row],[Closing Date]],"yyyy")</f>
        <v>2023</v>
      </c>
      <c r="R53" s="49" t="str">
        <f>TEXT(Table1[[#This Row],[Closing Date]],"mmmm")</f>
        <v>March</v>
      </c>
      <c r="S53" s="49" t="s">
        <v>368</v>
      </c>
      <c r="T53" s="49" t="s">
        <v>429</v>
      </c>
    </row>
    <row r="54" spans="1:20" x14ac:dyDescent="0.25">
      <c r="A54" t="s">
        <v>276</v>
      </c>
      <c r="B54" t="s">
        <v>431</v>
      </c>
      <c r="C54" t="s">
        <v>149</v>
      </c>
      <c r="D54" t="s">
        <v>38</v>
      </c>
      <c r="E54" s="49"/>
      <c r="F54" s="60">
        <v>45002</v>
      </c>
      <c r="G54" t="s">
        <v>48</v>
      </c>
      <c r="H54">
        <v>55</v>
      </c>
      <c r="I54" s="49">
        <v>4404.13</v>
      </c>
      <c r="J54" s="106">
        <v>100</v>
      </c>
      <c r="K54" s="115">
        <v>6979.07</v>
      </c>
      <c r="L54" s="49">
        <v>0.80075090909090918</v>
      </c>
      <c r="M54" s="49">
        <v>1.268921818181818</v>
      </c>
      <c r="N54" s="49">
        <v>2574.9399999999996</v>
      </c>
      <c r="O54" s="47">
        <v>0.58466484867612867</v>
      </c>
      <c r="P54" s="72">
        <f t="shared" si="0"/>
        <v>70921.499999998952</v>
      </c>
      <c r="Q54" s="49" t="str">
        <f>TEXT(Table1[[#This Row],[Closing Date]],"yyyy")</f>
        <v>2023</v>
      </c>
      <c r="R54" s="49" t="str">
        <f>TEXT(Table1[[#This Row],[Closing Date]],"mmmm")</f>
        <v>March</v>
      </c>
      <c r="S54" s="49" t="s">
        <v>368</v>
      </c>
      <c r="T54" s="49" t="s">
        <v>429</v>
      </c>
    </row>
    <row r="55" spans="1:20" x14ac:dyDescent="0.25">
      <c r="A55" t="s">
        <v>335</v>
      </c>
      <c r="B55" t="s">
        <v>432</v>
      </c>
      <c r="C55" t="s">
        <v>51</v>
      </c>
      <c r="D55" t="s">
        <v>38</v>
      </c>
      <c r="E55" s="49"/>
      <c r="F55" s="60">
        <v>45002</v>
      </c>
      <c r="G55" t="s">
        <v>263</v>
      </c>
      <c r="H55">
        <v>150</v>
      </c>
      <c r="I55" s="49">
        <v>2967655.5</v>
      </c>
      <c r="K55" s="115">
        <v>2961109.5</v>
      </c>
      <c r="L55" s="49">
        <v>3956.8739999999998</v>
      </c>
      <c r="M55" s="49">
        <v>3948.1460000000002</v>
      </c>
      <c r="N55" s="49">
        <v>-6546</v>
      </c>
      <c r="O55" s="47">
        <v>-2.20578163469436E-3</v>
      </c>
      <c r="P55" s="72">
        <f t="shared" si="0"/>
        <v>64375.499999998952</v>
      </c>
      <c r="Q55" s="49" t="str">
        <f>TEXT(Table1[[#This Row],[Closing Date]],"yyyy")</f>
        <v>2023</v>
      </c>
      <c r="R55" s="49" t="str">
        <f>TEXT(Table1[[#This Row],[Closing Date]],"mmmm")</f>
        <v>March</v>
      </c>
      <c r="S55" s="49" t="s">
        <v>368</v>
      </c>
      <c r="T55" s="49" t="s">
        <v>429</v>
      </c>
    </row>
    <row r="56" spans="1:20" x14ac:dyDescent="0.25">
      <c r="A56" t="s">
        <v>335</v>
      </c>
      <c r="B56" t="s">
        <v>432</v>
      </c>
      <c r="C56" t="s">
        <v>51</v>
      </c>
      <c r="D56" t="s">
        <v>38</v>
      </c>
      <c r="E56" s="49"/>
      <c r="F56" s="60">
        <v>45002</v>
      </c>
      <c r="G56" t="s">
        <v>130</v>
      </c>
      <c r="H56">
        <v>10</v>
      </c>
      <c r="I56" s="49">
        <v>1972522</v>
      </c>
      <c r="K56" s="115">
        <v>1969978</v>
      </c>
      <c r="L56" s="49">
        <v>3945.0440000000003</v>
      </c>
      <c r="M56" s="49">
        <v>3939.9559999999997</v>
      </c>
      <c r="N56" s="49">
        <v>-2544</v>
      </c>
      <c r="O56" s="47">
        <v>-1.2897194556006593E-3</v>
      </c>
      <c r="P56" s="72">
        <f t="shared" si="0"/>
        <v>61831.499999998952</v>
      </c>
      <c r="Q56" s="49" t="str">
        <f>TEXT(Table1[[#This Row],[Closing Date]],"yyyy")</f>
        <v>2023</v>
      </c>
      <c r="R56" s="49" t="str">
        <f>TEXT(Table1[[#This Row],[Closing Date]],"mmmm")</f>
        <v>March</v>
      </c>
      <c r="S56" s="49" t="s">
        <v>368</v>
      </c>
      <c r="T56" s="49" t="s">
        <v>429</v>
      </c>
    </row>
    <row r="57" spans="1:20" x14ac:dyDescent="0.25">
      <c r="A57" t="s">
        <v>335</v>
      </c>
      <c r="B57" t="s">
        <v>432</v>
      </c>
      <c r="C57" t="s">
        <v>51</v>
      </c>
      <c r="D57" t="s">
        <v>38</v>
      </c>
      <c r="E57" s="49"/>
      <c r="F57" s="60">
        <v>45002</v>
      </c>
      <c r="G57" t="s">
        <v>137</v>
      </c>
      <c r="H57">
        <v>6</v>
      </c>
      <c r="I57" s="49">
        <v>526663.19999999995</v>
      </c>
      <c r="K57" s="115">
        <v>524806.80000000005</v>
      </c>
      <c r="L57" s="49">
        <v>1755.5439999999999</v>
      </c>
      <c r="M57" s="49">
        <v>1749.356</v>
      </c>
      <c r="N57" s="49">
        <v>-1856.3999999999069</v>
      </c>
      <c r="O57" s="47">
        <v>-3.5248333280167715E-3</v>
      </c>
      <c r="P57" s="72">
        <f t="shared" si="0"/>
        <v>59975.099999999045</v>
      </c>
      <c r="Q57" s="49" t="str">
        <f>TEXT(Table1[[#This Row],[Closing Date]],"yyyy")</f>
        <v>2023</v>
      </c>
      <c r="R57" s="49" t="str">
        <f>TEXT(Table1[[#This Row],[Closing Date]],"mmmm")</f>
        <v>March</v>
      </c>
      <c r="S57" s="49" t="s">
        <v>368</v>
      </c>
      <c r="T57" s="49" t="s">
        <v>429</v>
      </c>
    </row>
    <row r="58" spans="1:20" x14ac:dyDescent="0.25">
      <c r="A58" t="s">
        <v>335</v>
      </c>
      <c r="B58" t="s">
        <v>432</v>
      </c>
      <c r="C58" t="s">
        <v>51</v>
      </c>
      <c r="D58" t="s">
        <v>36</v>
      </c>
      <c r="E58" s="49"/>
      <c r="F58" s="60">
        <v>45005</v>
      </c>
      <c r="G58" t="s">
        <v>130</v>
      </c>
      <c r="H58">
        <v>15</v>
      </c>
      <c r="I58" s="49">
        <v>2990470.5</v>
      </c>
      <c r="K58" s="115">
        <v>2983654.5</v>
      </c>
      <c r="L58" s="49">
        <v>3987.2940000000003</v>
      </c>
      <c r="M58" s="49">
        <v>3978.2059999999997</v>
      </c>
      <c r="N58" s="49">
        <v>-6816</v>
      </c>
      <c r="O58" s="47">
        <v>-2.2792400058788357E-3</v>
      </c>
      <c r="P58" s="72">
        <f t="shared" si="0"/>
        <v>53159.099999999045</v>
      </c>
      <c r="Q58" s="49" t="str">
        <f>TEXT(Table1[[#This Row],[Closing Date]],"yyyy")</f>
        <v>2023</v>
      </c>
      <c r="R58" s="49" t="str">
        <f>TEXT(Table1[[#This Row],[Closing Date]],"mmmm")</f>
        <v>March</v>
      </c>
      <c r="S58" s="49" t="s">
        <v>368</v>
      </c>
      <c r="T58" s="49" t="s">
        <v>429</v>
      </c>
    </row>
    <row r="59" spans="1:20" x14ac:dyDescent="0.25">
      <c r="A59" t="s">
        <v>335</v>
      </c>
      <c r="B59" t="s">
        <v>432</v>
      </c>
      <c r="C59" t="s">
        <v>51</v>
      </c>
      <c r="D59" t="s">
        <v>36</v>
      </c>
      <c r="E59" s="49"/>
      <c r="F59" s="60">
        <v>45006</v>
      </c>
      <c r="G59" t="s">
        <v>130</v>
      </c>
      <c r="H59">
        <v>15</v>
      </c>
      <c r="I59" s="49">
        <v>3022720.5</v>
      </c>
      <c r="K59" s="115">
        <v>3022467</v>
      </c>
      <c r="L59" s="49">
        <v>4030.2940000000003</v>
      </c>
      <c r="M59" s="49">
        <v>4029.9559999999997</v>
      </c>
      <c r="N59" s="49">
        <v>-253.5</v>
      </c>
      <c r="O59" s="47">
        <v>-8.3864849562004048E-5</v>
      </c>
      <c r="P59" s="72">
        <f t="shared" si="0"/>
        <v>52905.599999999045</v>
      </c>
      <c r="Q59" s="49" t="str">
        <f>TEXT(Table1[[#This Row],[Closing Date]],"yyyy")</f>
        <v>2023</v>
      </c>
      <c r="R59" s="49" t="str">
        <f>TEXT(Table1[[#This Row],[Closing Date]],"mmmm")</f>
        <v>March</v>
      </c>
      <c r="S59" s="49" t="s">
        <v>368</v>
      </c>
      <c r="T59" s="49" t="s">
        <v>429</v>
      </c>
    </row>
    <row r="60" spans="1:20" x14ac:dyDescent="0.25">
      <c r="A60" t="s">
        <v>283</v>
      </c>
      <c r="B60" t="s">
        <v>434</v>
      </c>
      <c r="C60" t="s">
        <v>56</v>
      </c>
      <c r="D60" t="s">
        <v>36</v>
      </c>
      <c r="E60" s="49"/>
      <c r="F60" s="60">
        <v>45007</v>
      </c>
      <c r="G60" t="s">
        <v>53</v>
      </c>
      <c r="H60">
        <v>1300</v>
      </c>
      <c r="I60" s="49">
        <v>139714.20000000001</v>
      </c>
      <c r="K60" s="115">
        <v>136767.14000000001</v>
      </c>
      <c r="L60" s="49">
        <v>107.47246153846154</v>
      </c>
      <c r="M60" s="49">
        <v>105.20549230769232</v>
      </c>
      <c r="N60" s="49">
        <v>-2947.0599999999977</v>
      </c>
      <c r="O60" s="47">
        <v>-2.1093489423408544E-2</v>
      </c>
      <c r="P60" s="72">
        <f t="shared" si="0"/>
        <v>49958.539999999048</v>
      </c>
      <c r="Q60" s="49" t="str">
        <f>TEXT(Table1[[#This Row],[Closing Date]],"yyyy")</f>
        <v>2023</v>
      </c>
      <c r="R60" s="49" t="str">
        <f>TEXT(Table1[[#This Row],[Closing Date]],"mmmm")</f>
        <v>March</v>
      </c>
      <c r="S60" s="49" t="s">
        <v>368</v>
      </c>
      <c r="T60" s="49" t="s">
        <v>429</v>
      </c>
    </row>
    <row r="61" spans="1:20" x14ac:dyDescent="0.25">
      <c r="A61" t="s">
        <v>335</v>
      </c>
      <c r="B61" t="s">
        <v>432</v>
      </c>
      <c r="C61" t="s">
        <v>51</v>
      </c>
      <c r="D61" t="s">
        <v>36</v>
      </c>
      <c r="E61" s="49"/>
      <c r="F61" s="60">
        <v>45007</v>
      </c>
      <c r="G61" t="s">
        <v>130</v>
      </c>
      <c r="H61">
        <v>15</v>
      </c>
      <c r="I61" s="49">
        <v>3022033</v>
      </c>
      <c r="K61" s="115">
        <v>3032217</v>
      </c>
      <c r="L61" s="49">
        <v>4029.3773333333334</v>
      </c>
      <c r="M61" s="49">
        <v>4042.9559999999997</v>
      </c>
      <c r="N61" s="49">
        <v>10184</v>
      </c>
      <c r="O61" s="47">
        <v>3.3699168738394788E-3</v>
      </c>
      <c r="P61" s="72">
        <f t="shared" si="0"/>
        <v>60142.539999999048</v>
      </c>
      <c r="Q61" s="49" t="str">
        <f>TEXT(Table1[[#This Row],[Closing Date]],"yyyy")</f>
        <v>2023</v>
      </c>
      <c r="R61" s="49" t="str">
        <f>TEXT(Table1[[#This Row],[Closing Date]],"mmmm")</f>
        <v>March</v>
      </c>
      <c r="S61" s="49" t="s">
        <v>368</v>
      </c>
      <c r="T61" s="49" t="s">
        <v>429</v>
      </c>
    </row>
    <row r="62" spans="1:20" x14ac:dyDescent="0.25">
      <c r="A62" t="s">
        <v>335</v>
      </c>
      <c r="B62" t="s">
        <v>432</v>
      </c>
      <c r="C62" t="s">
        <v>51</v>
      </c>
      <c r="D62" t="s">
        <v>36</v>
      </c>
      <c r="E62" s="49"/>
      <c r="F62" s="60">
        <v>45008</v>
      </c>
      <c r="G62" t="s">
        <v>130</v>
      </c>
      <c r="H62">
        <v>20</v>
      </c>
      <c r="I62" s="49">
        <v>4016181.5</v>
      </c>
      <c r="K62" s="115">
        <v>4007831</v>
      </c>
      <c r="L62" s="49">
        <v>4016.1815000000001</v>
      </c>
      <c r="M62" s="49">
        <v>4007.8309999999997</v>
      </c>
      <c r="N62" s="49">
        <v>-8350.5</v>
      </c>
      <c r="O62" s="47">
        <v>-2.0792138004720319E-3</v>
      </c>
      <c r="P62" s="72">
        <f t="shared" si="0"/>
        <v>51792.039999999048</v>
      </c>
      <c r="Q62" s="49" t="str">
        <f>TEXT(Table1[[#This Row],[Closing Date]],"yyyy")</f>
        <v>2023</v>
      </c>
      <c r="R62" s="49" t="str">
        <f>TEXT(Table1[[#This Row],[Closing Date]],"mmmm")</f>
        <v>March</v>
      </c>
      <c r="S62" s="49" t="s">
        <v>368</v>
      </c>
      <c r="T62" s="49" t="s">
        <v>429</v>
      </c>
    </row>
    <row r="63" spans="1:20" x14ac:dyDescent="0.25">
      <c r="A63" t="s">
        <v>335</v>
      </c>
      <c r="B63" t="s">
        <v>432</v>
      </c>
      <c r="C63" t="s">
        <v>51</v>
      </c>
      <c r="D63" t="s">
        <v>36</v>
      </c>
      <c r="E63" s="49"/>
      <c r="F63" s="60">
        <v>45008</v>
      </c>
      <c r="G63" t="s">
        <v>137</v>
      </c>
      <c r="H63">
        <v>13</v>
      </c>
      <c r="I63" s="49">
        <v>1150977.1000000001</v>
      </c>
      <c r="K63" s="115">
        <v>1146831.3999999999</v>
      </c>
      <c r="L63" s="49">
        <v>1770.7340000000002</v>
      </c>
      <c r="M63" s="49">
        <v>1764.3559999999998</v>
      </c>
      <c r="N63" s="49">
        <v>-4145.7000000001863</v>
      </c>
      <c r="O63" s="47">
        <v>-3.6018961628343856E-3</v>
      </c>
      <c r="P63" s="72">
        <f t="shared" si="0"/>
        <v>47646.339999998861</v>
      </c>
      <c r="Q63" s="49" t="str">
        <f>TEXT(Table1[[#This Row],[Closing Date]],"yyyy")</f>
        <v>2023</v>
      </c>
      <c r="R63" s="49" t="str">
        <f>TEXT(Table1[[#This Row],[Closing Date]],"mmmm")</f>
        <v>March</v>
      </c>
      <c r="S63" s="49" t="s">
        <v>368</v>
      </c>
      <c r="T63" s="49" t="s">
        <v>429</v>
      </c>
    </row>
    <row r="64" spans="1:20" x14ac:dyDescent="0.25">
      <c r="A64" t="s">
        <v>283</v>
      </c>
      <c r="B64" t="s">
        <v>433</v>
      </c>
      <c r="C64" t="s">
        <v>56</v>
      </c>
      <c r="D64" t="s">
        <v>36</v>
      </c>
      <c r="E64" s="49"/>
      <c r="F64" s="60">
        <v>45008</v>
      </c>
      <c r="G64" t="s">
        <v>50</v>
      </c>
      <c r="H64">
        <v>1800</v>
      </c>
      <c r="I64" s="49">
        <v>489596.08</v>
      </c>
      <c r="K64" s="115">
        <v>483437.52</v>
      </c>
      <c r="L64" s="49">
        <v>271.99782222222223</v>
      </c>
      <c r="M64" s="49">
        <v>268.57640000000004</v>
      </c>
      <c r="N64" s="49">
        <v>6158.5599999999977</v>
      </c>
      <c r="O64" s="47">
        <v>1.2578858883020464E-2</v>
      </c>
      <c r="P64" s="72">
        <f t="shared" si="0"/>
        <v>53804.899999998859</v>
      </c>
      <c r="Q64" s="49" t="str">
        <f>TEXT(Table1[[#This Row],[Closing Date]],"yyyy")</f>
        <v>2023</v>
      </c>
      <c r="R64" s="49" t="str">
        <f>TEXT(Table1[[#This Row],[Closing Date]],"mmmm")</f>
        <v>March</v>
      </c>
      <c r="S64" s="49" t="s">
        <v>368</v>
      </c>
      <c r="T64" s="49" t="s">
        <v>285</v>
      </c>
    </row>
    <row r="65" spans="1:20" x14ac:dyDescent="0.25">
      <c r="A65" t="s">
        <v>283</v>
      </c>
      <c r="B65" t="s">
        <v>430</v>
      </c>
      <c r="C65" t="s">
        <v>56</v>
      </c>
      <c r="D65" t="s">
        <v>36</v>
      </c>
      <c r="E65" s="49"/>
      <c r="F65" s="60">
        <v>45009</v>
      </c>
      <c r="G65" t="s">
        <v>57</v>
      </c>
      <c r="H65">
        <v>1000</v>
      </c>
      <c r="I65" s="49">
        <v>160170</v>
      </c>
      <c r="K65" s="115">
        <v>159653.57999999999</v>
      </c>
      <c r="L65" s="49">
        <v>160.16999999999999</v>
      </c>
      <c r="M65" s="49">
        <v>159.65357999999998</v>
      </c>
      <c r="N65" s="49">
        <v>-516.42000000001281</v>
      </c>
      <c r="O65" s="47">
        <v>-3.2241992882562952E-3</v>
      </c>
      <c r="P65" s="72">
        <f t="shared" si="0"/>
        <v>53288.479999998846</v>
      </c>
      <c r="Q65" s="49" t="str">
        <f>TEXT(Table1[[#This Row],[Closing Date]],"yyyy")</f>
        <v>2023</v>
      </c>
      <c r="R65" s="49" t="str">
        <f>TEXT(Table1[[#This Row],[Closing Date]],"mmmm")</f>
        <v>March</v>
      </c>
      <c r="S65" s="49" t="s">
        <v>368</v>
      </c>
      <c r="T65" s="49" t="s">
        <v>429</v>
      </c>
    </row>
    <row r="66" spans="1:20" x14ac:dyDescent="0.25">
      <c r="A66" t="s">
        <v>276</v>
      </c>
      <c r="B66" t="s">
        <v>431</v>
      </c>
      <c r="C66" t="s">
        <v>149</v>
      </c>
      <c r="D66" t="s">
        <v>38</v>
      </c>
      <c r="E66" s="49"/>
      <c r="F66" s="60">
        <v>45009</v>
      </c>
      <c r="G66" t="s">
        <v>48</v>
      </c>
      <c r="H66">
        <v>40</v>
      </c>
      <c r="I66" s="49">
        <v>4202.76</v>
      </c>
      <c r="J66" s="106">
        <v>100</v>
      </c>
      <c r="K66" s="115">
        <v>0</v>
      </c>
      <c r="L66" s="49">
        <v>1.0506900000000001</v>
      </c>
      <c r="M66" s="49">
        <v>0</v>
      </c>
      <c r="N66" s="49">
        <v>-4202.76</v>
      </c>
      <c r="O66" s="47">
        <v>-1</v>
      </c>
      <c r="P66" s="72">
        <f t="shared" si="0"/>
        <v>49085.719999998844</v>
      </c>
      <c r="Q66" s="49" t="str">
        <f>TEXT(Table1[[#This Row],[Closing Date]],"yyyy")</f>
        <v>2023</v>
      </c>
      <c r="R66" s="49" t="str">
        <f>TEXT(Table1[[#This Row],[Closing Date]],"mmmm")</f>
        <v>March</v>
      </c>
      <c r="S66" s="49" t="s">
        <v>368</v>
      </c>
      <c r="T66" s="49" t="s">
        <v>429</v>
      </c>
    </row>
    <row r="67" spans="1:20" x14ac:dyDescent="0.25">
      <c r="A67" t="s">
        <v>283</v>
      </c>
      <c r="B67" t="s">
        <v>433</v>
      </c>
      <c r="C67" t="s">
        <v>51</v>
      </c>
      <c r="D67" t="s">
        <v>38</v>
      </c>
      <c r="E67" s="49"/>
      <c r="F67" s="60">
        <v>45009</v>
      </c>
      <c r="G67" t="s">
        <v>52</v>
      </c>
      <c r="H67">
        <v>6</v>
      </c>
      <c r="I67" s="49">
        <v>389954.22</v>
      </c>
      <c r="K67" s="115">
        <v>405105.78</v>
      </c>
      <c r="L67" s="49">
        <v>64.992369999999994</v>
      </c>
      <c r="M67" s="49">
        <v>67.517630000000011</v>
      </c>
      <c r="N67" s="49">
        <v>15151.560000000056</v>
      </c>
      <c r="O67" s="47">
        <v>3.885471479190572E-2</v>
      </c>
      <c r="P67" s="72">
        <f t="shared" ref="P67:P130" si="1">N67+P66</f>
        <v>64237.2799999989</v>
      </c>
      <c r="Q67" s="49" t="str">
        <f>TEXT(Table1[[#This Row],[Closing Date]],"yyyy")</f>
        <v>2023</v>
      </c>
      <c r="R67" s="49" t="str">
        <f>TEXT(Table1[[#This Row],[Closing Date]],"mmmm")</f>
        <v>March</v>
      </c>
      <c r="S67" s="49" t="s">
        <v>368</v>
      </c>
      <c r="T67" s="49" t="s">
        <v>429</v>
      </c>
    </row>
    <row r="68" spans="1:20" x14ac:dyDescent="0.25">
      <c r="A68" t="s">
        <v>335</v>
      </c>
      <c r="B68" t="s">
        <v>432</v>
      </c>
      <c r="C68" t="s">
        <v>51</v>
      </c>
      <c r="D68" t="s">
        <v>36</v>
      </c>
      <c r="E68" s="49"/>
      <c r="F68" s="60">
        <v>45009</v>
      </c>
      <c r="G68" t="s">
        <v>130</v>
      </c>
      <c r="H68">
        <v>10</v>
      </c>
      <c r="I68" s="49">
        <v>2003147</v>
      </c>
      <c r="K68" s="115">
        <v>1998978</v>
      </c>
      <c r="L68" s="49">
        <v>4006.2940000000003</v>
      </c>
      <c r="M68" s="49">
        <v>3997.9559999999997</v>
      </c>
      <c r="N68" s="49">
        <v>-4169</v>
      </c>
      <c r="O68" s="47">
        <v>-2.0812251921602976E-3</v>
      </c>
      <c r="P68" s="72">
        <f t="shared" si="1"/>
        <v>60068.2799999989</v>
      </c>
      <c r="Q68" s="49" t="str">
        <f>TEXT(Table1[[#This Row],[Closing Date]],"yyyy")</f>
        <v>2023</v>
      </c>
      <c r="R68" s="49" t="str">
        <f>TEXT(Table1[[#This Row],[Closing Date]],"mmmm")</f>
        <v>March</v>
      </c>
      <c r="S68" s="49" t="s">
        <v>368</v>
      </c>
      <c r="T68" s="49" t="s">
        <v>429</v>
      </c>
    </row>
    <row r="69" spans="1:20" x14ac:dyDescent="0.25">
      <c r="A69" t="s">
        <v>335</v>
      </c>
      <c r="B69" t="s">
        <v>432</v>
      </c>
      <c r="C69" t="s">
        <v>51</v>
      </c>
      <c r="D69" t="s">
        <v>38</v>
      </c>
      <c r="E69" s="49"/>
      <c r="F69" s="60">
        <v>45013</v>
      </c>
      <c r="G69" t="s">
        <v>130</v>
      </c>
      <c r="H69">
        <v>15</v>
      </c>
      <c r="I69" s="49">
        <v>2997783</v>
      </c>
      <c r="K69" s="115">
        <v>2996217</v>
      </c>
      <c r="L69" s="49">
        <v>3997.0440000000003</v>
      </c>
      <c r="M69" s="49">
        <v>3994.9559999999997</v>
      </c>
      <c r="N69" s="49">
        <v>-1566</v>
      </c>
      <c r="O69" s="47">
        <v>-5.2238604328615028E-4</v>
      </c>
      <c r="P69" s="72">
        <f t="shared" si="1"/>
        <v>58502.2799999989</v>
      </c>
      <c r="Q69" s="49" t="str">
        <f>TEXT(Table1[[#This Row],[Closing Date]],"yyyy")</f>
        <v>2023</v>
      </c>
      <c r="R69" s="49" t="str">
        <f>TEXT(Table1[[#This Row],[Closing Date]],"mmmm")</f>
        <v>March</v>
      </c>
      <c r="S69" s="49" t="s">
        <v>368</v>
      </c>
      <c r="T69" s="49" t="s">
        <v>429</v>
      </c>
    </row>
    <row r="70" spans="1:20" x14ac:dyDescent="0.25">
      <c r="A70" t="s">
        <v>335</v>
      </c>
      <c r="B70" t="s">
        <v>432</v>
      </c>
      <c r="C70" t="s">
        <v>51</v>
      </c>
      <c r="D70" t="s">
        <v>38</v>
      </c>
      <c r="E70" s="49"/>
      <c r="F70" s="60">
        <v>45013</v>
      </c>
      <c r="G70" t="s">
        <v>130</v>
      </c>
      <c r="H70">
        <v>15</v>
      </c>
      <c r="I70" s="49">
        <v>2993283</v>
      </c>
      <c r="K70" s="115">
        <v>2999217</v>
      </c>
      <c r="L70" s="49">
        <v>3991.0440000000003</v>
      </c>
      <c r="M70" s="49">
        <v>3998.9559999999997</v>
      </c>
      <c r="N70" s="49">
        <v>5934</v>
      </c>
      <c r="O70" s="47">
        <v>1.9824386802048165E-3</v>
      </c>
      <c r="P70" s="72">
        <f t="shared" si="1"/>
        <v>64436.2799999989</v>
      </c>
      <c r="Q70" s="49" t="str">
        <f>TEXT(Table1[[#This Row],[Closing Date]],"yyyy")</f>
        <v>2023</v>
      </c>
      <c r="R70" s="49" t="str">
        <f>TEXT(Table1[[#This Row],[Closing Date]],"mmmm")</f>
        <v>March</v>
      </c>
      <c r="S70" s="49" t="s">
        <v>368</v>
      </c>
      <c r="T70" s="49" t="s">
        <v>429</v>
      </c>
    </row>
    <row r="71" spans="1:20" x14ac:dyDescent="0.25">
      <c r="A71" t="s">
        <v>335</v>
      </c>
      <c r="B71" t="s">
        <v>432</v>
      </c>
      <c r="C71" t="s">
        <v>51</v>
      </c>
      <c r="D71" t="s">
        <v>36</v>
      </c>
      <c r="E71" s="49"/>
      <c r="F71" s="60">
        <v>45014</v>
      </c>
      <c r="G71" t="s">
        <v>130</v>
      </c>
      <c r="H71">
        <v>15</v>
      </c>
      <c r="I71" s="49">
        <v>3022908</v>
      </c>
      <c r="K71" s="115">
        <v>3016842</v>
      </c>
      <c r="L71" s="49">
        <v>4030.5440000000003</v>
      </c>
      <c r="M71" s="49">
        <v>4022.4559999999997</v>
      </c>
      <c r="N71" s="49">
        <v>-6066</v>
      </c>
      <c r="O71" s="47">
        <v>-2.0066770143188232E-3</v>
      </c>
      <c r="P71" s="72">
        <f t="shared" si="1"/>
        <v>58370.2799999989</v>
      </c>
      <c r="Q71" s="49" t="str">
        <f>TEXT(Table1[[#This Row],[Closing Date]],"yyyy")</f>
        <v>2023</v>
      </c>
      <c r="R71" s="49" t="str">
        <f>TEXT(Table1[[#This Row],[Closing Date]],"mmmm")</f>
        <v>March</v>
      </c>
      <c r="S71" s="49" t="s">
        <v>368</v>
      </c>
      <c r="T71" s="49" t="s">
        <v>429</v>
      </c>
    </row>
    <row r="72" spans="1:20" x14ac:dyDescent="0.25">
      <c r="A72" t="s">
        <v>335</v>
      </c>
      <c r="B72" t="s">
        <v>432</v>
      </c>
      <c r="C72" t="s">
        <v>51</v>
      </c>
      <c r="D72" t="s">
        <v>36</v>
      </c>
      <c r="E72" s="49"/>
      <c r="F72" s="60">
        <v>45015</v>
      </c>
      <c r="G72" t="s">
        <v>130</v>
      </c>
      <c r="H72">
        <v>10</v>
      </c>
      <c r="I72" s="49">
        <v>2040522</v>
      </c>
      <c r="K72" s="115">
        <v>2036853</v>
      </c>
      <c r="L72" s="49">
        <v>4081.0440000000003</v>
      </c>
      <c r="M72" s="49">
        <v>4073.7059999999997</v>
      </c>
      <c r="N72" s="49">
        <v>-3669</v>
      </c>
      <c r="O72" s="47">
        <v>-1.7980693175571366E-3</v>
      </c>
      <c r="P72" s="72">
        <f t="shared" si="1"/>
        <v>54701.2799999989</v>
      </c>
      <c r="Q72" s="49" t="str">
        <f>TEXT(Table1[[#This Row],[Closing Date]],"yyyy")</f>
        <v>2023</v>
      </c>
      <c r="R72" s="49" t="str">
        <f>TEXT(Table1[[#This Row],[Closing Date]],"mmmm")</f>
        <v>March</v>
      </c>
      <c r="S72" s="49" t="s">
        <v>368</v>
      </c>
      <c r="T72" s="49" t="s">
        <v>429</v>
      </c>
    </row>
    <row r="73" spans="1:20" x14ac:dyDescent="0.25">
      <c r="A73" t="s">
        <v>335</v>
      </c>
      <c r="B73" t="s">
        <v>432</v>
      </c>
      <c r="C73" t="s">
        <v>51</v>
      </c>
      <c r="D73" t="s">
        <v>36</v>
      </c>
      <c r="E73" s="49"/>
      <c r="F73" s="60">
        <v>45015</v>
      </c>
      <c r="G73" t="s">
        <v>138</v>
      </c>
      <c r="H73">
        <v>10</v>
      </c>
      <c r="I73" s="49">
        <v>2619352</v>
      </c>
      <c r="K73" s="115">
        <v>2616378</v>
      </c>
      <c r="L73" s="49">
        <v>13096.76</v>
      </c>
      <c r="M73" s="49">
        <v>13081.89</v>
      </c>
      <c r="N73" s="49">
        <v>-2974</v>
      </c>
      <c r="O73" s="47">
        <v>-1.1353953191476976E-3</v>
      </c>
      <c r="P73" s="72">
        <f t="shared" si="1"/>
        <v>51727.2799999989</v>
      </c>
      <c r="Q73" s="49" t="str">
        <f>TEXT(Table1[[#This Row],[Closing Date]],"yyyy")</f>
        <v>2023</v>
      </c>
      <c r="R73" s="49" t="str">
        <f>TEXT(Table1[[#This Row],[Closing Date]],"mmmm")</f>
        <v>March</v>
      </c>
      <c r="S73" s="49" t="s">
        <v>368</v>
      </c>
      <c r="T73" s="49" t="s">
        <v>429</v>
      </c>
    </row>
    <row r="74" spans="1:20" x14ac:dyDescent="0.25">
      <c r="A74" t="s">
        <v>335</v>
      </c>
      <c r="B74" t="s">
        <v>432</v>
      </c>
      <c r="C74" t="s">
        <v>51</v>
      </c>
      <c r="D74" t="s">
        <v>36</v>
      </c>
      <c r="E74" s="49"/>
      <c r="F74" s="60">
        <v>45015</v>
      </c>
      <c r="G74" t="s">
        <v>130</v>
      </c>
      <c r="H74">
        <v>10</v>
      </c>
      <c r="I74" s="49">
        <v>2038522</v>
      </c>
      <c r="K74" s="115">
        <v>2040728</v>
      </c>
      <c r="L74" s="49">
        <v>4077.0440000000003</v>
      </c>
      <c r="M74" s="49">
        <v>4081.4559999999997</v>
      </c>
      <c r="N74" s="49">
        <v>2206</v>
      </c>
      <c r="O74" s="47">
        <v>1.082156582072539E-3</v>
      </c>
      <c r="P74" s="72">
        <f t="shared" si="1"/>
        <v>53933.2799999989</v>
      </c>
      <c r="Q74" s="49" t="str">
        <f>TEXT(Table1[[#This Row],[Closing Date]],"yyyy")</f>
        <v>2023</v>
      </c>
      <c r="R74" s="49" t="str">
        <f>TEXT(Table1[[#This Row],[Closing Date]],"mmmm")</f>
        <v>March</v>
      </c>
      <c r="S74" s="49" t="s">
        <v>368</v>
      </c>
      <c r="T74" s="49" t="s">
        <v>429</v>
      </c>
    </row>
    <row r="75" spans="1:20" x14ac:dyDescent="0.25">
      <c r="A75" t="s">
        <v>276</v>
      </c>
      <c r="B75" t="s">
        <v>431</v>
      </c>
      <c r="C75" t="s">
        <v>149</v>
      </c>
      <c r="D75" t="s">
        <v>38</v>
      </c>
      <c r="E75" s="49"/>
      <c r="F75" s="60">
        <v>45016</v>
      </c>
      <c r="G75" t="s">
        <v>48</v>
      </c>
      <c r="H75">
        <v>65</v>
      </c>
      <c r="I75" s="49">
        <v>3977.79</v>
      </c>
      <c r="J75" s="106">
        <v>100</v>
      </c>
      <c r="K75" s="115">
        <v>0</v>
      </c>
      <c r="L75" s="49">
        <v>0.61196769230769232</v>
      </c>
      <c r="M75" s="49">
        <v>0</v>
      </c>
      <c r="N75" s="49">
        <v>-3977.79</v>
      </c>
      <c r="O75" s="47">
        <v>-1</v>
      </c>
      <c r="P75" s="72">
        <f t="shared" si="1"/>
        <v>49955.489999998899</v>
      </c>
      <c r="Q75" s="49" t="str">
        <f>TEXT(Table1[[#This Row],[Closing Date]],"yyyy")</f>
        <v>2023</v>
      </c>
      <c r="R75" s="49" t="str">
        <f>TEXT(Table1[[#This Row],[Closing Date]],"mmmm")</f>
        <v>March</v>
      </c>
      <c r="S75" s="49" t="s">
        <v>368</v>
      </c>
      <c r="T75" s="49" t="s">
        <v>429</v>
      </c>
    </row>
    <row r="76" spans="1:20" x14ac:dyDescent="0.25">
      <c r="A76" t="s">
        <v>335</v>
      </c>
      <c r="B76" t="s">
        <v>432</v>
      </c>
      <c r="C76" t="s">
        <v>51</v>
      </c>
      <c r="D76" t="s">
        <v>36</v>
      </c>
      <c r="E76" s="49"/>
      <c r="F76" s="60">
        <v>45016</v>
      </c>
      <c r="G76" t="s">
        <v>130</v>
      </c>
      <c r="H76">
        <v>22</v>
      </c>
      <c r="I76" s="49">
        <v>4520948.4000000004</v>
      </c>
      <c r="K76" s="115">
        <v>4514001.5999999996</v>
      </c>
      <c r="L76" s="49">
        <v>4109.9530909090909</v>
      </c>
      <c r="M76" s="49">
        <v>4103.6378181818181</v>
      </c>
      <c r="N76" s="49">
        <v>-6946.8000000007451</v>
      </c>
      <c r="O76" s="47">
        <v>-1.5365802449769134E-3</v>
      </c>
      <c r="P76" s="72">
        <f t="shared" si="1"/>
        <v>43008.689999998154</v>
      </c>
      <c r="Q76" s="49" t="str">
        <f>TEXT(Table1[[#This Row],[Closing Date]],"yyyy")</f>
        <v>2023</v>
      </c>
      <c r="R76" s="49" t="str">
        <f>TEXT(Table1[[#This Row],[Closing Date]],"mmmm")</f>
        <v>March</v>
      </c>
      <c r="S76" s="49" t="s">
        <v>368</v>
      </c>
      <c r="T76" s="49" t="s">
        <v>429</v>
      </c>
    </row>
    <row r="77" spans="1:20" x14ac:dyDescent="0.25">
      <c r="A77" t="s">
        <v>335</v>
      </c>
      <c r="B77" t="s">
        <v>432</v>
      </c>
      <c r="C77" t="s">
        <v>51</v>
      </c>
      <c r="D77" t="s">
        <v>36</v>
      </c>
      <c r="E77" s="49"/>
      <c r="F77" s="60">
        <v>45016</v>
      </c>
      <c r="G77" t="s">
        <v>130</v>
      </c>
      <c r="H77">
        <v>12</v>
      </c>
      <c r="I77" s="49">
        <v>2473676.4</v>
      </c>
      <c r="K77" s="115">
        <v>2470773.6</v>
      </c>
      <c r="L77" s="49">
        <v>4122.7939999999999</v>
      </c>
      <c r="M77" s="49">
        <v>4117.9560000000001</v>
      </c>
      <c r="N77" s="49">
        <v>-2902.7999999998137</v>
      </c>
      <c r="O77" s="47">
        <v>-1.1734760456136636E-3</v>
      </c>
      <c r="P77" s="72">
        <f t="shared" si="1"/>
        <v>40105.88999999834</v>
      </c>
      <c r="Q77" s="49" t="str">
        <f>TEXT(Table1[[#This Row],[Closing Date]],"yyyy")</f>
        <v>2023</v>
      </c>
      <c r="R77" s="49" t="str">
        <f>TEXT(Table1[[#This Row],[Closing Date]],"mmmm")</f>
        <v>March</v>
      </c>
      <c r="S77" s="49" t="s">
        <v>368</v>
      </c>
      <c r="T77" s="49" t="s">
        <v>429</v>
      </c>
    </row>
    <row r="78" spans="1:20" x14ac:dyDescent="0.25">
      <c r="A78" t="s">
        <v>335</v>
      </c>
      <c r="B78" t="s">
        <v>432</v>
      </c>
      <c r="C78" t="s">
        <v>51</v>
      </c>
      <c r="D78" t="s">
        <v>36</v>
      </c>
      <c r="E78" s="49"/>
      <c r="F78" s="60">
        <v>45019</v>
      </c>
      <c r="G78" t="s">
        <v>130</v>
      </c>
      <c r="H78">
        <v>15</v>
      </c>
      <c r="I78" s="49">
        <v>3113845.5</v>
      </c>
      <c r="K78" s="115">
        <v>3107592</v>
      </c>
      <c r="L78" s="49">
        <v>4151.7939999999999</v>
      </c>
      <c r="M78" s="49">
        <v>4143.4560000000001</v>
      </c>
      <c r="N78" s="49">
        <v>-6253.5</v>
      </c>
      <c r="O78" s="47">
        <v>-2.0082884651790862E-3</v>
      </c>
      <c r="P78" s="72">
        <f t="shared" si="1"/>
        <v>33852.38999999834</v>
      </c>
      <c r="Q78" s="49" t="str">
        <f>TEXT(Table1[[#This Row],[Closing Date]],"yyyy")</f>
        <v>2023</v>
      </c>
      <c r="R78" s="49" t="str">
        <f>TEXT(Table1[[#This Row],[Closing Date]],"mmmm")</f>
        <v>April</v>
      </c>
      <c r="S78" s="49" t="s">
        <v>368</v>
      </c>
      <c r="T78" s="49" t="s">
        <v>429</v>
      </c>
    </row>
    <row r="79" spans="1:20" x14ac:dyDescent="0.25">
      <c r="A79" t="s">
        <v>283</v>
      </c>
      <c r="B79" t="s">
        <v>433</v>
      </c>
      <c r="C79" t="s">
        <v>56</v>
      </c>
      <c r="D79" t="s">
        <v>38</v>
      </c>
      <c r="E79" s="49"/>
      <c r="F79" s="60">
        <v>45019</v>
      </c>
      <c r="G79" t="s">
        <v>58</v>
      </c>
      <c r="H79">
        <v>1154</v>
      </c>
      <c r="I79" s="49">
        <v>149922.29</v>
      </c>
      <c r="K79" s="115">
        <v>157248.65</v>
      </c>
      <c r="L79" s="49">
        <v>129.91532928942809</v>
      </c>
      <c r="M79" s="49">
        <v>136.26399480069324</v>
      </c>
      <c r="N79" s="49">
        <v>7326.359999999986</v>
      </c>
      <c r="O79" s="47">
        <v>4.886771673511648E-2</v>
      </c>
      <c r="P79" s="72">
        <f t="shared" si="1"/>
        <v>41178.749999998327</v>
      </c>
      <c r="Q79" s="49" t="str">
        <f>TEXT(Table1[[#This Row],[Closing Date]],"yyyy")</f>
        <v>2023</v>
      </c>
      <c r="R79" s="49" t="str">
        <f>TEXT(Table1[[#This Row],[Closing Date]],"mmmm")</f>
        <v>April</v>
      </c>
      <c r="S79" s="49" t="s">
        <v>368</v>
      </c>
      <c r="T79" s="49" t="s">
        <v>285</v>
      </c>
    </row>
    <row r="80" spans="1:20" x14ac:dyDescent="0.25">
      <c r="A80" t="s">
        <v>335</v>
      </c>
      <c r="B80" t="s">
        <v>432</v>
      </c>
      <c r="C80" t="s">
        <v>51</v>
      </c>
      <c r="D80" t="s">
        <v>38</v>
      </c>
      <c r="E80" s="49"/>
      <c r="F80" s="60">
        <v>45020</v>
      </c>
      <c r="G80" t="s">
        <v>130</v>
      </c>
      <c r="H80">
        <v>15</v>
      </c>
      <c r="I80" s="49">
        <v>3097908</v>
      </c>
      <c r="K80" s="115">
        <v>3092029.5</v>
      </c>
      <c r="L80" s="49">
        <v>4130.5439999999999</v>
      </c>
      <c r="M80" s="49">
        <v>4122.7060000000001</v>
      </c>
      <c r="N80" s="49">
        <v>-5878.5</v>
      </c>
      <c r="O80" s="47">
        <v>-1.8975708768626453E-3</v>
      </c>
      <c r="P80" s="72">
        <f t="shared" si="1"/>
        <v>35300.249999998327</v>
      </c>
      <c r="Q80" s="49" t="str">
        <f>TEXT(Table1[[#This Row],[Closing Date]],"yyyy")</f>
        <v>2023</v>
      </c>
      <c r="R80" s="49" t="str">
        <f>TEXT(Table1[[#This Row],[Closing Date]],"mmmm")</f>
        <v>April</v>
      </c>
      <c r="S80" s="49" t="s">
        <v>368</v>
      </c>
      <c r="T80" s="49" t="s">
        <v>429</v>
      </c>
    </row>
    <row r="81" spans="1:20" x14ac:dyDescent="0.25">
      <c r="A81" t="s">
        <v>335</v>
      </c>
      <c r="B81" t="s">
        <v>432</v>
      </c>
      <c r="C81" t="s">
        <v>51</v>
      </c>
      <c r="D81" t="s">
        <v>38</v>
      </c>
      <c r="E81" s="49"/>
      <c r="F81" s="60">
        <v>45020</v>
      </c>
      <c r="G81" t="s">
        <v>130</v>
      </c>
      <c r="H81">
        <v>10</v>
      </c>
      <c r="I81" s="49">
        <v>2073772</v>
      </c>
      <c r="K81" s="115">
        <v>2069603</v>
      </c>
      <c r="L81" s="49">
        <v>4147.5439999999999</v>
      </c>
      <c r="M81" s="49">
        <v>4139.2060000000001</v>
      </c>
      <c r="N81" s="49">
        <v>-4169</v>
      </c>
      <c r="O81" s="47">
        <v>-2.0103463640168107E-3</v>
      </c>
      <c r="P81" s="72">
        <f t="shared" si="1"/>
        <v>31131.249999998327</v>
      </c>
      <c r="Q81" s="49" t="str">
        <f>TEXT(Table1[[#This Row],[Closing Date]],"yyyy")</f>
        <v>2023</v>
      </c>
      <c r="R81" s="49" t="str">
        <f>TEXT(Table1[[#This Row],[Closing Date]],"mmmm")</f>
        <v>April</v>
      </c>
      <c r="S81" s="49" t="s">
        <v>368</v>
      </c>
      <c r="T81" s="49" t="s">
        <v>429</v>
      </c>
    </row>
    <row r="82" spans="1:20" x14ac:dyDescent="0.25">
      <c r="A82" t="s">
        <v>335</v>
      </c>
      <c r="B82" t="s">
        <v>432</v>
      </c>
      <c r="C82" t="s">
        <v>51</v>
      </c>
      <c r="D82" t="s">
        <v>38</v>
      </c>
      <c r="E82" s="49"/>
      <c r="F82" s="60">
        <v>45020</v>
      </c>
      <c r="G82" t="s">
        <v>137</v>
      </c>
      <c r="H82">
        <v>6</v>
      </c>
      <c r="I82" s="49">
        <v>539563.19999999995</v>
      </c>
      <c r="K82" s="115">
        <v>537685.80000000005</v>
      </c>
      <c r="L82" s="49">
        <v>1798.5439999999999</v>
      </c>
      <c r="M82" s="49">
        <v>1792.2860000000001</v>
      </c>
      <c r="N82" s="49">
        <v>-1877.3999999999069</v>
      </c>
      <c r="O82" s="47">
        <v>-3.4794811803324308E-3</v>
      </c>
      <c r="P82" s="72">
        <f t="shared" si="1"/>
        <v>29253.84999999842</v>
      </c>
      <c r="Q82" s="49" t="str">
        <f>TEXT(Table1[[#This Row],[Closing Date]],"yyyy")</f>
        <v>2023</v>
      </c>
      <c r="R82" s="49" t="str">
        <f>TEXT(Table1[[#This Row],[Closing Date]],"mmmm")</f>
        <v>April</v>
      </c>
      <c r="S82" s="49" t="s">
        <v>368</v>
      </c>
      <c r="T82" s="49" t="s">
        <v>429</v>
      </c>
    </row>
    <row r="83" spans="1:20" x14ac:dyDescent="0.25">
      <c r="A83" t="s">
        <v>335</v>
      </c>
      <c r="B83" t="s">
        <v>432</v>
      </c>
      <c r="C83" t="s">
        <v>51</v>
      </c>
      <c r="D83" t="s">
        <v>38</v>
      </c>
      <c r="E83" s="49"/>
      <c r="F83" s="60">
        <v>45021</v>
      </c>
      <c r="G83" t="s">
        <v>130</v>
      </c>
      <c r="H83">
        <v>15</v>
      </c>
      <c r="I83" s="49">
        <v>3082533</v>
      </c>
      <c r="K83" s="115">
        <v>3076654.5</v>
      </c>
      <c r="L83" s="49">
        <v>4110.0439999999999</v>
      </c>
      <c r="M83" s="49">
        <v>4102.2060000000001</v>
      </c>
      <c r="N83" s="49">
        <v>-5878.5</v>
      </c>
      <c r="O83" s="47">
        <v>-1.9070355451181881E-3</v>
      </c>
      <c r="P83" s="72">
        <f t="shared" si="1"/>
        <v>23375.34999999842</v>
      </c>
      <c r="Q83" s="49" t="str">
        <f>TEXT(Table1[[#This Row],[Closing Date]],"yyyy")</f>
        <v>2023</v>
      </c>
      <c r="R83" s="49" t="str">
        <f>TEXT(Table1[[#This Row],[Closing Date]],"mmmm")</f>
        <v>April</v>
      </c>
      <c r="S83" s="49" t="s">
        <v>368</v>
      </c>
      <c r="T83" s="49" t="s">
        <v>429</v>
      </c>
    </row>
    <row r="84" spans="1:20" x14ac:dyDescent="0.25">
      <c r="A84" t="s">
        <v>335</v>
      </c>
      <c r="B84" t="s">
        <v>432</v>
      </c>
      <c r="C84" t="s">
        <v>51</v>
      </c>
      <c r="D84" t="s">
        <v>38</v>
      </c>
      <c r="E84" s="49"/>
      <c r="F84" s="60">
        <v>45022</v>
      </c>
      <c r="G84" t="s">
        <v>130</v>
      </c>
      <c r="H84">
        <v>10</v>
      </c>
      <c r="I84" s="49">
        <v>2052522</v>
      </c>
      <c r="K84" s="115">
        <v>2048478</v>
      </c>
      <c r="L84" s="49">
        <v>4105.0439999999999</v>
      </c>
      <c r="M84" s="49">
        <v>4096.9560000000001</v>
      </c>
      <c r="N84" s="49">
        <v>-4044</v>
      </c>
      <c r="O84" s="47">
        <v>-1.9702590276741831E-3</v>
      </c>
      <c r="P84" s="72">
        <f t="shared" si="1"/>
        <v>19331.34999999842</v>
      </c>
      <c r="Q84" s="49" t="str">
        <f>TEXT(Table1[[#This Row],[Closing Date]],"yyyy")</f>
        <v>2023</v>
      </c>
      <c r="R84" s="49" t="str">
        <f>TEXT(Table1[[#This Row],[Closing Date]],"mmmm")</f>
        <v>April</v>
      </c>
      <c r="S84" s="49" t="s">
        <v>368</v>
      </c>
      <c r="T84" s="49" t="s">
        <v>429</v>
      </c>
    </row>
    <row r="85" spans="1:20" x14ac:dyDescent="0.25">
      <c r="A85" t="s">
        <v>283</v>
      </c>
      <c r="B85" t="s">
        <v>433</v>
      </c>
      <c r="C85" t="s">
        <v>56</v>
      </c>
      <c r="D85" t="s">
        <v>38</v>
      </c>
      <c r="E85" s="49"/>
      <c r="F85" s="60">
        <v>45022</v>
      </c>
      <c r="G85" t="s">
        <v>265</v>
      </c>
      <c r="H85">
        <v>345</v>
      </c>
      <c r="I85" s="49">
        <v>99937.88</v>
      </c>
      <c r="K85" s="115">
        <v>97239.03</v>
      </c>
      <c r="L85" s="49">
        <v>289.67501449275363</v>
      </c>
      <c r="M85" s="49">
        <v>281.85226086956521</v>
      </c>
      <c r="N85" s="49">
        <v>-2698.8500000000058</v>
      </c>
      <c r="O85" s="47">
        <v>-2.7005275677250765E-2</v>
      </c>
      <c r="P85" s="72">
        <f t="shared" si="1"/>
        <v>16632.499999998414</v>
      </c>
      <c r="Q85" s="49" t="str">
        <f>TEXT(Table1[[#This Row],[Closing Date]],"yyyy")</f>
        <v>2023</v>
      </c>
      <c r="R85" s="49" t="str">
        <f>TEXT(Table1[[#This Row],[Closing Date]],"mmmm")</f>
        <v>April</v>
      </c>
      <c r="S85" s="49" t="s">
        <v>368</v>
      </c>
      <c r="T85" s="49" t="s">
        <v>285</v>
      </c>
    </row>
    <row r="86" spans="1:20" x14ac:dyDescent="0.25">
      <c r="A86" t="s">
        <v>335</v>
      </c>
      <c r="B86" t="s">
        <v>432</v>
      </c>
      <c r="C86" t="s">
        <v>51</v>
      </c>
      <c r="D86" t="s">
        <v>36</v>
      </c>
      <c r="E86" s="49"/>
      <c r="F86" s="60">
        <v>45027</v>
      </c>
      <c r="G86" t="s">
        <v>130</v>
      </c>
      <c r="H86">
        <v>15</v>
      </c>
      <c r="I86" s="49">
        <v>3111408</v>
      </c>
      <c r="K86" s="115">
        <v>3108904.5</v>
      </c>
      <c r="L86" s="49">
        <v>4148.5439999999999</v>
      </c>
      <c r="M86" s="49">
        <v>4145.2060000000001</v>
      </c>
      <c r="N86" s="49">
        <v>-2503.5</v>
      </c>
      <c r="O86" s="47">
        <v>-8.0461964486811238E-4</v>
      </c>
      <c r="P86" s="72">
        <f t="shared" si="1"/>
        <v>14128.999999998414</v>
      </c>
      <c r="Q86" s="49" t="str">
        <f>TEXT(Table1[[#This Row],[Closing Date]],"yyyy")</f>
        <v>2023</v>
      </c>
      <c r="R86" s="49" t="str">
        <f>TEXT(Table1[[#This Row],[Closing Date]],"mmmm")</f>
        <v>April</v>
      </c>
      <c r="S86" s="49" t="s">
        <v>368</v>
      </c>
      <c r="T86" s="49" t="s">
        <v>429</v>
      </c>
    </row>
    <row r="87" spans="1:20" x14ac:dyDescent="0.25">
      <c r="A87" t="s">
        <v>335</v>
      </c>
      <c r="B87" t="s">
        <v>432</v>
      </c>
      <c r="C87" t="s">
        <v>51</v>
      </c>
      <c r="D87" t="s">
        <v>38</v>
      </c>
      <c r="E87" s="49"/>
      <c r="F87" s="60">
        <v>45027</v>
      </c>
      <c r="G87" t="s">
        <v>130</v>
      </c>
      <c r="H87">
        <v>10</v>
      </c>
      <c r="I87" s="49">
        <v>2066147</v>
      </c>
      <c r="K87" s="115">
        <v>2072528</v>
      </c>
      <c r="L87" s="49">
        <v>4132.2939999999999</v>
      </c>
      <c r="M87" s="49">
        <v>4145.0559999999996</v>
      </c>
      <c r="N87" s="49">
        <v>6381</v>
      </c>
      <c r="O87" s="47">
        <v>3.0883572175647999E-3</v>
      </c>
      <c r="P87" s="72">
        <f t="shared" si="1"/>
        <v>20509.999999998414</v>
      </c>
      <c r="Q87" s="49" t="str">
        <f>TEXT(Table1[[#This Row],[Closing Date]],"yyyy")</f>
        <v>2023</v>
      </c>
      <c r="R87" s="49" t="str">
        <f>TEXT(Table1[[#This Row],[Closing Date]],"mmmm")</f>
        <v>April</v>
      </c>
      <c r="S87" s="49" t="s">
        <v>368</v>
      </c>
      <c r="T87" s="49" t="s">
        <v>429</v>
      </c>
    </row>
    <row r="88" spans="1:20" x14ac:dyDescent="0.25">
      <c r="A88" t="s">
        <v>335</v>
      </c>
      <c r="B88" t="s">
        <v>432</v>
      </c>
      <c r="C88" t="s">
        <v>51</v>
      </c>
      <c r="D88" t="s">
        <v>38</v>
      </c>
      <c r="E88" s="49"/>
      <c r="F88" s="60">
        <v>45028</v>
      </c>
      <c r="G88" t="s">
        <v>130</v>
      </c>
      <c r="H88">
        <v>10</v>
      </c>
      <c r="I88" s="49">
        <v>2063022</v>
      </c>
      <c r="K88" s="115">
        <v>2070728</v>
      </c>
      <c r="L88" s="49">
        <v>4126.0439999999999</v>
      </c>
      <c r="M88" s="49">
        <v>4141.4560000000001</v>
      </c>
      <c r="N88" s="49">
        <v>7706</v>
      </c>
      <c r="O88" s="47">
        <v>3.7352970545152359E-3</v>
      </c>
      <c r="P88" s="72">
        <f t="shared" si="1"/>
        <v>28215.999999998414</v>
      </c>
      <c r="Q88" s="49" t="str">
        <f>TEXT(Table1[[#This Row],[Closing Date]],"yyyy")</f>
        <v>2023</v>
      </c>
      <c r="R88" s="49" t="str">
        <f>TEXT(Table1[[#This Row],[Closing Date]],"mmmm")</f>
        <v>April</v>
      </c>
      <c r="S88" s="49" t="s">
        <v>368</v>
      </c>
      <c r="T88" s="49" t="s">
        <v>429</v>
      </c>
    </row>
    <row r="89" spans="1:20" x14ac:dyDescent="0.25">
      <c r="A89" t="s">
        <v>335</v>
      </c>
      <c r="B89" t="s">
        <v>432</v>
      </c>
      <c r="C89" t="s">
        <v>51</v>
      </c>
      <c r="D89" t="s">
        <v>36</v>
      </c>
      <c r="E89" s="49"/>
      <c r="F89" s="60">
        <v>45029</v>
      </c>
      <c r="G89" t="s">
        <v>130</v>
      </c>
      <c r="H89">
        <v>10</v>
      </c>
      <c r="I89" s="49">
        <v>2077022</v>
      </c>
      <c r="K89" s="115">
        <v>2072978</v>
      </c>
      <c r="L89" s="49">
        <v>4154.0439999999999</v>
      </c>
      <c r="M89" s="49">
        <v>4145.9560000000001</v>
      </c>
      <c r="N89" s="49">
        <v>-4044</v>
      </c>
      <c r="O89" s="47">
        <v>-1.9470183753469482E-3</v>
      </c>
      <c r="P89" s="72">
        <f t="shared" si="1"/>
        <v>24171.999999998414</v>
      </c>
      <c r="Q89" s="49" t="str">
        <f>TEXT(Table1[[#This Row],[Closing Date]],"yyyy")</f>
        <v>2023</v>
      </c>
      <c r="R89" s="49" t="str">
        <f>TEXT(Table1[[#This Row],[Closing Date]],"mmmm")</f>
        <v>April</v>
      </c>
      <c r="S89" s="49" t="s">
        <v>368</v>
      </c>
      <c r="T89" s="49" t="s">
        <v>429</v>
      </c>
    </row>
    <row r="90" spans="1:20" x14ac:dyDescent="0.25">
      <c r="A90" t="s">
        <v>335</v>
      </c>
      <c r="B90" t="s">
        <v>432</v>
      </c>
      <c r="C90" t="s">
        <v>51</v>
      </c>
      <c r="D90" t="s">
        <v>36</v>
      </c>
      <c r="E90" s="49"/>
      <c r="F90" s="60">
        <v>45030</v>
      </c>
      <c r="G90" t="s">
        <v>130</v>
      </c>
      <c r="H90">
        <v>10</v>
      </c>
      <c r="I90" s="49">
        <v>2092897</v>
      </c>
      <c r="K90" s="115">
        <v>2088978</v>
      </c>
      <c r="L90" s="49">
        <v>4185.7939999999999</v>
      </c>
      <c r="M90" s="49">
        <v>4177.9560000000001</v>
      </c>
      <c r="N90" s="49">
        <v>-3919</v>
      </c>
      <c r="O90" s="47">
        <v>-1.8725240659238696E-3</v>
      </c>
      <c r="P90" s="72">
        <f t="shared" si="1"/>
        <v>20252.999999998414</v>
      </c>
      <c r="Q90" s="49" t="str">
        <f>TEXT(Table1[[#This Row],[Closing Date]],"yyyy")</f>
        <v>2023</v>
      </c>
      <c r="R90" s="49" t="str">
        <f>TEXT(Table1[[#This Row],[Closing Date]],"mmmm")</f>
        <v>April</v>
      </c>
      <c r="S90" s="49" t="s">
        <v>368</v>
      </c>
      <c r="T90" s="49" t="s">
        <v>429</v>
      </c>
    </row>
    <row r="91" spans="1:20" x14ac:dyDescent="0.25">
      <c r="A91" t="s">
        <v>283</v>
      </c>
      <c r="B91" t="s">
        <v>434</v>
      </c>
      <c r="C91" t="s">
        <v>56</v>
      </c>
      <c r="D91" t="s">
        <v>36</v>
      </c>
      <c r="E91" s="49"/>
      <c r="F91" s="60">
        <v>45033</v>
      </c>
      <c r="G91" t="s">
        <v>62</v>
      </c>
      <c r="H91">
        <v>1500</v>
      </c>
      <c r="I91" s="49">
        <v>142365.6</v>
      </c>
      <c r="K91" s="115">
        <v>139028.76999999999</v>
      </c>
      <c r="L91" s="49">
        <v>94.91040000000001</v>
      </c>
      <c r="M91" s="49">
        <v>92.685846666666663</v>
      </c>
      <c r="N91" s="49">
        <v>-3336.8300000000163</v>
      </c>
      <c r="O91" s="47">
        <v>-2.3438457042993674E-2</v>
      </c>
      <c r="P91" s="72">
        <f t="shared" si="1"/>
        <v>16916.169999998398</v>
      </c>
      <c r="Q91" s="49" t="str">
        <f>TEXT(Table1[[#This Row],[Closing Date]],"yyyy")</f>
        <v>2023</v>
      </c>
      <c r="R91" s="49" t="str">
        <f>TEXT(Table1[[#This Row],[Closing Date]],"mmmm")</f>
        <v>April</v>
      </c>
      <c r="S91" s="49" t="s">
        <v>368</v>
      </c>
      <c r="T91" s="49" t="s">
        <v>429</v>
      </c>
    </row>
    <row r="92" spans="1:20" x14ac:dyDescent="0.25">
      <c r="A92" t="s">
        <v>335</v>
      </c>
      <c r="B92" t="s">
        <v>432</v>
      </c>
      <c r="C92" t="s">
        <v>51</v>
      </c>
      <c r="D92" t="s">
        <v>38</v>
      </c>
      <c r="E92" s="49"/>
      <c r="F92" s="60">
        <v>45033</v>
      </c>
      <c r="G92" t="s">
        <v>130</v>
      </c>
      <c r="H92">
        <v>15</v>
      </c>
      <c r="I92" s="49">
        <v>3112533</v>
      </c>
      <c r="K92" s="115">
        <v>3112842</v>
      </c>
      <c r="L92" s="49">
        <v>4150.0439999999999</v>
      </c>
      <c r="M92" s="49">
        <v>4150.4560000000001</v>
      </c>
      <c r="N92" s="49">
        <v>309</v>
      </c>
      <c r="O92" s="47">
        <v>9.9276055868386445E-5</v>
      </c>
      <c r="P92" s="72">
        <f t="shared" si="1"/>
        <v>17225.169999998398</v>
      </c>
      <c r="Q92" s="49" t="str">
        <f>TEXT(Table1[[#This Row],[Closing Date]],"yyyy")</f>
        <v>2023</v>
      </c>
      <c r="R92" s="49" t="str">
        <f>TEXT(Table1[[#This Row],[Closing Date]],"mmmm")</f>
        <v>April</v>
      </c>
      <c r="S92" s="49" t="s">
        <v>368</v>
      </c>
      <c r="T92" s="49" t="s">
        <v>429</v>
      </c>
    </row>
    <row r="93" spans="1:20" x14ac:dyDescent="0.25">
      <c r="A93" t="s">
        <v>283</v>
      </c>
      <c r="B93" t="s">
        <v>430</v>
      </c>
      <c r="C93" t="s">
        <v>56</v>
      </c>
      <c r="D93" t="s">
        <v>36</v>
      </c>
      <c r="E93" s="49"/>
      <c r="F93" s="60">
        <v>45033</v>
      </c>
      <c r="G93" t="s">
        <v>62</v>
      </c>
      <c r="H93">
        <v>1500</v>
      </c>
      <c r="I93" s="49">
        <v>142365.6</v>
      </c>
      <c r="K93" s="115">
        <v>139028.76999999999</v>
      </c>
      <c r="L93" s="49">
        <v>94.91040000000001</v>
      </c>
      <c r="M93" s="49">
        <v>92.685846666666663</v>
      </c>
      <c r="N93" s="49">
        <v>-3336.8300000000163</v>
      </c>
      <c r="O93" s="47">
        <v>-2.3438457042993674E-2</v>
      </c>
      <c r="P93" s="72">
        <f t="shared" si="1"/>
        <v>13888.339999998381</v>
      </c>
      <c r="Q93" s="49" t="str">
        <f>TEXT(Table1[[#This Row],[Closing Date]],"yyyy")</f>
        <v>2023</v>
      </c>
      <c r="R93" s="49" t="str">
        <f>TEXT(Table1[[#This Row],[Closing Date]],"mmmm")</f>
        <v>April</v>
      </c>
      <c r="S93" s="49" t="s">
        <v>368</v>
      </c>
      <c r="T93" s="49" t="s">
        <v>429</v>
      </c>
    </row>
    <row r="94" spans="1:20" x14ac:dyDescent="0.25">
      <c r="A94" t="s">
        <v>283</v>
      </c>
      <c r="B94" t="s">
        <v>433</v>
      </c>
      <c r="C94" t="s">
        <v>70</v>
      </c>
      <c r="D94" t="s">
        <v>38</v>
      </c>
      <c r="E94" s="49"/>
      <c r="F94" s="60">
        <v>45033</v>
      </c>
      <c r="G94" t="s">
        <v>170</v>
      </c>
      <c r="H94">
        <v>2361</v>
      </c>
      <c r="I94" s="49">
        <v>99870.3</v>
      </c>
      <c r="K94" s="115">
        <v>94321.2</v>
      </c>
      <c r="L94" s="49">
        <v>42.300000000000004</v>
      </c>
      <c r="M94" s="49">
        <v>39.949682337992378</v>
      </c>
      <c r="N94" s="49">
        <v>-5549.1000000000058</v>
      </c>
      <c r="O94" s="47">
        <v>-5.5563065295688566E-2</v>
      </c>
      <c r="P94" s="72">
        <f t="shared" si="1"/>
        <v>8339.2399999983754</v>
      </c>
      <c r="Q94" s="49" t="str">
        <f>TEXT(Table1[[#This Row],[Closing Date]],"yyyy")</f>
        <v>2023</v>
      </c>
      <c r="R94" s="49" t="str">
        <f>TEXT(Table1[[#This Row],[Closing Date]],"mmmm")</f>
        <v>April</v>
      </c>
      <c r="S94" s="49" t="s">
        <v>368</v>
      </c>
      <c r="T94" s="49" t="s">
        <v>285</v>
      </c>
    </row>
    <row r="95" spans="1:20" x14ac:dyDescent="0.25">
      <c r="A95" t="s">
        <v>283</v>
      </c>
      <c r="B95" t="s">
        <v>433</v>
      </c>
      <c r="C95" t="s">
        <v>56</v>
      </c>
      <c r="D95" t="s">
        <v>38</v>
      </c>
      <c r="E95" s="49"/>
      <c r="F95" s="60">
        <v>45033</v>
      </c>
      <c r="G95" t="s">
        <v>64</v>
      </c>
      <c r="H95">
        <v>157</v>
      </c>
      <c r="I95" s="49">
        <v>99716.479999999996</v>
      </c>
      <c r="K95" s="115">
        <v>109266.42</v>
      </c>
      <c r="L95" s="49">
        <v>635.13681528662414</v>
      </c>
      <c r="M95" s="49">
        <v>695.96445859872608</v>
      </c>
      <c r="N95" s="49">
        <v>9549.9400000000023</v>
      </c>
      <c r="O95" s="47">
        <v>9.5770929739998872E-2</v>
      </c>
      <c r="P95" s="72">
        <f t="shared" si="1"/>
        <v>17889.179999998378</v>
      </c>
      <c r="Q95" s="49" t="str">
        <f>TEXT(Table1[[#This Row],[Closing Date]],"yyyy")</f>
        <v>2023</v>
      </c>
      <c r="R95" s="49" t="str">
        <f>TEXT(Table1[[#This Row],[Closing Date]],"mmmm")</f>
        <v>April</v>
      </c>
      <c r="S95" s="49" t="s">
        <v>368</v>
      </c>
      <c r="T95" s="49" t="s">
        <v>285</v>
      </c>
    </row>
    <row r="96" spans="1:20" x14ac:dyDescent="0.25">
      <c r="A96" t="s">
        <v>335</v>
      </c>
      <c r="B96" t="s">
        <v>432</v>
      </c>
      <c r="C96" t="s">
        <v>51</v>
      </c>
      <c r="D96" t="s">
        <v>38</v>
      </c>
      <c r="E96" s="49"/>
      <c r="F96" s="60">
        <v>45034</v>
      </c>
      <c r="G96" t="s">
        <v>130</v>
      </c>
      <c r="H96">
        <v>15</v>
      </c>
      <c r="I96" s="49">
        <v>3129220.5</v>
      </c>
      <c r="K96" s="115">
        <v>3130967</v>
      </c>
      <c r="L96" s="49">
        <v>4172.2939999999999</v>
      </c>
      <c r="M96" s="49">
        <v>4174.6226666666662</v>
      </c>
      <c r="N96" s="49">
        <v>1746.5</v>
      </c>
      <c r="O96" s="47">
        <v>5.5812621705620996E-4</v>
      </c>
      <c r="P96" s="72">
        <f t="shared" si="1"/>
        <v>19635.679999998378</v>
      </c>
      <c r="Q96" s="49" t="str">
        <f>TEXT(Table1[[#This Row],[Closing Date]],"yyyy")</f>
        <v>2023</v>
      </c>
      <c r="R96" s="49" t="str">
        <f>TEXT(Table1[[#This Row],[Closing Date]],"mmmm")</f>
        <v>April</v>
      </c>
      <c r="S96" s="49" t="s">
        <v>368</v>
      </c>
      <c r="T96" s="49" t="s">
        <v>429</v>
      </c>
    </row>
    <row r="97" spans="1:20" x14ac:dyDescent="0.25">
      <c r="A97" t="s">
        <v>283</v>
      </c>
      <c r="B97" t="s">
        <v>434</v>
      </c>
      <c r="C97" t="s">
        <v>51</v>
      </c>
      <c r="D97" t="s">
        <v>38</v>
      </c>
      <c r="E97" s="49"/>
      <c r="F97" s="60">
        <v>45036</v>
      </c>
      <c r="G97" t="s">
        <v>130</v>
      </c>
      <c r="H97">
        <v>25</v>
      </c>
      <c r="I97" s="49">
        <v>5181305</v>
      </c>
      <c r="K97" s="115">
        <v>5171195</v>
      </c>
      <c r="L97" s="49">
        <v>4145.0439999999999</v>
      </c>
      <c r="M97" s="49">
        <v>4136.9560000000001</v>
      </c>
      <c r="N97" s="49">
        <v>-10110</v>
      </c>
      <c r="O97" s="47">
        <v>-1.95124587338518E-3</v>
      </c>
      <c r="P97" s="72">
        <f t="shared" si="1"/>
        <v>9525.6799999983778</v>
      </c>
      <c r="Q97" s="49" t="str">
        <f>TEXT(Table1[[#This Row],[Closing Date]],"yyyy")</f>
        <v>2023</v>
      </c>
      <c r="R97" s="49" t="str">
        <f>TEXT(Table1[[#This Row],[Closing Date]],"mmmm")</f>
        <v>April</v>
      </c>
      <c r="S97" s="49" t="s">
        <v>368</v>
      </c>
      <c r="T97" s="49" t="s">
        <v>429</v>
      </c>
    </row>
    <row r="98" spans="1:20" x14ac:dyDescent="0.25">
      <c r="A98" t="s">
        <v>276</v>
      </c>
      <c r="B98" t="s">
        <v>433</v>
      </c>
      <c r="C98" t="s">
        <v>152</v>
      </c>
      <c r="D98" t="s">
        <v>38</v>
      </c>
      <c r="E98" s="49"/>
      <c r="F98" s="60">
        <v>45037</v>
      </c>
      <c r="G98" t="s">
        <v>55</v>
      </c>
      <c r="H98">
        <v>35</v>
      </c>
      <c r="I98" s="49">
        <v>5804.1200000000008</v>
      </c>
      <c r="J98" s="106">
        <v>100</v>
      </c>
      <c r="K98" s="115">
        <v>0</v>
      </c>
      <c r="L98" s="49">
        <v>1.6583200000000002</v>
      </c>
      <c r="M98" s="49">
        <v>0</v>
      </c>
      <c r="N98" s="49">
        <v>-5804.1200000000008</v>
      </c>
      <c r="O98" s="47">
        <v>-1</v>
      </c>
      <c r="P98" s="72">
        <f t="shared" si="1"/>
        <v>3721.559999998377</v>
      </c>
      <c r="Q98" s="49" t="str">
        <f>TEXT(Table1[[#This Row],[Closing Date]],"yyyy")</f>
        <v>2023</v>
      </c>
      <c r="R98" s="49" t="str">
        <f>TEXT(Table1[[#This Row],[Closing Date]],"mmmm")</f>
        <v>April</v>
      </c>
      <c r="S98" s="49" t="s">
        <v>368</v>
      </c>
      <c r="T98" s="49" t="s">
        <v>429</v>
      </c>
    </row>
    <row r="99" spans="1:20" x14ac:dyDescent="0.25">
      <c r="A99" t="s">
        <v>276</v>
      </c>
      <c r="B99" t="s">
        <v>433</v>
      </c>
      <c r="C99" t="s">
        <v>152</v>
      </c>
      <c r="D99" t="s">
        <v>38</v>
      </c>
      <c r="E99" s="49"/>
      <c r="F99" s="60">
        <v>45037</v>
      </c>
      <c r="G99" t="s">
        <v>43</v>
      </c>
      <c r="H99">
        <v>30</v>
      </c>
      <c r="I99" s="49">
        <v>5684.32</v>
      </c>
      <c r="J99" s="106">
        <v>100</v>
      </c>
      <c r="K99" s="115">
        <v>20408.47</v>
      </c>
      <c r="L99" s="49">
        <v>1.8947733333333332</v>
      </c>
      <c r="M99" s="49">
        <v>6.8028233333333334</v>
      </c>
      <c r="N99" s="49">
        <v>14724.150000000001</v>
      </c>
      <c r="O99" s="47">
        <v>2.5903098347735529</v>
      </c>
      <c r="P99" s="72">
        <f t="shared" si="1"/>
        <v>18445.709999998377</v>
      </c>
      <c r="Q99" s="49" t="str">
        <f>TEXT(Table1[[#This Row],[Closing Date]],"yyyy")</f>
        <v>2023</v>
      </c>
      <c r="R99" s="49" t="str">
        <f>TEXT(Table1[[#This Row],[Closing Date]],"mmmm")</f>
        <v>April</v>
      </c>
      <c r="S99" s="49" t="s">
        <v>368</v>
      </c>
      <c r="T99" s="49" t="s">
        <v>429</v>
      </c>
    </row>
    <row r="100" spans="1:20" x14ac:dyDescent="0.25">
      <c r="A100" t="s">
        <v>276</v>
      </c>
      <c r="B100" t="s">
        <v>433</v>
      </c>
      <c r="C100" t="s">
        <v>152</v>
      </c>
      <c r="D100" t="s">
        <v>38</v>
      </c>
      <c r="E100" s="49"/>
      <c r="F100" s="60">
        <v>45037</v>
      </c>
      <c r="G100" t="s">
        <v>58</v>
      </c>
      <c r="H100">
        <v>70</v>
      </c>
      <c r="I100" s="49">
        <v>6381.34</v>
      </c>
      <c r="J100" s="106">
        <v>100</v>
      </c>
      <c r="K100" s="115">
        <v>31903.38</v>
      </c>
      <c r="L100" s="49">
        <v>0.9116200000000001</v>
      </c>
      <c r="M100" s="49">
        <v>4.5576257142857148</v>
      </c>
      <c r="N100" s="49">
        <v>25522.04</v>
      </c>
      <c r="O100" s="47">
        <v>3.9994797330968104</v>
      </c>
      <c r="P100" s="72">
        <f t="shared" si="1"/>
        <v>43967.749999998377</v>
      </c>
      <c r="Q100" s="49" t="str">
        <f>TEXT(Table1[[#This Row],[Closing Date]],"yyyy")</f>
        <v>2023</v>
      </c>
      <c r="R100" s="49" t="str">
        <f>TEXT(Table1[[#This Row],[Closing Date]],"mmmm")</f>
        <v>April</v>
      </c>
      <c r="S100" s="49" t="s">
        <v>368</v>
      </c>
      <c r="T100" s="49" t="s">
        <v>429</v>
      </c>
    </row>
    <row r="101" spans="1:20" x14ac:dyDescent="0.25">
      <c r="A101" t="s">
        <v>283</v>
      </c>
      <c r="B101" t="s">
        <v>433</v>
      </c>
      <c r="C101" t="s">
        <v>56</v>
      </c>
      <c r="D101" t="s">
        <v>38</v>
      </c>
      <c r="E101" s="49"/>
      <c r="F101" s="60">
        <v>45037</v>
      </c>
      <c r="G101" t="s">
        <v>59</v>
      </c>
      <c r="H101">
        <v>4000</v>
      </c>
      <c r="I101" s="49">
        <v>132020</v>
      </c>
      <c r="K101" s="115">
        <v>144446.06</v>
      </c>
      <c r="L101" s="49">
        <v>33.005000000000003</v>
      </c>
      <c r="M101" s="49">
        <v>36.111514999999997</v>
      </c>
      <c r="N101" s="49">
        <v>12426.059999999998</v>
      </c>
      <c r="O101" s="47">
        <v>9.4122557188304631E-2</v>
      </c>
      <c r="P101" s="72">
        <f t="shared" si="1"/>
        <v>56393.809999998375</v>
      </c>
      <c r="Q101" s="49" t="str">
        <f>TEXT(Table1[[#This Row],[Closing Date]],"yyyy")</f>
        <v>2023</v>
      </c>
      <c r="R101" s="49" t="str">
        <f>TEXT(Table1[[#This Row],[Closing Date]],"mmmm")</f>
        <v>April</v>
      </c>
      <c r="S101" s="49" t="s">
        <v>368</v>
      </c>
      <c r="T101" s="49" t="s">
        <v>429</v>
      </c>
    </row>
    <row r="102" spans="1:20" x14ac:dyDescent="0.25">
      <c r="A102" t="s">
        <v>276</v>
      </c>
      <c r="B102" t="s">
        <v>434</v>
      </c>
      <c r="C102" t="s">
        <v>149</v>
      </c>
      <c r="D102" t="s">
        <v>38</v>
      </c>
      <c r="E102" s="49"/>
      <c r="F102" s="60">
        <v>45037</v>
      </c>
      <c r="G102" t="s">
        <v>53</v>
      </c>
      <c r="H102">
        <v>11</v>
      </c>
      <c r="I102" s="49">
        <v>2016.07</v>
      </c>
      <c r="J102" s="106">
        <v>100</v>
      </c>
      <c r="K102" s="115">
        <v>0</v>
      </c>
      <c r="L102" s="49">
        <v>1.8327909090909091</v>
      </c>
      <c r="M102" s="49">
        <v>0</v>
      </c>
      <c r="N102" s="49">
        <v>-2016.07</v>
      </c>
      <c r="O102" s="47">
        <v>-1</v>
      </c>
      <c r="P102" s="72">
        <f t="shared" si="1"/>
        <v>54377.739999998375</v>
      </c>
      <c r="Q102" s="49" t="str">
        <f>TEXT(Table1[[#This Row],[Closing Date]],"yyyy")</f>
        <v>2023</v>
      </c>
      <c r="R102" s="49" t="str">
        <f>TEXT(Table1[[#This Row],[Closing Date]],"mmmm")</f>
        <v>April</v>
      </c>
      <c r="S102" s="49" t="s">
        <v>368</v>
      </c>
      <c r="T102" s="49" t="s">
        <v>429</v>
      </c>
    </row>
    <row r="103" spans="1:20" x14ac:dyDescent="0.25">
      <c r="A103" t="s">
        <v>283</v>
      </c>
      <c r="B103" t="s">
        <v>433</v>
      </c>
      <c r="C103" t="s">
        <v>35</v>
      </c>
      <c r="D103" t="s">
        <v>36</v>
      </c>
      <c r="E103" s="49"/>
      <c r="F103" s="60">
        <v>45040</v>
      </c>
      <c r="G103" t="s">
        <v>61</v>
      </c>
      <c r="H103">
        <v>1000000</v>
      </c>
      <c r="I103" s="49">
        <v>1243848.8799999999</v>
      </c>
      <c r="K103" s="115">
        <v>1243855.1200000001</v>
      </c>
      <c r="L103" s="49">
        <v>1.2438488799999998</v>
      </c>
      <c r="M103" s="49">
        <v>1.2438551200000001</v>
      </c>
      <c r="N103" s="49">
        <v>6.2400000002235174</v>
      </c>
      <c r="O103" s="47">
        <v>5.0166614261502715E-6</v>
      </c>
      <c r="P103" s="72">
        <f t="shared" si="1"/>
        <v>54383.979999998599</v>
      </c>
      <c r="Q103" s="49" t="str">
        <f>TEXT(Table1[[#This Row],[Closing Date]],"yyyy")</f>
        <v>2023</v>
      </c>
      <c r="R103" s="49" t="str">
        <f>TEXT(Table1[[#This Row],[Closing Date]],"mmmm")</f>
        <v>April</v>
      </c>
      <c r="S103" s="49" t="s">
        <v>368</v>
      </c>
      <c r="T103" s="49" t="s">
        <v>429</v>
      </c>
    </row>
    <row r="104" spans="1:20" x14ac:dyDescent="0.25">
      <c r="A104" t="s">
        <v>283</v>
      </c>
      <c r="B104" t="s">
        <v>433</v>
      </c>
      <c r="C104" t="s">
        <v>56</v>
      </c>
      <c r="D104" t="s">
        <v>36</v>
      </c>
      <c r="E104" s="49"/>
      <c r="F104" s="60">
        <v>45040</v>
      </c>
      <c r="G104" t="s">
        <v>68</v>
      </c>
      <c r="H104">
        <v>10685</v>
      </c>
      <c r="I104" s="49">
        <v>151859.99</v>
      </c>
      <c r="K104" s="115">
        <v>125423.6</v>
      </c>
      <c r="L104" s="49">
        <v>14.212446420215255</v>
      </c>
      <c r="M104" s="49">
        <v>11.738287318671034</v>
      </c>
      <c r="N104" s="49">
        <v>26436.389999999985</v>
      </c>
      <c r="O104" s="47">
        <v>0.17408397037297307</v>
      </c>
      <c r="P104" s="72">
        <f t="shared" si="1"/>
        <v>80820.369999998584</v>
      </c>
      <c r="Q104" s="49" t="str">
        <f>TEXT(Table1[[#This Row],[Closing Date]],"yyyy")</f>
        <v>2023</v>
      </c>
      <c r="R104" s="49" t="str">
        <f>TEXT(Table1[[#This Row],[Closing Date]],"mmmm")</f>
        <v>April</v>
      </c>
      <c r="S104" s="49" t="s">
        <v>368</v>
      </c>
      <c r="T104" s="49" t="s">
        <v>285</v>
      </c>
    </row>
    <row r="105" spans="1:20" x14ac:dyDescent="0.25">
      <c r="A105" t="s">
        <v>283</v>
      </c>
      <c r="B105" t="s">
        <v>433</v>
      </c>
      <c r="C105" t="s">
        <v>56</v>
      </c>
      <c r="D105" t="s">
        <v>38</v>
      </c>
      <c r="E105" s="49"/>
      <c r="F105" s="60">
        <v>45041</v>
      </c>
      <c r="G105" t="s">
        <v>60</v>
      </c>
      <c r="H105">
        <v>2700</v>
      </c>
      <c r="I105" s="49">
        <v>125883.44</v>
      </c>
      <c r="K105" s="115">
        <v>130262.86</v>
      </c>
      <c r="L105" s="49">
        <v>46.623496296296295</v>
      </c>
      <c r="M105" s="49">
        <v>48.245503703703704</v>
      </c>
      <c r="N105" s="49">
        <v>4379.4199999999983</v>
      </c>
      <c r="O105" s="47">
        <v>3.4789484621646855E-2</v>
      </c>
      <c r="P105" s="72">
        <f t="shared" si="1"/>
        <v>85199.789999998582</v>
      </c>
      <c r="Q105" s="49" t="str">
        <f>TEXT(Table1[[#This Row],[Closing Date]],"yyyy")</f>
        <v>2023</v>
      </c>
      <c r="R105" s="49" t="str">
        <f>TEXT(Table1[[#This Row],[Closing Date]],"mmmm")</f>
        <v>April</v>
      </c>
      <c r="S105" s="49" t="s">
        <v>368</v>
      </c>
      <c r="T105" s="49" t="s">
        <v>429</v>
      </c>
    </row>
    <row r="106" spans="1:20" x14ac:dyDescent="0.25">
      <c r="A106" t="s">
        <v>335</v>
      </c>
      <c r="B106" t="s">
        <v>432</v>
      </c>
      <c r="C106" t="s">
        <v>51</v>
      </c>
      <c r="D106" t="s">
        <v>38</v>
      </c>
      <c r="E106" s="49"/>
      <c r="F106" s="60">
        <v>45041</v>
      </c>
      <c r="G106" t="s">
        <v>130</v>
      </c>
      <c r="H106">
        <v>25</v>
      </c>
      <c r="I106" s="49">
        <v>5162555</v>
      </c>
      <c r="K106" s="115">
        <v>5152132.5</v>
      </c>
      <c r="L106" s="49">
        <v>4130.0439999999999</v>
      </c>
      <c r="M106" s="49">
        <v>4121.7060000000001</v>
      </c>
      <c r="N106" s="49">
        <v>-10422.5</v>
      </c>
      <c r="O106" s="47">
        <v>-2.0188646900613501E-3</v>
      </c>
      <c r="P106" s="72">
        <f t="shared" si="1"/>
        <v>74777.289999998582</v>
      </c>
      <c r="Q106" s="49" t="str">
        <f>TEXT(Table1[[#This Row],[Closing Date]],"yyyy")</f>
        <v>2023</v>
      </c>
      <c r="R106" s="49" t="str">
        <f>TEXT(Table1[[#This Row],[Closing Date]],"mmmm")</f>
        <v>April</v>
      </c>
      <c r="S106" s="49" t="s">
        <v>368</v>
      </c>
      <c r="T106" s="49" t="s">
        <v>429</v>
      </c>
    </row>
    <row r="107" spans="1:20" x14ac:dyDescent="0.25">
      <c r="A107" t="s">
        <v>335</v>
      </c>
      <c r="B107" t="s">
        <v>432</v>
      </c>
      <c r="C107" t="s">
        <v>51</v>
      </c>
      <c r="D107" t="s">
        <v>38</v>
      </c>
      <c r="E107" s="49"/>
      <c r="F107" s="60">
        <v>45041</v>
      </c>
      <c r="G107" t="s">
        <v>130</v>
      </c>
      <c r="H107">
        <v>25</v>
      </c>
      <c r="I107" s="49">
        <v>5137555</v>
      </c>
      <c r="K107" s="115">
        <v>5127445</v>
      </c>
      <c r="L107" s="49">
        <v>4110.0439999999999</v>
      </c>
      <c r="M107" s="49">
        <v>4101.9560000000001</v>
      </c>
      <c r="N107" s="49">
        <v>-10110</v>
      </c>
      <c r="O107" s="47">
        <v>-1.9678621445414547E-3</v>
      </c>
      <c r="P107" s="72">
        <f t="shared" si="1"/>
        <v>64667.289999998582</v>
      </c>
      <c r="Q107" s="49" t="str">
        <f>TEXT(Table1[[#This Row],[Closing Date]],"yyyy")</f>
        <v>2023</v>
      </c>
      <c r="R107" s="49" t="str">
        <f>TEXT(Table1[[#This Row],[Closing Date]],"mmmm")</f>
        <v>April</v>
      </c>
      <c r="S107" s="49" t="s">
        <v>368</v>
      </c>
      <c r="T107" s="49" t="s">
        <v>429</v>
      </c>
    </row>
    <row r="108" spans="1:20" x14ac:dyDescent="0.25">
      <c r="A108" t="s">
        <v>335</v>
      </c>
      <c r="B108" t="s">
        <v>432</v>
      </c>
      <c r="C108" t="s">
        <v>51</v>
      </c>
      <c r="D108" t="s">
        <v>36</v>
      </c>
      <c r="E108" s="49"/>
      <c r="F108" s="60">
        <v>45043</v>
      </c>
      <c r="G108" t="s">
        <v>130</v>
      </c>
      <c r="H108">
        <v>15</v>
      </c>
      <c r="I108" s="49">
        <v>3093783</v>
      </c>
      <c r="K108" s="115">
        <v>3089967</v>
      </c>
      <c r="L108" s="49">
        <v>4125.0439999999999</v>
      </c>
      <c r="M108" s="49">
        <v>4119.9560000000001</v>
      </c>
      <c r="N108" s="49">
        <v>-3816</v>
      </c>
      <c r="O108" s="47">
        <v>-1.2334413887463353E-3</v>
      </c>
      <c r="P108" s="72">
        <f t="shared" si="1"/>
        <v>60851.289999998582</v>
      </c>
      <c r="Q108" s="49" t="str">
        <f>TEXT(Table1[[#This Row],[Closing Date]],"yyyy")</f>
        <v>2023</v>
      </c>
      <c r="R108" s="49" t="str">
        <f>TEXT(Table1[[#This Row],[Closing Date]],"mmmm")</f>
        <v>April</v>
      </c>
      <c r="S108" s="49" t="s">
        <v>368</v>
      </c>
      <c r="T108" s="49" t="s">
        <v>429</v>
      </c>
    </row>
    <row r="109" spans="1:20" x14ac:dyDescent="0.25">
      <c r="A109" t="s">
        <v>283</v>
      </c>
      <c r="B109" t="s">
        <v>433</v>
      </c>
      <c r="C109" t="s">
        <v>56</v>
      </c>
      <c r="D109" t="s">
        <v>38</v>
      </c>
      <c r="E109" s="49"/>
      <c r="F109" s="60">
        <v>45043</v>
      </c>
      <c r="G109" t="s">
        <v>241</v>
      </c>
      <c r="H109">
        <v>5555</v>
      </c>
      <c r="I109" s="49">
        <v>459740.33</v>
      </c>
      <c r="K109" s="115">
        <v>523936.23</v>
      </c>
      <c r="L109" s="49">
        <v>82.761535553555362</v>
      </c>
      <c r="M109" s="49">
        <v>94.317953195319532</v>
      </c>
      <c r="N109" s="49">
        <v>64195.899999999965</v>
      </c>
      <c r="O109" s="47">
        <v>0.13963512837779526</v>
      </c>
      <c r="P109" s="72">
        <f t="shared" si="1"/>
        <v>125047.18999999855</v>
      </c>
      <c r="Q109" s="49" t="str">
        <f>TEXT(Table1[[#This Row],[Closing Date]],"yyyy")</f>
        <v>2023</v>
      </c>
      <c r="R109" s="49" t="str">
        <f>TEXT(Table1[[#This Row],[Closing Date]],"mmmm")</f>
        <v>April</v>
      </c>
      <c r="S109" s="49" t="s">
        <v>368</v>
      </c>
      <c r="T109" s="49" t="s">
        <v>285</v>
      </c>
    </row>
    <row r="110" spans="1:20" x14ac:dyDescent="0.25">
      <c r="A110" t="s">
        <v>276</v>
      </c>
      <c r="B110" t="s">
        <v>433</v>
      </c>
      <c r="C110" t="s">
        <v>152</v>
      </c>
      <c r="D110" t="s">
        <v>38</v>
      </c>
      <c r="E110" s="49"/>
      <c r="F110" s="60">
        <v>45044</v>
      </c>
      <c r="G110" t="s">
        <v>189</v>
      </c>
      <c r="H110">
        <v>100</v>
      </c>
      <c r="I110" s="49">
        <v>4367.4399999999996</v>
      </c>
      <c r="J110" s="106">
        <v>100</v>
      </c>
      <c r="K110" s="115">
        <v>0</v>
      </c>
      <c r="L110" s="49">
        <v>0.43674399999999997</v>
      </c>
      <c r="M110" s="49">
        <v>0</v>
      </c>
      <c r="N110" s="49">
        <v>-4367.4399999999996</v>
      </c>
      <c r="O110" s="47">
        <v>-1</v>
      </c>
      <c r="P110" s="72">
        <f t="shared" si="1"/>
        <v>120679.74999999854</v>
      </c>
      <c r="Q110" s="49" t="str">
        <f>TEXT(Table1[[#This Row],[Closing Date]],"yyyy")</f>
        <v>2023</v>
      </c>
      <c r="R110" s="49" t="str">
        <f>TEXT(Table1[[#This Row],[Closing Date]],"mmmm")</f>
        <v>April</v>
      </c>
      <c r="S110" s="49" t="s">
        <v>368</v>
      </c>
      <c r="T110" s="49" t="s">
        <v>429</v>
      </c>
    </row>
    <row r="111" spans="1:20" x14ac:dyDescent="0.25">
      <c r="A111" t="s">
        <v>335</v>
      </c>
      <c r="B111" t="s">
        <v>432</v>
      </c>
      <c r="C111" t="s">
        <v>51</v>
      </c>
      <c r="D111" t="s">
        <v>36</v>
      </c>
      <c r="E111" s="49"/>
      <c r="F111" s="60">
        <v>45044</v>
      </c>
      <c r="G111" t="s">
        <v>130</v>
      </c>
      <c r="H111">
        <v>15</v>
      </c>
      <c r="I111" s="49">
        <v>3129408</v>
      </c>
      <c r="K111" s="115">
        <v>3123717</v>
      </c>
      <c r="L111" s="49">
        <v>4172.5439999999999</v>
      </c>
      <c r="M111" s="49">
        <v>4164.9560000000001</v>
      </c>
      <c r="N111" s="49">
        <v>-5691</v>
      </c>
      <c r="O111" s="47">
        <v>-1.8185548193140055E-3</v>
      </c>
      <c r="P111" s="72">
        <f t="shared" si="1"/>
        <v>114988.74999999854</v>
      </c>
      <c r="Q111" s="49" t="str">
        <f>TEXT(Table1[[#This Row],[Closing Date]],"yyyy")</f>
        <v>2023</v>
      </c>
      <c r="R111" s="49" t="str">
        <f>TEXT(Table1[[#This Row],[Closing Date]],"mmmm")</f>
        <v>April</v>
      </c>
      <c r="S111" s="49" t="s">
        <v>368</v>
      </c>
      <c r="T111" s="49" t="s">
        <v>429</v>
      </c>
    </row>
    <row r="112" spans="1:20" x14ac:dyDescent="0.25">
      <c r="A112" t="s">
        <v>283</v>
      </c>
      <c r="B112" t="s">
        <v>433</v>
      </c>
      <c r="C112" t="s">
        <v>56</v>
      </c>
      <c r="D112" t="s">
        <v>38</v>
      </c>
      <c r="E112" s="49"/>
      <c r="F112" s="60">
        <v>45044</v>
      </c>
      <c r="G112" t="s">
        <v>264</v>
      </c>
      <c r="H112">
        <v>3500</v>
      </c>
      <c r="I112" s="49">
        <v>256479.65</v>
      </c>
      <c r="K112" s="115">
        <v>244263.1</v>
      </c>
      <c r="L112" s="49">
        <v>73.279899999999998</v>
      </c>
      <c r="M112" s="49">
        <v>69.789457142857145</v>
      </c>
      <c r="N112" s="49">
        <v>-12216.549999999988</v>
      </c>
      <c r="O112" s="47">
        <v>-4.763165420726357E-2</v>
      </c>
      <c r="P112" s="72">
        <f t="shared" si="1"/>
        <v>102772.19999999856</v>
      </c>
      <c r="Q112" s="49" t="str">
        <f>TEXT(Table1[[#This Row],[Closing Date]],"yyyy")</f>
        <v>2023</v>
      </c>
      <c r="R112" s="49" t="str">
        <f>TEXT(Table1[[#This Row],[Closing Date]],"mmmm")</f>
        <v>April</v>
      </c>
      <c r="S112" s="49" t="s">
        <v>368</v>
      </c>
      <c r="T112" s="49" t="s">
        <v>285</v>
      </c>
    </row>
    <row r="113" spans="1:20" x14ac:dyDescent="0.25">
      <c r="A113" t="s">
        <v>283</v>
      </c>
      <c r="B113" t="s">
        <v>430</v>
      </c>
      <c r="C113" t="s">
        <v>70</v>
      </c>
      <c r="D113" t="s">
        <v>38</v>
      </c>
      <c r="E113" s="49"/>
      <c r="F113" s="60">
        <v>45047</v>
      </c>
      <c r="G113" t="s">
        <v>71</v>
      </c>
      <c r="H113">
        <v>1500</v>
      </c>
      <c r="I113" s="49">
        <v>160461.22</v>
      </c>
      <c r="K113" s="115">
        <v>155122.21</v>
      </c>
      <c r="L113" s="49">
        <v>106.97414666666667</v>
      </c>
      <c r="M113" s="49">
        <v>103.41480666666666</v>
      </c>
      <c r="N113" s="49">
        <v>-5339.0100000000093</v>
      </c>
      <c r="O113" s="47">
        <v>-3.3272899208917947E-2</v>
      </c>
      <c r="P113" s="72">
        <f t="shared" si="1"/>
        <v>97433.189999998547</v>
      </c>
      <c r="Q113" s="49" t="str">
        <f>TEXT(Table1[[#This Row],[Closing Date]],"yyyy")</f>
        <v>2023</v>
      </c>
      <c r="R113" s="49" t="str">
        <f>TEXT(Table1[[#This Row],[Closing Date]],"mmmm")</f>
        <v>May</v>
      </c>
      <c r="S113" s="49" t="s">
        <v>368</v>
      </c>
      <c r="T113" s="49" t="s">
        <v>429</v>
      </c>
    </row>
    <row r="114" spans="1:20" x14ac:dyDescent="0.25">
      <c r="A114" t="s">
        <v>283</v>
      </c>
      <c r="B114" t="s">
        <v>433</v>
      </c>
      <c r="C114" t="s">
        <v>56</v>
      </c>
      <c r="D114" t="s">
        <v>38</v>
      </c>
      <c r="E114" s="49"/>
      <c r="F114" s="60">
        <v>45048</v>
      </c>
      <c r="G114" t="s">
        <v>72</v>
      </c>
      <c r="H114">
        <v>16666</v>
      </c>
      <c r="I114" s="49">
        <v>179076.17</v>
      </c>
      <c r="K114" s="115">
        <v>168908.35</v>
      </c>
      <c r="L114" s="49">
        <v>10.745000000000001</v>
      </c>
      <c r="M114" s="49">
        <v>10.13490639625585</v>
      </c>
      <c r="N114" s="49">
        <v>-10167.820000000007</v>
      </c>
      <c r="O114" s="47">
        <v>-5.6779302349385816E-2</v>
      </c>
      <c r="P114" s="72">
        <f t="shared" si="1"/>
        <v>87265.36999999854</v>
      </c>
      <c r="Q114" s="49" t="str">
        <f>TEXT(Table1[[#This Row],[Closing Date]],"yyyy")</f>
        <v>2023</v>
      </c>
      <c r="R114" s="49" t="str">
        <f>TEXT(Table1[[#This Row],[Closing Date]],"mmmm")</f>
        <v>May</v>
      </c>
      <c r="S114" s="49" t="s">
        <v>368</v>
      </c>
      <c r="T114" s="49" t="s">
        <v>429</v>
      </c>
    </row>
    <row r="115" spans="1:20" x14ac:dyDescent="0.25">
      <c r="A115" t="s">
        <v>283</v>
      </c>
      <c r="B115" t="s">
        <v>434</v>
      </c>
      <c r="C115" t="s">
        <v>56</v>
      </c>
      <c r="D115" t="s">
        <v>38</v>
      </c>
      <c r="E115" s="49"/>
      <c r="F115" s="60">
        <v>45048</v>
      </c>
      <c r="G115" t="s">
        <v>76</v>
      </c>
      <c r="H115">
        <v>4000</v>
      </c>
      <c r="I115" s="49">
        <v>335600</v>
      </c>
      <c r="K115" s="115">
        <v>324543.78000000003</v>
      </c>
      <c r="L115" s="49">
        <v>83.9</v>
      </c>
      <c r="M115" s="49">
        <v>81.135945000000007</v>
      </c>
      <c r="N115" s="49">
        <v>-11056.219999999972</v>
      </c>
      <c r="O115" s="47">
        <v>-3.2944636471990453E-2</v>
      </c>
      <c r="P115" s="72">
        <f t="shared" si="1"/>
        <v>76209.149999998568</v>
      </c>
      <c r="Q115" s="49" t="str">
        <f>TEXT(Table1[[#This Row],[Closing Date]],"yyyy")</f>
        <v>2023</v>
      </c>
      <c r="R115" s="49" t="str">
        <f>TEXT(Table1[[#This Row],[Closing Date]],"mmmm")</f>
        <v>May</v>
      </c>
      <c r="S115" s="49" t="s">
        <v>368</v>
      </c>
      <c r="T115" s="49" t="s">
        <v>429</v>
      </c>
    </row>
    <row r="116" spans="1:20" x14ac:dyDescent="0.25">
      <c r="A116" t="s">
        <v>283</v>
      </c>
      <c r="B116" t="s">
        <v>434</v>
      </c>
      <c r="C116" t="s">
        <v>56</v>
      </c>
      <c r="D116" t="s">
        <v>38</v>
      </c>
      <c r="E116" s="49"/>
      <c r="F116" s="60">
        <v>45048</v>
      </c>
      <c r="G116" t="s">
        <v>73</v>
      </c>
      <c r="H116">
        <v>13000</v>
      </c>
      <c r="I116" s="49">
        <v>95193.13</v>
      </c>
      <c r="K116" s="115">
        <v>89282.28</v>
      </c>
      <c r="L116" s="49">
        <v>7.322548461538462</v>
      </c>
      <c r="M116" s="49">
        <v>6.8678676923076925</v>
      </c>
      <c r="N116" s="49">
        <v>-5910.8500000000058</v>
      </c>
      <c r="O116" s="47">
        <v>-6.2093241392524895E-2</v>
      </c>
      <c r="P116" s="72">
        <f t="shared" si="1"/>
        <v>70298.299999998562</v>
      </c>
      <c r="Q116" s="49" t="str">
        <f>TEXT(Table1[[#This Row],[Closing Date]],"yyyy")</f>
        <v>2023</v>
      </c>
      <c r="R116" s="49" t="str">
        <f>TEXT(Table1[[#This Row],[Closing Date]],"mmmm")</f>
        <v>May</v>
      </c>
      <c r="S116" s="49" t="s">
        <v>368</v>
      </c>
      <c r="T116" s="49" t="s">
        <v>429</v>
      </c>
    </row>
    <row r="117" spans="1:20" x14ac:dyDescent="0.25">
      <c r="A117" t="s">
        <v>276</v>
      </c>
      <c r="B117" t="s">
        <v>434</v>
      </c>
      <c r="C117" t="s">
        <v>149</v>
      </c>
      <c r="D117" t="s">
        <v>38</v>
      </c>
      <c r="E117" s="49"/>
      <c r="F117" s="60">
        <v>45049</v>
      </c>
      <c r="G117" t="s">
        <v>262</v>
      </c>
      <c r="H117">
        <v>9</v>
      </c>
      <c r="I117" s="49">
        <v>9138.56</v>
      </c>
      <c r="J117" s="106">
        <v>100</v>
      </c>
      <c r="K117" s="115">
        <v>5850</v>
      </c>
      <c r="L117" s="49">
        <v>10.153955555555555</v>
      </c>
      <c r="M117" s="49">
        <v>6.5</v>
      </c>
      <c r="N117" s="49">
        <v>-3288.5599999999995</v>
      </c>
      <c r="O117" s="47">
        <v>-0.35985538202955386</v>
      </c>
      <c r="P117" s="72">
        <f t="shared" si="1"/>
        <v>67009.739999998565</v>
      </c>
      <c r="Q117" s="49" t="str">
        <f>TEXT(Table1[[#This Row],[Closing Date]],"yyyy")</f>
        <v>2023</v>
      </c>
      <c r="R117" s="49" t="str">
        <f>TEXT(Table1[[#This Row],[Closing Date]],"mmmm")</f>
        <v>May</v>
      </c>
      <c r="S117" s="49" t="s">
        <v>368</v>
      </c>
      <c r="T117" s="49" t="s">
        <v>429</v>
      </c>
    </row>
    <row r="118" spans="1:20" x14ac:dyDescent="0.25">
      <c r="A118" t="s">
        <v>335</v>
      </c>
      <c r="B118" t="s">
        <v>432</v>
      </c>
      <c r="C118" t="s">
        <v>51</v>
      </c>
      <c r="D118" t="s">
        <v>36</v>
      </c>
      <c r="E118" s="49"/>
      <c r="F118" s="60">
        <v>45049</v>
      </c>
      <c r="G118" t="s">
        <v>130</v>
      </c>
      <c r="H118">
        <v>10</v>
      </c>
      <c r="I118" s="49">
        <v>2067172</v>
      </c>
      <c r="K118" s="115">
        <v>2074978</v>
      </c>
      <c r="L118" s="49">
        <v>4134.3440000000001</v>
      </c>
      <c r="M118" s="49">
        <v>4149.9560000000001</v>
      </c>
      <c r="N118" s="49">
        <v>7806</v>
      </c>
      <c r="O118" s="47">
        <v>3.7761734388817381E-3</v>
      </c>
      <c r="P118" s="72">
        <f t="shared" si="1"/>
        <v>74815.739999998565</v>
      </c>
      <c r="Q118" s="49" t="str">
        <f>TEXT(Table1[[#This Row],[Closing Date]],"yyyy")</f>
        <v>2023</v>
      </c>
      <c r="R118" s="49" t="str">
        <f>TEXT(Table1[[#This Row],[Closing Date]],"mmmm")</f>
        <v>May</v>
      </c>
      <c r="S118" s="49" t="s">
        <v>368</v>
      </c>
      <c r="T118" s="49" t="s">
        <v>429</v>
      </c>
    </row>
    <row r="119" spans="1:20" x14ac:dyDescent="0.25">
      <c r="A119" t="s">
        <v>283</v>
      </c>
      <c r="B119" t="s">
        <v>431</v>
      </c>
      <c r="C119" t="s">
        <v>56</v>
      </c>
      <c r="D119" t="s">
        <v>36</v>
      </c>
      <c r="E119" s="49"/>
      <c r="F119" s="60">
        <v>45051</v>
      </c>
      <c r="G119" t="s">
        <v>79</v>
      </c>
      <c r="H119">
        <v>2666</v>
      </c>
      <c r="I119" s="49">
        <v>439890</v>
      </c>
      <c r="K119" s="115">
        <v>443868.76</v>
      </c>
      <c r="L119" s="49">
        <v>165</v>
      </c>
      <c r="M119" s="49">
        <v>166.49240810202551</v>
      </c>
      <c r="N119" s="49">
        <v>-3978.7600000000093</v>
      </c>
      <c r="O119" s="47">
        <v>9.0448975880333786E-3</v>
      </c>
      <c r="P119" s="72">
        <f t="shared" si="1"/>
        <v>70836.979999998555</v>
      </c>
      <c r="Q119" s="49" t="str">
        <f>TEXT(Table1[[#This Row],[Closing Date]],"yyyy")</f>
        <v>2023</v>
      </c>
      <c r="R119" s="49" t="str">
        <f>TEXT(Table1[[#This Row],[Closing Date]],"mmmm")</f>
        <v>May</v>
      </c>
      <c r="S119" s="49" t="s">
        <v>368</v>
      </c>
      <c r="T119" s="49" t="s">
        <v>429</v>
      </c>
    </row>
    <row r="120" spans="1:20" x14ac:dyDescent="0.25">
      <c r="A120" t="s">
        <v>283</v>
      </c>
      <c r="B120" t="s">
        <v>433</v>
      </c>
      <c r="C120" t="s">
        <v>56</v>
      </c>
      <c r="D120" t="s">
        <v>38</v>
      </c>
      <c r="E120" s="49"/>
      <c r="F120" s="60">
        <v>45055</v>
      </c>
      <c r="G120" t="s">
        <v>75</v>
      </c>
      <c r="H120">
        <v>3000</v>
      </c>
      <c r="I120" s="49">
        <v>155715</v>
      </c>
      <c r="K120" s="115">
        <v>158756.79999999999</v>
      </c>
      <c r="L120" s="49">
        <v>51.905000000000001</v>
      </c>
      <c r="M120" s="49">
        <v>52.918933333333328</v>
      </c>
      <c r="N120" s="49">
        <v>3041.7999999999884</v>
      </c>
      <c r="O120" s="47">
        <v>1.9534405805477831E-2</v>
      </c>
      <c r="P120" s="72">
        <f t="shared" si="1"/>
        <v>73878.779999998544</v>
      </c>
      <c r="Q120" s="49" t="str">
        <f>TEXT(Table1[[#This Row],[Closing Date]],"yyyy")</f>
        <v>2023</v>
      </c>
      <c r="R120" s="49" t="str">
        <f>TEXT(Table1[[#This Row],[Closing Date]],"mmmm")</f>
        <v>May</v>
      </c>
      <c r="S120" s="49" t="s">
        <v>368</v>
      </c>
      <c r="T120" s="49" t="s">
        <v>429</v>
      </c>
    </row>
    <row r="121" spans="1:20" x14ac:dyDescent="0.25">
      <c r="A121" t="s">
        <v>283</v>
      </c>
      <c r="B121" t="s">
        <v>434</v>
      </c>
      <c r="C121" t="s">
        <v>35</v>
      </c>
      <c r="D121" t="s">
        <v>38</v>
      </c>
      <c r="E121" s="49"/>
      <c r="F121" s="60">
        <v>45056</v>
      </c>
      <c r="G121" t="s">
        <v>287</v>
      </c>
      <c r="H121">
        <v>75000</v>
      </c>
      <c r="I121" s="49">
        <v>789954.04</v>
      </c>
      <c r="K121" s="115">
        <v>783980.96</v>
      </c>
      <c r="L121" s="49">
        <v>10.532720533333334</v>
      </c>
      <c r="M121" s="49">
        <v>10.453079466666667</v>
      </c>
      <c r="N121" s="49">
        <v>-5973.0800000000745</v>
      </c>
      <c r="O121" s="47">
        <v>-7.6189095204557966E-3</v>
      </c>
      <c r="P121" s="72">
        <f t="shared" si="1"/>
        <v>67905.699999998469</v>
      </c>
      <c r="Q121" s="49" t="str">
        <f>TEXT(Table1[[#This Row],[Closing Date]],"yyyy")</f>
        <v>2023</v>
      </c>
      <c r="R121" s="49" t="str">
        <f>TEXT(Table1[[#This Row],[Closing Date]],"mmmm")</f>
        <v>May</v>
      </c>
      <c r="S121" s="49" t="s">
        <v>368</v>
      </c>
      <c r="T121" s="49" t="s">
        <v>429</v>
      </c>
    </row>
    <row r="122" spans="1:20" x14ac:dyDescent="0.25">
      <c r="A122" t="s">
        <v>276</v>
      </c>
      <c r="B122" t="s">
        <v>433</v>
      </c>
      <c r="C122" t="s">
        <v>149</v>
      </c>
      <c r="D122" t="s">
        <v>38</v>
      </c>
      <c r="E122" s="49"/>
      <c r="F122" s="60">
        <v>45058</v>
      </c>
      <c r="G122" t="s">
        <v>66</v>
      </c>
      <c r="H122">
        <v>80</v>
      </c>
      <c r="I122" s="49">
        <v>8703.07</v>
      </c>
      <c r="J122" s="106">
        <v>100</v>
      </c>
      <c r="K122" s="115">
        <v>0</v>
      </c>
      <c r="L122" s="49">
        <v>1.08788375</v>
      </c>
      <c r="M122" s="49">
        <v>0</v>
      </c>
      <c r="N122" s="49">
        <v>-8703.07</v>
      </c>
      <c r="O122" s="47">
        <v>-1</v>
      </c>
      <c r="P122" s="72">
        <f t="shared" si="1"/>
        <v>59202.629999998469</v>
      </c>
      <c r="Q122" s="49" t="str">
        <f>TEXT(Table1[[#This Row],[Closing Date]],"yyyy")</f>
        <v>2023</v>
      </c>
      <c r="R122" s="49" t="str">
        <f>TEXT(Table1[[#This Row],[Closing Date]],"mmmm")</f>
        <v>May</v>
      </c>
      <c r="S122" s="49" t="s">
        <v>368</v>
      </c>
      <c r="T122" s="49" t="s">
        <v>429</v>
      </c>
    </row>
    <row r="123" spans="1:20" x14ac:dyDescent="0.25">
      <c r="A123" t="s">
        <v>276</v>
      </c>
      <c r="B123" t="s">
        <v>433</v>
      </c>
      <c r="C123" t="s">
        <v>152</v>
      </c>
      <c r="D123" t="s">
        <v>38</v>
      </c>
      <c r="E123" s="49"/>
      <c r="F123" s="60">
        <v>45058</v>
      </c>
      <c r="G123" t="s">
        <v>64</v>
      </c>
      <c r="H123">
        <v>4</v>
      </c>
      <c r="I123" s="49">
        <v>6399.36</v>
      </c>
      <c r="J123" s="106">
        <v>100</v>
      </c>
      <c r="K123" s="115">
        <v>0</v>
      </c>
      <c r="L123" s="49">
        <v>15.998399999999998</v>
      </c>
      <c r="M123" s="49">
        <v>0</v>
      </c>
      <c r="N123" s="49">
        <v>-6399.36</v>
      </c>
      <c r="O123" s="47">
        <v>-1</v>
      </c>
      <c r="P123" s="72">
        <f t="shared" si="1"/>
        <v>52803.269999998469</v>
      </c>
      <c r="Q123" s="49" t="str">
        <f>TEXT(Table1[[#This Row],[Closing Date]],"yyyy")</f>
        <v>2023</v>
      </c>
      <c r="R123" s="49" t="str">
        <f>TEXT(Table1[[#This Row],[Closing Date]],"mmmm")</f>
        <v>May</v>
      </c>
      <c r="S123" s="49" t="s">
        <v>368</v>
      </c>
      <c r="T123" s="49" t="s">
        <v>429</v>
      </c>
    </row>
    <row r="124" spans="1:20" x14ac:dyDescent="0.25">
      <c r="A124" t="s">
        <v>283</v>
      </c>
      <c r="B124" t="s">
        <v>433</v>
      </c>
      <c r="C124" t="s">
        <v>56</v>
      </c>
      <c r="D124" t="s">
        <v>36</v>
      </c>
      <c r="E124" s="49"/>
      <c r="F124" s="60">
        <v>45058</v>
      </c>
      <c r="G124" t="s">
        <v>62</v>
      </c>
      <c r="H124">
        <v>3000</v>
      </c>
      <c r="I124" s="49">
        <v>354859.7</v>
      </c>
      <c r="K124" s="115">
        <v>348031.03</v>
      </c>
      <c r="L124" s="49">
        <v>118.28656666666667</v>
      </c>
      <c r="M124" s="49">
        <v>116.01034333333334</v>
      </c>
      <c r="N124" s="49">
        <v>-6828.6699999999837</v>
      </c>
      <c r="O124" s="47">
        <v>-1.9243295307976652E-2</v>
      </c>
      <c r="P124" s="72">
        <f t="shared" si="1"/>
        <v>45974.599999998485</v>
      </c>
      <c r="Q124" s="49" t="str">
        <f>TEXT(Table1[[#This Row],[Closing Date]],"yyyy")</f>
        <v>2023</v>
      </c>
      <c r="R124" s="49" t="str">
        <f>TEXT(Table1[[#This Row],[Closing Date]],"mmmm")</f>
        <v>May</v>
      </c>
      <c r="S124" s="49" t="s">
        <v>368</v>
      </c>
      <c r="T124" s="49" t="s">
        <v>429</v>
      </c>
    </row>
    <row r="125" spans="1:20" x14ac:dyDescent="0.25">
      <c r="A125" t="s">
        <v>283</v>
      </c>
      <c r="B125" t="s">
        <v>434</v>
      </c>
      <c r="C125" t="s">
        <v>56</v>
      </c>
      <c r="D125" t="s">
        <v>36</v>
      </c>
      <c r="E125" s="49"/>
      <c r="F125" s="60">
        <v>45058</v>
      </c>
      <c r="G125" t="s">
        <v>62</v>
      </c>
      <c r="H125">
        <v>3000</v>
      </c>
      <c r="I125" s="49">
        <v>354859.7</v>
      </c>
      <c r="K125" s="115">
        <v>348031.03</v>
      </c>
      <c r="L125" s="49">
        <v>118.28656666666667</v>
      </c>
      <c r="M125" s="49">
        <v>116.01034333333334</v>
      </c>
      <c r="N125" s="49">
        <v>-6828.6699999999837</v>
      </c>
      <c r="O125" s="47">
        <v>-1.9243295307976652E-2</v>
      </c>
      <c r="P125" s="72">
        <f t="shared" si="1"/>
        <v>39145.929999998501</v>
      </c>
      <c r="Q125" s="49" t="str">
        <f>TEXT(Table1[[#This Row],[Closing Date]],"yyyy")</f>
        <v>2023</v>
      </c>
      <c r="R125" s="49" t="str">
        <f>TEXT(Table1[[#This Row],[Closing Date]],"mmmm")</f>
        <v>May</v>
      </c>
      <c r="S125" s="49" t="s">
        <v>368</v>
      </c>
      <c r="T125" s="49" t="s">
        <v>429</v>
      </c>
    </row>
    <row r="126" spans="1:20" x14ac:dyDescent="0.25">
      <c r="A126" t="s">
        <v>283</v>
      </c>
      <c r="B126" t="s">
        <v>433</v>
      </c>
      <c r="C126" t="s">
        <v>56</v>
      </c>
      <c r="D126" t="s">
        <v>38</v>
      </c>
      <c r="E126" s="49"/>
      <c r="F126" s="60">
        <v>45058</v>
      </c>
      <c r="G126" t="s">
        <v>266</v>
      </c>
      <c r="H126">
        <v>1500</v>
      </c>
      <c r="I126" s="49">
        <v>129630</v>
      </c>
      <c r="K126" s="115">
        <v>125357.56</v>
      </c>
      <c r="L126" s="49">
        <v>86.42</v>
      </c>
      <c r="M126" s="49">
        <v>83.571706666666671</v>
      </c>
      <c r="N126" s="49">
        <v>-4272.4400000000023</v>
      </c>
      <c r="O126" s="47">
        <v>-3.2958728689346621E-2</v>
      </c>
      <c r="P126" s="72">
        <f t="shared" si="1"/>
        <v>34873.489999998499</v>
      </c>
      <c r="Q126" s="49" t="str">
        <f>TEXT(Table1[[#This Row],[Closing Date]],"yyyy")</f>
        <v>2023</v>
      </c>
      <c r="R126" s="49" t="str">
        <f>TEXT(Table1[[#This Row],[Closing Date]],"mmmm")</f>
        <v>May</v>
      </c>
      <c r="S126" s="49" t="s">
        <v>368</v>
      </c>
      <c r="T126" s="49" t="s">
        <v>285</v>
      </c>
    </row>
    <row r="127" spans="1:20" x14ac:dyDescent="0.25">
      <c r="A127" t="s">
        <v>283</v>
      </c>
      <c r="B127" t="s">
        <v>433</v>
      </c>
      <c r="C127" t="s">
        <v>56</v>
      </c>
      <c r="D127" t="s">
        <v>38</v>
      </c>
      <c r="E127" s="49"/>
      <c r="F127" s="60">
        <v>45062</v>
      </c>
      <c r="G127" t="s">
        <v>126</v>
      </c>
      <c r="H127">
        <v>550</v>
      </c>
      <c r="I127" s="49">
        <v>99990</v>
      </c>
      <c r="K127" s="115">
        <v>99961.7</v>
      </c>
      <c r="L127" s="49">
        <v>181.8</v>
      </c>
      <c r="M127" s="49">
        <v>181.74854545454545</v>
      </c>
      <c r="N127" s="49">
        <v>-28.30000000000291</v>
      </c>
      <c r="O127" s="47">
        <v>-2.8302830283031215E-4</v>
      </c>
      <c r="P127" s="72">
        <f t="shared" si="1"/>
        <v>34845.189999998496</v>
      </c>
      <c r="Q127" s="49" t="str">
        <f>TEXT(Table1[[#This Row],[Closing Date]],"yyyy")</f>
        <v>2023</v>
      </c>
      <c r="R127" s="49" t="str">
        <f>TEXT(Table1[[#This Row],[Closing Date]],"mmmm")</f>
        <v>May</v>
      </c>
      <c r="S127" s="49" t="s">
        <v>368</v>
      </c>
      <c r="T127" s="49" t="s">
        <v>285</v>
      </c>
    </row>
    <row r="128" spans="1:20" x14ac:dyDescent="0.25">
      <c r="A128" t="s">
        <v>283</v>
      </c>
      <c r="B128" t="s">
        <v>433</v>
      </c>
      <c r="C128" t="s">
        <v>56</v>
      </c>
      <c r="D128" t="s">
        <v>38</v>
      </c>
      <c r="E128" s="49"/>
      <c r="F128" s="60">
        <v>45063</v>
      </c>
      <c r="G128" t="s">
        <v>81</v>
      </c>
      <c r="H128">
        <v>21400</v>
      </c>
      <c r="I128" s="49">
        <v>136425</v>
      </c>
      <c r="K128" s="115">
        <v>133510.04999999999</v>
      </c>
      <c r="L128" s="49">
        <v>6.375</v>
      </c>
      <c r="M128" s="49">
        <v>6.23878738317757</v>
      </c>
      <c r="N128" s="49">
        <v>-2914.9500000000116</v>
      </c>
      <c r="O128" s="47">
        <v>-2.1366684991753728E-2</v>
      </c>
      <c r="P128" s="72">
        <f t="shared" si="1"/>
        <v>31930.239999998485</v>
      </c>
      <c r="Q128" s="49" t="str">
        <f>TEXT(Table1[[#This Row],[Closing Date]],"yyyy")</f>
        <v>2023</v>
      </c>
      <c r="R128" s="49" t="str">
        <f>TEXT(Table1[[#This Row],[Closing Date]],"mmmm")</f>
        <v>May</v>
      </c>
      <c r="S128" s="49" t="s">
        <v>368</v>
      </c>
      <c r="T128" s="49" t="s">
        <v>429</v>
      </c>
    </row>
    <row r="129" spans="1:20" x14ac:dyDescent="0.25">
      <c r="A129" t="s">
        <v>335</v>
      </c>
      <c r="B129" t="s">
        <v>432</v>
      </c>
      <c r="C129" t="s">
        <v>51</v>
      </c>
      <c r="D129" t="s">
        <v>36</v>
      </c>
      <c r="E129" s="49"/>
      <c r="F129" s="60">
        <v>45063</v>
      </c>
      <c r="G129" t="s">
        <v>130</v>
      </c>
      <c r="H129">
        <v>10</v>
      </c>
      <c r="I129" s="49">
        <v>2081500</v>
      </c>
      <c r="K129" s="115">
        <v>2077500</v>
      </c>
      <c r="L129" s="49">
        <v>4163</v>
      </c>
      <c r="M129" s="49">
        <v>4155</v>
      </c>
      <c r="N129" s="49">
        <v>-4044</v>
      </c>
      <c r="O129" s="47">
        <v>-1.9216910881575786E-3</v>
      </c>
      <c r="P129" s="72">
        <f t="shared" si="1"/>
        <v>27886.239999998485</v>
      </c>
      <c r="Q129" s="49" t="str">
        <f>TEXT(Table1[[#This Row],[Closing Date]],"yyyy")</f>
        <v>2023</v>
      </c>
      <c r="R129" s="49" t="str">
        <f>TEXT(Table1[[#This Row],[Closing Date]],"mmmm")</f>
        <v>May</v>
      </c>
      <c r="S129" s="49" t="s">
        <v>368</v>
      </c>
      <c r="T129" s="49" t="s">
        <v>429</v>
      </c>
    </row>
    <row r="130" spans="1:20" x14ac:dyDescent="0.25">
      <c r="A130" t="s">
        <v>335</v>
      </c>
      <c r="B130" t="s">
        <v>432</v>
      </c>
      <c r="C130" t="s">
        <v>51</v>
      </c>
      <c r="D130" t="s">
        <v>38</v>
      </c>
      <c r="E130" s="49"/>
      <c r="F130" s="60">
        <v>45063</v>
      </c>
      <c r="G130" t="s">
        <v>130</v>
      </c>
      <c r="H130">
        <v>10</v>
      </c>
      <c r="I130" s="49">
        <v>2106000</v>
      </c>
      <c r="K130" s="115">
        <v>2102000</v>
      </c>
      <c r="L130" s="49">
        <v>4212</v>
      </c>
      <c r="M130" s="49">
        <v>4204</v>
      </c>
      <c r="N130" s="49">
        <v>-4044</v>
      </c>
      <c r="O130" s="47">
        <v>-1.8993352326685661E-3</v>
      </c>
      <c r="P130" s="72">
        <f t="shared" si="1"/>
        <v>23842.239999998485</v>
      </c>
      <c r="Q130" s="49" t="str">
        <f>TEXT(Table1[[#This Row],[Closing Date]],"yyyy")</f>
        <v>2023</v>
      </c>
      <c r="R130" s="49" t="str">
        <f>TEXT(Table1[[#This Row],[Closing Date]],"mmmm")</f>
        <v>May</v>
      </c>
      <c r="S130" s="49" t="s">
        <v>368</v>
      </c>
      <c r="T130" s="49" t="s">
        <v>429</v>
      </c>
    </row>
    <row r="131" spans="1:20" x14ac:dyDescent="0.25">
      <c r="A131" t="s">
        <v>283</v>
      </c>
      <c r="B131" t="s">
        <v>430</v>
      </c>
      <c r="C131" t="s">
        <v>56</v>
      </c>
      <c r="D131" t="s">
        <v>36</v>
      </c>
      <c r="E131" s="49"/>
      <c r="F131" s="60">
        <v>45063</v>
      </c>
      <c r="G131" t="s">
        <v>83</v>
      </c>
      <c r="H131">
        <v>1000</v>
      </c>
      <c r="I131" s="49">
        <v>309772.51</v>
      </c>
      <c r="K131" s="115">
        <v>313780.01</v>
      </c>
      <c r="L131" s="49">
        <v>309.77251000000001</v>
      </c>
      <c r="M131" s="49">
        <v>313.78001</v>
      </c>
      <c r="N131" s="49">
        <v>-4007.5</v>
      </c>
      <c r="O131" s="47">
        <v>1.2936912962354189E-2</v>
      </c>
      <c r="P131" s="72">
        <f t="shared" ref="P131:P194" si="2">N131+P130</f>
        <v>19834.739999998485</v>
      </c>
      <c r="Q131" s="49" t="str">
        <f>TEXT(Table1[[#This Row],[Closing Date]],"yyyy")</f>
        <v>2023</v>
      </c>
      <c r="R131" s="49" t="str">
        <f>TEXT(Table1[[#This Row],[Closing Date]],"mmmm")</f>
        <v>May</v>
      </c>
      <c r="S131" s="49" t="s">
        <v>368</v>
      </c>
      <c r="T131" s="49" t="s">
        <v>429</v>
      </c>
    </row>
    <row r="132" spans="1:20" x14ac:dyDescent="0.25">
      <c r="A132" t="s">
        <v>283</v>
      </c>
      <c r="B132" t="s">
        <v>433</v>
      </c>
      <c r="C132" t="s">
        <v>56</v>
      </c>
      <c r="D132" t="s">
        <v>38</v>
      </c>
      <c r="E132" s="49"/>
      <c r="F132" s="60">
        <v>45064</v>
      </c>
      <c r="G132" t="s">
        <v>82</v>
      </c>
      <c r="H132">
        <v>1200</v>
      </c>
      <c r="I132" s="49">
        <v>80734.820000000007</v>
      </c>
      <c r="K132" s="115">
        <v>76161.59</v>
      </c>
      <c r="L132" s="49">
        <v>67.279016666666678</v>
      </c>
      <c r="M132" s="49">
        <v>63.467991666666663</v>
      </c>
      <c r="N132" s="49">
        <v>-4573.2300000000105</v>
      </c>
      <c r="O132" s="47">
        <v>-5.6645075817348914E-2</v>
      </c>
      <c r="P132" s="72">
        <f t="shared" si="2"/>
        <v>15261.509999998474</v>
      </c>
      <c r="Q132" s="49" t="str">
        <f>TEXT(Table1[[#This Row],[Closing Date]],"yyyy")</f>
        <v>2023</v>
      </c>
      <c r="R132" s="49" t="str">
        <f>TEXT(Table1[[#This Row],[Closing Date]],"mmmm")</f>
        <v>May</v>
      </c>
      <c r="S132" s="49" t="s">
        <v>368</v>
      </c>
      <c r="T132" s="49" t="s">
        <v>429</v>
      </c>
    </row>
    <row r="133" spans="1:20" x14ac:dyDescent="0.25">
      <c r="A133" t="s">
        <v>283</v>
      </c>
      <c r="B133" t="s">
        <v>434</v>
      </c>
      <c r="C133" t="s">
        <v>56</v>
      </c>
      <c r="D133" t="s">
        <v>38</v>
      </c>
      <c r="E133" s="49"/>
      <c r="F133" s="60">
        <v>45064</v>
      </c>
      <c r="G133" t="s">
        <v>80</v>
      </c>
      <c r="H133">
        <v>7400</v>
      </c>
      <c r="I133" s="49">
        <v>495762.3</v>
      </c>
      <c r="K133" s="115">
        <v>498028.62</v>
      </c>
      <c r="L133" s="49">
        <v>66.994905405405405</v>
      </c>
      <c r="M133" s="49">
        <v>67.301164864864859</v>
      </c>
      <c r="N133" s="49">
        <v>2266.320000000007</v>
      </c>
      <c r="O133" s="47">
        <v>4.5713843105858638E-3</v>
      </c>
      <c r="P133" s="72">
        <f t="shared" si="2"/>
        <v>17527.829999998481</v>
      </c>
      <c r="Q133" s="49" t="str">
        <f>TEXT(Table1[[#This Row],[Closing Date]],"yyyy")</f>
        <v>2023</v>
      </c>
      <c r="R133" s="49" t="str">
        <f>TEXT(Table1[[#This Row],[Closing Date]],"mmmm")</f>
        <v>May</v>
      </c>
      <c r="S133" s="49" t="s">
        <v>368</v>
      </c>
      <c r="T133" s="49" t="s">
        <v>429</v>
      </c>
    </row>
    <row r="134" spans="1:20" x14ac:dyDescent="0.25">
      <c r="A134" t="s">
        <v>276</v>
      </c>
      <c r="B134" t="s">
        <v>430</v>
      </c>
      <c r="C134" t="s">
        <v>148</v>
      </c>
      <c r="D134" t="s">
        <v>38</v>
      </c>
      <c r="E134" s="49"/>
      <c r="F134" s="60">
        <v>45065</v>
      </c>
      <c r="G134" t="s">
        <v>62</v>
      </c>
      <c r="H134">
        <v>25</v>
      </c>
      <c r="I134" s="49">
        <v>6285.04</v>
      </c>
      <c r="J134" s="106">
        <v>100</v>
      </c>
      <c r="K134" s="115">
        <v>0</v>
      </c>
      <c r="L134" s="49">
        <v>2.5140159999999998</v>
      </c>
      <c r="M134" s="49">
        <v>0</v>
      </c>
      <c r="N134" s="49">
        <v>-6285.04</v>
      </c>
      <c r="O134" s="47">
        <v>-1</v>
      </c>
      <c r="P134" s="72">
        <f t="shared" si="2"/>
        <v>11242.78999999848</v>
      </c>
      <c r="Q134" s="49" t="str">
        <f>TEXT(Table1[[#This Row],[Closing Date]],"yyyy")</f>
        <v>2023</v>
      </c>
      <c r="R134" s="49" t="str">
        <f>TEXT(Table1[[#This Row],[Closing Date]],"mmmm")</f>
        <v>May</v>
      </c>
      <c r="S134" s="49" t="s">
        <v>368</v>
      </c>
      <c r="T134" s="49" t="s">
        <v>429</v>
      </c>
    </row>
    <row r="135" spans="1:20" x14ac:dyDescent="0.25">
      <c r="A135" t="s">
        <v>276</v>
      </c>
      <c r="B135" t="s">
        <v>430</v>
      </c>
      <c r="C135" t="s">
        <v>149</v>
      </c>
      <c r="D135" t="s">
        <v>38</v>
      </c>
      <c r="E135" s="49"/>
      <c r="F135" s="60">
        <v>45065</v>
      </c>
      <c r="G135" t="s">
        <v>48</v>
      </c>
      <c r="H135">
        <v>20</v>
      </c>
      <c r="I135" s="49">
        <v>3920.58</v>
      </c>
      <c r="J135" s="106">
        <v>100</v>
      </c>
      <c r="K135" s="115">
        <v>0</v>
      </c>
      <c r="L135" s="49">
        <v>1.9602899999999999</v>
      </c>
      <c r="M135" s="49">
        <v>0</v>
      </c>
      <c r="N135" s="49">
        <v>-3920.58</v>
      </c>
      <c r="O135" s="47">
        <v>-1</v>
      </c>
      <c r="P135" s="72">
        <f t="shared" si="2"/>
        <v>7322.2099999984803</v>
      </c>
      <c r="Q135" s="49" t="str">
        <f>TEXT(Table1[[#This Row],[Closing Date]],"yyyy")</f>
        <v>2023</v>
      </c>
      <c r="R135" s="49" t="str">
        <f>TEXT(Table1[[#This Row],[Closing Date]],"mmmm")</f>
        <v>May</v>
      </c>
      <c r="S135" s="49" t="s">
        <v>368</v>
      </c>
      <c r="T135" s="49" t="s">
        <v>429</v>
      </c>
    </row>
    <row r="136" spans="1:20" x14ac:dyDescent="0.25">
      <c r="A136" t="s">
        <v>276</v>
      </c>
      <c r="B136" t="s">
        <v>433</v>
      </c>
      <c r="C136" t="s">
        <v>149</v>
      </c>
      <c r="D136" t="s">
        <v>38</v>
      </c>
      <c r="E136" s="49"/>
      <c r="F136" s="60">
        <v>45065</v>
      </c>
      <c r="G136" t="s">
        <v>77</v>
      </c>
      <c r="H136">
        <v>40</v>
      </c>
      <c r="I136" s="49">
        <v>6627.56</v>
      </c>
      <c r="J136" s="106">
        <v>100</v>
      </c>
      <c r="K136" s="115">
        <v>9599.06</v>
      </c>
      <c r="L136" s="49">
        <v>1.6568900000000002</v>
      </c>
      <c r="M136" s="49">
        <v>2.3997649999999999</v>
      </c>
      <c r="N136" s="49">
        <v>2971.4999999999991</v>
      </c>
      <c r="O136" s="47">
        <v>0.44835505072756771</v>
      </c>
      <c r="P136" s="72">
        <f t="shared" si="2"/>
        <v>10293.709999998478</v>
      </c>
      <c r="Q136" s="49" t="str">
        <f>TEXT(Table1[[#This Row],[Closing Date]],"yyyy")</f>
        <v>2023</v>
      </c>
      <c r="R136" s="49" t="str">
        <f>TEXT(Table1[[#This Row],[Closing Date]],"mmmm")</f>
        <v>May</v>
      </c>
      <c r="S136" s="49" t="s">
        <v>368</v>
      </c>
      <c r="T136" s="49" t="s">
        <v>429</v>
      </c>
    </row>
    <row r="137" spans="1:20" x14ac:dyDescent="0.25">
      <c r="A137" t="s">
        <v>276</v>
      </c>
      <c r="B137" t="s">
        <v>434</v>
      </c>
      <c r="C137" t="s">
        <v>149</v>
      </c>
      <c r="D137" t="s">
        <v>38</v>
      </c>
      <c r="E137" s="49"/>
      <c r="F137" s="60">
        <v>45065</v>
      </c>
      <c r="G137" t="s">
        <v>65</v>
      </c>
      <c r="H137">
        <v>25</v>
      </c>
      <c r="I137" s="49">
        <v>6248.73</v>
      </c>
      <c r="J137" s="106">
        <v>100</v>
      </c>
      <c r="K137" s="115">
        <v>0</v>
      </c>
      <c r="L137" s="49">
        <v>2.499492</v>
      </c>
      <c r="M137" s="49">
        <v>0</v>
      </c>
      <c r="N137" s="49">
        <v>-6248.73</v>
      </c>
      <c r="O137" s="47">
        <v>-1</v>
      </c>
      <c r="P137" s="72">
        <f t="shared" si="2"/>
        <v>4044.9799999984789</v>
      </c>
      <c r="Q137" s="49" t="str">
        <f>TEXT(Table1[[#This Row],[Closing Date]],"yyyy")</f>
        <v>2023</v>
      </c>
      <c r="R137" s="49" t="str">
        <f>TEXT(Table1[[#This Row],[Closing Date]],"mmmm")</f>
        <v>May</v>
      </c>
      <c r="S137" s="49" t="s">
        <v>368</v>
      </c>
      <c r="T137" s="49" t="s">
        <v>429</v>
      </c>
    </row>
    <row r="138" spans="1:20" x14ac:dyDescent="0.25">
      <c r="A138" t="s">
        <v>283</v>
      </c>
      <c r="B138" t="s">
        <v>431</v>
      </c>
      <c r="C138" t="s">
        <v>56</v>
      </c>
      <c r="D138" t="s">
        <v>36</v>
      </c>
      <c r="E138" s="49"/>
      <c r="F138" s="60">
        <v>45069</v>
      </c>
      <c r="G138" t="s">
        <v>79</v>
      </c>
      <c r="H138">
        <v>350</v>
      </c>
      <c r="I138" s="49">
        <v>63172.69</v>
      </c>
      <c r="K138" s="115">
        <v>67196.75</v>
      </c>
      <c r="L138" s="49">
        <v>180.49340000000001</v>
      </c>
      <c r="M138" s="49">
        <v>191.99071428571429</v>
      </c>
      <c r="N138" s="49">
        <v>-4024.0599999999977</v>
      </c>
      <c r="O138" s="47">
        <v>6.3699361227137846E-2</v>
      </c>
      <c r="P138" s="72">
        <f t="shared" si="2"/>
        <v>20.919999998481217</v>
      </c>
      <c r="Q138" s="49" t="str">
        <f>TEXT(Table1[[#This Row],[Closing Date]],"yyyy")</f>
        <v>2023</v>
      </c>
      <c r="R138" s="49" t="str">
        <f>TEXT(Table1[[#This Row],[Closing Date]],"mmmm")</f>
        <v>May</v>
      </c>
      <c r="S138" s="49" t="s">
        <v>368</v>
      </c>
      <c r="T138" s="49" t="s">
        <v>429</v>
      </c>
    </row>
    <row r="139" spans="1:20" x14ac:dyDescent="0.25">
      <c r="A139" t="s">
        <v>283</v>
      </c>
      <c r="B139" t="s">
        <v>433</v>
      </c>
      <c r="C139" t="s">
        <v>56</v>
      </c>
      <c r="D139" t="s">
        <v>38</v>
      </c>
      <c r="E139" s="49"/>
      <c r="F139" s="60">
        <v>45069</v>
      </c>
      <c r="G139" t="s">
        <v>78</v>
      </c>
      <c r="H139">
        <v>1800</v>
      </c>
      <c r="I139" s="49">
        <v>209221.07</v>
      </c>
      <c r="K139" s="115">
        <v>207345.81</v>
      </c>
      <c r="L139" s="49">
        <v>116.23392777777778</v>
      </c>
      <c r="M139" s="49">
        <v>115.19211666666666</v>
      </c>
      <c r="N139" s="49">
        <v>1875.2600000000093</v>
      </c>
      <c r="O139" s="47">
        <v>-8.9630552028053794E-3</v>
      </c>
      <c r="P139" s="72">
        <f t="shared" si="2"/>
        <v>1896.1799999984905</v>
      </c>
      <c r="Q139" s="49" t="str">
        <f>TEXT(Table1[[#This Row],[Closing Date]],"yyyy")</f>
        <v>2023</v>
      </c>
      <c r="R139" s="49" t="str">
        <f>TEXT(Table1[[#This Row],[Closing Date]],"mmmm")</f>
        <v>May</v>
      </c>
      <c r="S139" s="49" t="s">
        <v>368</v>
      </c>
      <c r="T139" s="49" t="s">
        <v>429</v>
      </c>
    </row>
    <row r="140" spans="1:20" x14ac:dyDescent="0.25">
      <c r="A140" t="s">
        <v>283</v>
      </c>
      <c r="B140" t="s">
        <v>434</v>
      </c>
      <c r="C140" t="s">
        <v>56</v>
      </c>
      <c r="D140" t="s">
        <v>38</v>
      </c>
      <c r="E140" s="49"/>
      <c r="F140" s="60">
        <v>45069</v>
      </c>
      <c r="G140" t="s">
        <v>221</v>
      </c>
      <c r="H140">
        <v>246</v>
      </c>
      <c r="I140" s="49">
        <v>87728.52</v>
      </c>
      <c r="K140" s="115">
        <v>107680.72</v>
      </c>
      <c r="L140" s="49">
        <v>356.62</v>
      </c>
      <c r="M140" s="49">
        <v>437.72650406504067</v>
      </c>
      <c r="N140" s="49">
        <v>19952.199999999997</v>
      </c>
      <c r="O140" s="47">
        <v>0.22743117061589546</v>
      </c>
      <c r="P140" s="72">
        <f t="shared" si="2"/>
        <v>21848.379999998488</v>
      </c>
      <c r="Q140" s="49" t="str">
        <f>TEXT(Table1[[#This Row],[Closing Date]],"yyyy")</f>
        <v>2023</v>
      </c>
      <c r="R140" s="49" t="str">
        <f>TEXT(Table1[[#This Row],[Closing Date]],"mmmm")</f>
        <v>May</v>
      </c>
      <c r="S140" s="49" t="s">
        <v>368</v>
      </c>
      <c r="T140" s="49" t="s">
        <v>285</v>
      </c>
    </row>
    <row r="141" spans="1:20" x14ac:dyDescent="0.25">
      <c r="A141" t="s">
        <v>276</v>
      </c>
      <c r="B141" t="s">
        <v>433</v>
      </c>
      <c r="C141" t="s">
        <v>152</v>
      </c>
      <c r="D141" t="s">
        <v>38</v>
      </c>
      <c r="E141" s="49"/>
      <c r="F141" s="60">
        <v>45070</v>
      </c>
      <c r="G141" t="s">
        <v>68</v>
      </c>
      <c r="H141">
        <v>105</v>
      </c>
      <c r="I141" s="49">
        <v>6043.4</v>
      </c>
      <c r="J141" s="106">
        <v>100</v>
      </c>
      <c r="K141" s="115">
        <v>23860.949999999997</v>
      </c>
      <c r="L141" s="49">
        <v>0.57556190476190472</v>
      </c>
      <c r="M141" s="49">
        <v>2.184533476190476</v>
      </c>
      <c r="N141" s="49">
        <v>17817.549999999996</v>
      </c>
      <c r="O141" s="47">
        <v>2.7954796141244995</v>
      </c>
      <c r="P141" s="72">
        <f t="shared" si="2"/>
        <v>39665.92999999848</v>
      </c>
      <c r="Q141" s="49" t="str">
        <f>TEXT(Table1[[#This Row],[Closing Date]],"yyyy")</f>
        <v>2023</v>
      </c>
      <c r="R141" s="49" t="str">
        <f>TEXT(Table1[[#This Row],[Closing Date]],"mmmm")</f>
        <v>May</v>
      </c>
      <c r="S141" s="49" t="s">
        <v>368</v>
      </c>
      <c r="T141" s="49" t="s">
        <v>429</v>
      </c>
    </row>
    <row r="142" spans="1:20" x14ac:dyDescent="0.25">
      <c r="A142" t="s">
        <v>283</v>
      </c>
      <c r="B142" t="s">
        <v>433</v>
      </c>
      <c r="C142" t="s">
        <v>35</v>
      </c>
      <c r="D142" t="s">
        <v>36</v>
      </c>
      <c r="E142" s="49"/>
      <c r="F142" s="60">
        <v>45071</v>
      </c>
      <c r="G142" t="s">
        <v>39</v>
      </c>
      <c r="H142">
        <v>1500000</v>
      </c>
      <c r="I142" s="49">
        <v>1655321.89</v>
      </c>
      <c r="K142" s="115">
        <v>1619276.91</v>
      </c>
      <c r="L142" s="49">
        <v>1.1035479266666666</v>
      </c>
      <c r="M142" s="49">
        <v>1.0795179399999999</v>
      </c>
      <c r="N142" s="49">
        <v>36044.979999999981</v>
      </c>
      <c r="O142" s="47">
        <v>2.1775208929303763E-2</v>
      </c>
      <c r="P142" s="72">
        <f t="shared" si="2"/>
        <v>75710.909999998461</v>
      </c>
      <c r="Q142" s="49" t="str">
        <f>TEXT(Table1[[#This Row],[Closing Date]],"yyyy")</f>
        <v>2023</v>
      </c>
      <c r="R142" s="49" t="str">
        <f>TEXT(Table1[[#This Row],[Closing Date]],"mmmm")</f>
        <v>May</v>
      </c>
      <c r="S142" s="49" t="s">
        <v>368</v>
      </c>
      <c r="T142" s="49" t="s">
        <v>429</v>
      </c>
    </row>
    <row r="143" spans="1:20" x14ac:dyDescent="0.25">
      <c r="A143" t="s">
        <v>283</v>
      </c>
      <c r="B143" t="s">
        <v>433</v>
      </c>
      <c r="C143" t="s">
        <v>56</v>
      </c>
      <c r="D143" t="s">
        <v>36</v>
      </c>
      <c r="E143" s="49"/>
      <c r="F143" s="60">
        <v>45071</v>
      </c>
      <c r="G143" t="s">
        <v>74</v>
      </c>
      <c r="H143">
        <v>5000</v>
      </c>
      <c r="I143" s="49">
        <v>225682.47</v>
      </c>
      <c r="K143" s="115">
        <v>183884.9</v>
      </c>
      <c r="L143" s="49">
        <v>45.136493999999999</v>
      </c>
      <c r="M143" s="49">
        <v>36.776980000000002</v>
      </c>
      <c r="N143" s="49">
        <v>41797.570000000007</v>
      </c>
      <c r="O143" s="47">
        <v>0.18520521332472117</v>
      </c>
      <c r="P143" s="72">
        <f t="shared" si="2"/>
        <v>117508.47999999847</v>
      </c>
      <c r="Q143" s="49" t="str">
        <f>TEXT(Table1[[#This Row],[Closing Date]],"yyyy")</f>
        <v>2023</v>
      </c>
      <c r="R143" s="49" t="str">
        <f>TEXT(Table1[[#This Row],[Closing Date]],"mmmm")</f>
        <v>May</v>
      </c>
      <c r="S143" s="49" t="s">
        <v>368</v>
      </c>
      <c r="T143" s="49" t="s">
        <v>429</v>
      </c>
    </row>
    <row r="144" spans="1:20" x14ac:dyDescent="0.25">
      <c r="A144" t="s">
        <v>276</v>
      </c>
      <c r="B144" t="s">
        <v>430</v>
      </c>
      <c r="C144" t="s">
        <v>148</v>
      </c>
      <c r="D144" t="s">
        <v>38</v>
      </c>
      <c r="E144" s="49"/>
      <c r="F144" s="60">
        <v>45072</v>
      </c>
      <c r="G144" t="s">
        <v>96</v>
      </c>
      <c r="H144">
        <v>50</v>
      </c>
      <c r="I144" s="49">
        <v>5249.04</v>
      </c>
      <c r="J144" s="106">
        <v>100</v>
      </c>
      <c r="K144" s="115">
        <v>0</v>
      </c>
      <c r="L144" s="49">
        <v>1.0498080000000001</v>
      </c>
      <c r="M144" s="49">
        <v>0</v>
      </c>
      <c r="N144" s="49">
        <v>-5249.04</v>
      </c>
      <c r="O144" s="47">
        <v>-1</v>
      </c>
      <c r="P144" s="72">
        <f t="shared" si="2"/>
        <v>112259.43999999847</v>
      </c>
      <c r="Q144" s="49" t="str">
        <f>TEXT(Table1[[#This Row],[Closing Date]],"yyyy")</f>
        <v>2023</v>
      </c>
      <c r="R144" s="49" t="str">
        <f>TEXT(Table1[[#This Row],[Closing Date]],"mmmm")</f>
        <v>May</v>
      </c>
      <c r="S144" s="49" t="s">
        <v>368</v>
      </c>
      <c r="T144" s="49" t="s">
        <v>429</v>
      </c>
    </row>
    <row r="145" spans="1:20" x14ac:dyDescent="0.25">
      <c r="A145" t="s">
        <v>283</v>
      </c>
      <c r="B145" t="s">
        <v>433</v>
      </c>
      <c r="C145" t="s">
        <v>51</v>
      </c>
      <c r="D145" t="s">
        <v>38</v>
      </c>
      <c r="E145" s="49"/>
      <c r="F145" s="60">
        <v>45076</v>
      </c>
      <c r="G145" t="s">
        <v>86</v>
      </c>
      <c r="H145">
        <v>42</v>
      </c>
      <c r="I145" s="49">
        <v>257299</v>
      </c>
      <c r="K145" s="115">
        <v>247302.7</v>
      </c>
      <c r="L145" s="49">
        <v>612.61666666666667</v>
      </c>
      <c r="M145" s="49">
        <v>588.81595238095235</v>
      </c>
      <c r="N145" s="49">
        <v>-9996.2999999999884</v>
      </c>
      <c r="O145" s="47">
        <v>-3.8850908864783727E-2</v>
      </c>
      <c r="P145" s="72">
        <f t="shared" si="2"/>
        <v>102263.13999999849</v>
      </c>
      <c r="Q145" s="49" t="str">
        <f>TEXT(Table1[[#This Row],[Closing Date]],"yyyy")</f>
        <v>2023</v>
      </c>
      <c r="R145" s="49" t="str">
        <f>TEXT(Table1[[#This Row],[Closing Date]],"mmmm")</f>
        <v>May</v>
      </c>
      <c r="S145" s="49" t="s">
        <v>368</v>
      </c>
      <c r="T145" s="49" t="s">
        <v>429</v>
      </c>
    </row>
    <row r="146" spans="1:20" x14ac:dyDescent="0.25">
      <c r="A146" t="s">
        <v>283</v>
      </c>
      <c r="B146" t="s">
        <v>434</v>
      </c>
      <c r="C146" t="s">
        <v>56</v>
      </c>
      <c r="D146" t="s">
        <v>38</v>
      </c>
      <c r="E146" s="49"/>
      <c r="F146" s="60">
        <v>45077</v>
      </c>
      <c r="G146" t="s">
        <v>80</v>
      </c>
      <c r="H146">
        <v>5900</v>
      </c>
      <c r="I146" s="49">
        <v>387659.5</v>
      </c>
      <c r="K146" s="115">
        <v>376330.3</v>
      </c>
      <c r="L146" s="49">
        <v>65.704999999999998</v>
      </c>
      <c r="M146" s="49">
        <v>63.784796610169487</v>
      </c>
      <c r="N146" s="49">
        <v>-11329.200000000012</v>
      </c>
      <c r="O146" s="47">
        <v>-2.9224615932280828E-2</v>
      </c>
      <c r="P146" s="72">
        <f t="shared" si="2"/>
        <v>90933.939999998474</v>
      </c>
      <c r="Q146" s="49" t="str">
        <f>TEXT(Table1[[#This Row],[Closing Date]],"yyyy")</f>
        <v>2023</v>
      </c>
      <c r="R146" s="49" t="str">
        <f>TEXT(Table1[[#This Row],[Closing Date]],"mmmm")</f>
        <v>May</v>
      </c>
      <c r="S146" s="49" t="s">
        <v>368</v>
      </c>
      <c r="T146" s="49" t="s">
        <v>429</v>
      </c>
    </row>
    <row r="147" spans="1:20" x14ac:dyDescent="0.25">
      <c r="A147" t="s">
        <v>283</v>
      </c>
      <c r="B147" t="s">
        <v>434</v>
      </c>
      <c r="C147" t="s">
        <v>51</v>
      </c>
      <c r="D147" t="s">
        <v>38</v>
      </c>
      <c r="E147" s="49"/>
      <c r="F147" s="60">
        <v>45078</v>
      </c>
      <c r="G147" t="s">
        <v>87</v>
      </c>
      <c r="H147">
        <v>5</v>
      </c>
      <c r="I147" s="49">
        <v>174761.85</v>
      </c>
      <c r="K147" s="115">
        <v>167988.15</v>
      </c>
      <c r="L147" s="49">
        <v>3.4952370000000004</v>
      </c>
      <c r="M147" s="49">
        <v>3.3597630000000001</v>
      </c>
      <c r="N147" s="49">
        <v>-6773.7000000000116</v>
      </c>
      <c r="O147" s="47">
        <v>-3.8759603426033837E-2</v>
      </c>
      <c r="P147" s="72">
        <f t="shared" si="2"/>
        <v>84160.239999998463</v>
      </c>
      <c r="Q147" s="49" t="str">
        <f>TEXT(Table1[[#This Row],[Closing Date]],"yyyy")</f>
        <v>2023</v>
      </c>
      <c r="R147" s="49" t="str">
        <f>TEXT(Table1[[#This Row],[Closing Date]],"mmmm")</f>
        <v>June</v>
      </c>
      <c r="S147" s="49" t="s">
        <v>368</v>
      </c>
      <c r="T147" s="49" t="s">
        <v>429</v>
      </c>
    </row>
    <row r="148" spans="1:20" x14ac:dyDescent="0.25">
      <c r="A148" t="s">
        <v>283</v>
      </c>
      <c r="B148" t="s">
        <v>431</v>
      </c>
      <c r="C148" t="s">
        <v>51</v>
      </c>
      <c r="D148" t="s">
        <v>38</v>
      </c>
      <c r="E148" s="49"/>
      <c r="F148" s="60">
        <v>45079</v>
      </c>
      <c r="G148" t="s">
        <v>88</v>
      </c>
      <c r="H148">
        <v>3</v>
      </c>
      <c r="I148" s="49">
        <v>463409.04</v>
      </c>
      <c r="K148" s="115">
        <v>478465.95</v>
      </c>
      <c r="L148" s="49">
        <v>30893.935999999998</v>
      </c>
      <c r="M148" s="49">
        <v>31897.73</v>
      </c>
      <c r="N148" s="49">
        <v>15056.910000000033</v>
      </c>
      <c r="O148" s="47">
        <v>3.2491619067250031E-2</v>
      </c>
      <c r="P148" s="72">
        <f t="shared" si="2"/>
        <v>99217.149999998495</v>
      </c>
      <c r="Q148" s="49" t="str">
        <f>TEXT(Table1[[#This Row],[Closing Date]],"yyyy")</f>
        <v>2023</v>
      </c>
      <c r="R148" s="49" t="str">
        <f>TEXT(Table1[[#This Row],[Closing Date]],"mmmm")</f>
        <v>June</v>
      </c>
      <c r="S148" s="49" t="s">
        <v>368</v>
      </c>
      <c r="T148" s="49" t="s">
        <v>429</v>
      </c>
    </row>
    <row r="149" spans="1:20" x14ac:dyDescent="0.25">
      <c r="A149" t="s">
        <v>283</v>
      </c>
      <c r="B149" t="s">
        <v>433</v>
      </c>
      <c r="C149" t="s">
        <v>35</v>
      </c>
      <c r="D149" t="s">
        <v>38</v>
      </c>
      <c r="E149" s="49"/>
      <c r="F149" s="60">
        <v>45082</v>
      </c>
      <c r="G149" t="s">
        <v>39</v>
      </c>
      <c r="H149">
        <v>685000</v>
      </c>
      <c r="I149" s="49">
        <v>732807.11</v>
      </c>
      <c r="K149" s="115">
        <v>733984.35</v>
      </c>
      <c r="L149" s="49">
        <v>1.069791401459854</v>
      </c>
      <c r="M149" s="49">
        <v>1.07151</v>
      </c>
      <c r="N149" s="49">
        <v>1177.2399999999907</v>
      </c>
      <c r="O149" s="47">
        <v>1.603903407477272E-3</v>
      </c>
      <c r="P149" s="72">
        <f t="shared" si="2"/>
        <v>100394.38999999849</v>
      </c>
      <c r="Q149" s="49" t="str">
        <f>TEXT(Table1[[#This Row],[Closing Date]],"yyyy")</f>
        <v>2023</v>
      </c>
      <c r="R149" s="49" t="str">
        <f>TEXT(Table1[[#This Row],[Closing Date]],"mmmm")</f>
        <v>June</v>
      </c>
      <c r="S149" s="49" t="s">
        <v>368</v>
      </c>
      <c r="T149" s="49" t="s">
        <v>429</v>
      </c>
    </row>
    <row r="150" spans="1:20" x14ac:dyDescent="0.25">
      <c r="A150" t="s">
        <v>283</v>
      </c>
      <c r="B150" t="s">
        <v>430</v>
      </c>
      <c r="C150" t="s">
        <v>56</v>
      </c>
      <c r="D150" t="s">
        <v>36</v>
      </c>
      <c r="E150" s="49"/>
      <c r="F150" s="60">
        <v>45084</v>
      </c>
      <c r="G150" t="s">
        <v>91</v>
      </c>
      <c r="H150">
        <v>9400</v>
      </c>
      <c r="I150" s="49">
        <v>176095.57</v>
      </c>
      <c r="K150" s="115">
        <v>170698.4</v>
      </c>
      <c r="L150" s="49">
        <v>18.733571276595747</v>
      </c>
      <c r="M150" s="49">
        <v>18.159404255319149</v>
      </c>
      <c r="N150" s="49">
        <v>5397.1700000000128</v>
      </c>
      <c r="O150" s="47">
        <v>3.0649095829043356E-2</v>
      </c>
      <c r="P150" s="72">
        <f t="shared" si="2"/>
        <v>105791.5599999985</v>
      </c>
      <c r="Q150" s="49" t="str">
        <f>TEXT(Table1[[#This Row],[Closing Date]],"yyyy")</f>
        <v>2023</v>
      </c>
      <c r="R150" s="49" t="str">
        <f>TEXT(Table1[[#This Row],[Closing Date]],"mmmm")</f>
        <v>June</v>
      </c>
      <c r="S150" s="49" t="s">
        <v>368</v>
      </c>
      <c r="T150" s="49" t="s">
        <v>429</v>
      </c>
    </row>
    <row r="151" spans="1:20" x14ac:dyDescent="0.25">
      <c r="A151" t="s">
        <v>283</v>
      </c>
      <c r="B151" t="s">
        <v>431</v>
      </c>
      <c r="C151" t="s">
        <v>56</v>
      </c>
      <c r="D151" t="s">
        <v>36</v>
      </c>
      <c r="E151" s="49"/>
      <c r="F151" s="60">
        <v>45084</v>
      </c>
      <c r="G151" t="s">
        <v>79</v>
      </c>
      <c r="H151">
        <v>580</v>
      </c>
      <c r="I151" s="49">
        <v>127408.33</v>
      </c>
      <c r="K151" s="115">
        <v>133434.78</v>
      </c>
      <c r="L151" s="49">
        <v>219.66953448275862</v>
      </c>
      <c r="M151" s="49">
        <v>230.05996551724138</v>
      </c>
      <c r="N151" s="49">
        <v>-6026.4499999999971</v>
      </c>
      <c r="O151" s="47">
        <v>-4.7300282485454447E-2</v>
      </c>
      <c r="P151" s="72">
        <f t="shared" si="2"/>
        <v>99765.109999998502</v>
      </c>
      <c r="Q151" s="49" t="str">
        <f>TEXT(Table1[[#This Row],[Closing Date]],"yyyy")</f>
        <v>2023</v>
      </c>
      <c r="R151" s="49" t="str">
        <f>TEXT(Table1[[#This Row],[Closing Date]],"mmmm")</f>
        <v>June</v>
      </c>
      <c r="S151" s="49" t="s">
        <v>368</v>
      </c>
      <c r="T151" s="49" t="s">
        <v>429</v>
      </c>
    </row>
    <row r="152" spans="1:20" x14ac:dyDescent="0.25">
      <c r="A152" t="s">
        <v>283</v>
      </c>
      <c r="B152" t="s">
        <v>433</v>
      </c>
      <c r="C152" t="s">
        <v>56</v>
      </c>
      <c r="D152" t="s">
        <v>38</v>
      </c>
      <c r="E152" s="49"/>
      <c r="F152" s="60">
        <v>45085</v>
      </c>
      <c r="G152" t="s">
        <v>90</v>
      </c>
      <c r="H152">
        <v>2500</v>
      </c>
      <c r="I152" s="49">
        <v>243462.5</v>
      </c>
      <c r="K152" s="115">
        <v>243292.99</v>
      </c>
      <c r="L152" s="49">
        <v>97.385000000000005</v>
      </c>
      <c r="M152" s="49">
        <v>97.317195999999996</v>
      </c>
      <c r="N152" s="49">
        <v>-169.51000000000931</v>
      </c>
      <c r="O152" s="47">
        <v>-6.9624685526528229E-4</v>
      </c>
      <c r="P152" s="72">
        <f t="shared" si="2"/>
        <v>99595.599999998492</v>
      </c>
      <c r="Q152" s="49" t="str">
        <f>TEXT(Table1[[#This Row],[Closing Date]],"yyyy")</f>
        <v>2023</v>
      </c>
      <c r="R152" s="49" t="str">
        <f>TEXT(Table1[[#This Row],[Closing Date]],"mmmm")</f>
        <v>June</v>
      </c>
      <c r="S152" s="49" t="s">
        <v>368</v>
      </c>
      <c r="T152" s="49" t="s">
        <v>429</v>
      </c>
    </row>
    <row r="153" spans="1:20" x14ac:dyDescent="0.25">
      <c r="A153" t="s">
        <v>283</v>
      </c>
      <c r="B153" t="s">
        <v>431</v>
      </c>
      <c r="C153" t="s">
        <v>35</v>
      </c>
      <c r="D153" t="s">
        <v>38</v>
      </c>
      <c r="E153" s="49"/>
      <c r="F153" s="60">
        <v>45086</v>
      </c>
      <c r="G153" t="s">
        <v>92</v>
      </c>
      <c r="H153">
        <v>780000</v>
      </c>
      <c r="I153" s="49">
        <v>9137713.3300000001</v>
      </c>
      <c r="K153" s="115">
        <v>9070214.6300000008</v>
      </c>
      <c r="L153" s="49">
        <v>11.71501708974359</v>
      </c>
      <c r="M153" s="49">
        <v>11.628480294871796</v>
      </c>
      <c r="N153" s="49">
        <v>-6249.8796296295604</v>
      </c>
      <c r="O153" s="47">
        <v>-6.8905531837779228E-4</v>
      </c>
      <c r="P153" s="72">
        <f t="shared" si="2"/>
        <v>93345.72037036893</v>
      </c>
      <c r="Q153" s="49" t="str">
        <f>TEXT(Table1[[#This Row],[Closing Date]],"yyyy")</f>
        <v>2023</v>
      </c>
      <c r="R153" s="49" t="str">
        <f>TEXT(Table1[[#This Row],[Closing Date]],"mmmm")</f>
        <v>June</v>
      </c>
      <c r="S153" s="49" t="s">
        <v>368</v>
      </c>
      <c r="T153" s="49" t="s">
        <v>429</v>
      </c>
    </row>
    <row r="154" spans="1:20" x14ac:dyDescent="0.25">
      <c r="A154" t="s">
        <v>283</v>
      </c>
      <c r="B154" t="s">
        <v>434</v>
      </c>
      <c r="C154" t="s">
        <v>35</v>
      </c>
      <c r="D154" t="s">
        <v>38</v>
      </c>
      <c r="E154" s="49"/>
      <c r="F154" s="60">
        <v>45086</v>
      </c>
      <c r="G154" t="s">
        <v>93</v>
      </c>
      <c r="H154">
        <v>660000</v>
      </c>
      <c r="I154" s="49">
        <v>7199361.46</v>
      </c>
      <c r="K154" s="115">
        <v>7102218.71</v>
      </c>
      <c r="L154" s="49">
        <v>10.908123424242424</v>
      </c>
      <c r="M154" s="49">
        <v>10.76093743939394</v>
      </c>
      <c r="N154" s="49">
        <v>-8905.5418812101143</v>
      </c>
      <c r="O154" s="47">
        <v>-1.25390983365114E-3</v>
      </c>
      <c r="P154" s="72">
        <f t="shared" si="2"/>
        <v>84440.178489158818</v>
      </c>
      <c r="Q154" s="49" t="str">
        <f>TEXT(Table1[[#This Row],[Closing Date]],"yyyy")</f>
        <v>2023</v>
      </c>
      <c r="R154" s="49" t="str">
        <f>TEXT(Table1[[#This Row],[Closing Date]],"mmmm")</f>
        <v>June</v>
      </c>
      <c r="S154" s="49" t="s">
        <v>368</v>
      </c>
      <c r="T154" s="49" t="s">
        <v>429</v>
      </c>
    </row>
    <row r="155" spans="1:20" x14ac:dyDescent="0.25">
      <c r="A155" t="s">
        <v>283</v>
      </c>
      <c r="B155" t="s">
        <v>433</v>
      </c>
      <c r="C155" t="s">
        <v>56</v>
      </c>
      <c r="D155" t="s">
        <v>36</v>
      </c>
      <c r="E155" s="49"/>
      <c r="F155" s="60">
        <v>45089</v>
      </c>
      <c r="G155" t="s">
        <v>94</v>
      </c>
      <c r="H155">
        <v>82</v>
      </c>
      <c r="I155" s="49">
        <v>106393.14</v>
      </c>
      <c r="K155" s="115">
        <v>101452.58</v>
      </c>
      <c r="L155" s="49">
        <v>1297.4773170731708</v>
      </c>
      <c r="M155" s="49">
        <v>1237.2265853658537</v>
      </c>
      <c r="N155" s="49">
        <v>4940.5599999999977</v>
      </c>
      <c r="O155" s="47">
        <v>-4.6436828539885185E-2</v>
      </c>
      <c r="P155" s="72">
        <f t="shared" si="2"/>
        <v>89380.738489158815</v>
      </c>
      <c r="Q155" s="49" t="str">
        <f>TEXT(Table1[[#This Row],[Closing Date]],"yyyy")</f>
        <v>2023</v>
      </c>
      <c r="R155" s="49" t="str">
        <f>TEXT(Table1[[#This Row],[Closing Date]],"mmmm")</f>
        <v>June</v>
      </c>
      <c r="S155" s="49" t="s">
        <v>368</v>
      </c>
      <c r="T155" s="49" t="s">
        <v>429</v>
      </c>
    </row>
    <row r="156" spans="1:20" x14ac:dyDescent="0.25">
      <c r="A156" t="s">
        <v>283</v>
      </c>
      <c r="B156" t="s">
        <v>433</v>
      </c>
      <c r="C156" t="s">
        <v>51</v>
      </c>
      <c r="D156" t="s">
        <v>38</v>
      </c>
      <c r="E156" s="49"/>
      <c r="F156" s="60">
        <v>45090</v>
      </c>
      <c r="G156" t="s">
        <v>95</v>
      </c>
      <c r="H156">
        <v>9</v>
      </c>
      <c r="I156" s="49">
        <v>913429.98</v>
      </c>
      <c r="K156" s="115">
        <v>930310.02</v>
      </c>
      <c r="L156" s="49">
        <v>101.49222</v>
      </c>
      <c r="M156" s="49">
        <v>103.36778</v>
      </c>
      <c r="N156" s="49">
        <v>16880.040000000037</v>
      </c>
      <c r="O156" s="47">
        <v>1.8479840129617859E-2</v>
      </c>
      <c r="P156" s="72">
        <f t="shared" si="2"/>
        <v>106260.77848915885</v>
      </c>
      <c r="Q156" s="49" t="str">
        <f>TEXT(Table1[[#This Row],[Closing Date]],"yyyy")</f>
        <v>2023</v>
      </c>
      <c r="R156" s="49" t="str">
        <f>TEXT(Table1[[#This Row],[Closing Date]],"mmmm")</f>
        <v>June</v>
      </c>
      <c r="S156" s="49" t="s">
        <v>368</v>
      </c>
      <c r="T156" s="49" t="s">
        <v>429</v>
      </c>
    </row>
    <row r="157" spans="1:20" x14ac:dyDescent="0.25">
      <c r="A157" t="s">
        <v>335</v>
      </c>
      <c r="B157" t="s">
        <v>432</v>
      </c>
      <c r="C157" t="s">
        <v>51</v>
      </c>
      <c r="D157" t="s">
        <v>36</v>
      </c>
      <c r="E157" s="49"/>
      <c r="F157" s="60">
        <v>45091</v>
      </c>
      <c r="G157" t="s">
        <v>130</v>
      </c>
      <c r="H157">
        <v>10</v>
      </c>
      <c r="I157" s="49">
        <v>2106000</v>
      </c>
      <c r="K157" s="115">
        <v>2102000</v>
      </c>
      <c r="L157" s="49">
        <v>4212</v>
      </c>
      <c r="M157" s="49">
        <v>4204</v>
      </c>
      <c r="N157" s="49">
        <v>-4044</v>
      </c>
      <c r="O157" s="47">
        <v>-1.8993352326685661E-3</v>
      </c>
      <c r="P157" s="72">
        <f t="shared" si="2"/>
        <v>102216.77848915885</v>
      </c>
      <c r="Q157" s="49" t="str">
        <f>TEXT(Table1[[#This Row],[Closing Date]],"yyyy")</f>
        <v>2023</v>
      </c>
      <c r="R157" s="49" t="str">
        <f>TEXT(Table1[[#This Row],[Closing Date]],"mmmm")</f>
        <v>June</v>
      </c>
      <c r="S157" s="49" t="s">
        <v>368</v>
      </c>
      <c r="T157" s="49" t="s">
        <v>429</v>
      </c>
    </row>
    <row r="158" spans="1:20" x14ac:dyDescent="0.25">
      <c r="A158" t="s">
        <v>283</v>
      </c>
      <c r="B158" t="s">
        <v>433</v>
      </c>
      <c r="C158" t="s">
        <v>51</v>
      </c>
      <c r="D158" t="s">
        <v>38</v>
      </c>
      <c r="E158" s="49"/>
      <c r="F158" s="60">
        <v>45092</v>
      </c>
      <c r="G158" t="s">
        <v>95</v>
      </c>
      <c r="H158">
        <v>9</v>
      </c>
      <c r="I158" s="49">
        <v>928999.98</v>
      </c>
      <c r="K158" s="115">
        <v>915510.02</v>
      </c>
      <c r="L158" s="49">
        <v>103.22221999999999</v>
      </c>
      <c r="M158" s="49">
        <v>101.72333555555556</v>
      </c>
      <c r="N158" s="49">
        <v>-13489.959999999963</v>
      </c>
      <c r="O158" s="47">
        <v>-1.4520947567727573E-2</v>
      </c>
      <c r="P158" s="72">
        <f t="shared" si="2"/>
        <v>88726.81848915889</v>
      </c>
      <c r="Q158" s="49" t="str">
        <f>TEXT(Table1[[#This Row],[Closing Date]],"yyyy")</f>
        <v>2023</v>
      </c>
      <c r="R158" s="49" t="str">
        <f>TEXT(Table1[[#This Row],[Closing Date]],"mmmm")</f>
        <v>June</v>
      </c>
      <c r="S158" s="49" t="s">
        <v>368</v>
      </c>
      <c r="T158" s="49" t="s">
        <v>429</v>
      </c>
    </row>
    <row r="159" spans="1:20" x14ac:dyDescent="0.25">
      <c r="A159" t="s">
        <v>283</v>
      </c>
      <c r="B159" t="s">
        <v>430</v>
      </c>
      <c r="C159" t="s">
        <v>56</v>
      </c>
      <c r="D159" t="s">
        <v>36</v>
      </c>
      <c r="E159" s="49"/>
      <c r="F159" s="60">
        <v>45092</v>
      </c>
      <c r="G159" t="s">
        <v>63</v>
      </c>
      <c r="H159">
        <v>3000</v>
      </c>
      <c r="I159" s="49">
        <v>49674.3</v>
      </c>
      <c r="K159" s="115">
        <v>56539.33</v>
      </c>
      <c r="L159" s="49">
        <v>16.5581</v>
      </c>
      <c r="M159" s="49">
        <v>18.846443333333333</v>
      </c>
      <c r="N159" s="49">
        <v>6865.0299999999988</v>
      </c>
      <c r="O159" s="47">
        <v>0.13820084027354188</v>
      </c>
      <c r="P159" s="72">
        <f t="shared" si="2"/>
        <v>95591.848489158889</v>
      </c>
      <c r="Q159" s="49" t="str">
        <f>TEXT(Table1[[#This Row],[Closing Date]],"yyyy")</f>
        <v>2023</v>
      </c>
      <c r="R159" s="49" t="str">
        <f>TEXT(Table1[[#This Row],[Closing Date]],"mmmm")</f>
        <v>June</v>
      </c>
      <c r="S159" s="49" t="s">
        <v>368</v>
      </c>
      <c r="T159" s="49" t="s">
        <v>429</v>
      </c>
    </row>
    <row r="160" spans="1:20" x14ac:dyDescent="0.25">
      <c r="A160" t="s">
        <v>283</v>
      </c>
      <c r="B160" t="s">
        <v>431</v>
      </c>
      <c r="C160" t="s">
        <v>51</v>
      </c>
      <c r="D160" t="s">
        <v>36</v>
      </c>
      <c r="E160" s="49"/>
      <c r="F160" s="60">
        <v>45093</v>
      </c>
      <c r="G160" t="s">
        <v>263</v>
      </c>
      <c r="H160">
        <v>26</v>
      </c>
      <c r="I160" s="49">
        <v>573283.88</v>
      </c>
      <c r="K160" s="115">
        <v>583066.12</v>
      </c>
      <c r="L160" s="49">
        <v>4409.8760000000002</v>
      </c>
      <c r="M160" s="49">
        <v>4485.1239999999998</v>
      </c>
      <c r="N160" s="49">
        <v>-9826.2399999999907</v>
      </c>
      <c r="O160" s="47">
        <v>-1.7140269145540933E-2</v>
      </c>
      <c r="P160" s="72">
        <f t="shared" si="2"/>
        <v>85765.608489158898</v>
      </c>
      <c r="Q160" s="49" t="str">
        <f>TEXT(Table1[[#This Row],[Closing Date]],"yyyy")</f>
        <v>2023</v>
      </c>
      <c r="R160" s="49" t="str">
        <f>TEXT(Table1[[#This Row],[Closing Date]],"mmmm")</f>
        <v>June</v>
      </c>
      <c r="S160" s="49" t="s">
        <v>368</v>
      </c>
      <c r="T160" s="49" t="s">
        <v>429</v>
      </c>
    </row>
    <row r="161" spans="1:20" x14ac:dyDescent="0.25">
      <c r="A161" t="s">
        <v>276</v>
      </c>
      <c r="B161" t="s">
        <v>433</v>
      </c>
      <c r="C161" t="s">
        <v>152</v>
      </c>
      <c r="D161" t="s">
        <v>38</v>
      </c>
      <c r="E161" s="49"/>
      <c r="F161" s="60">
        <v>45093</v>
      </c>
      <c r="G161" t="s">
        <v>99</v>
      </c>
      <c r="H161">
        <v>75</v>
      </c>
      <c r="I161" s="49">
        <v>8171.05</v>
      </c>
      <c r="J161" s="106">
        <v>100</v>
      </c>
      <c r="K161" s="115">
        <v>0</v>
      </c>
      <c r="L161" s="49">
        <v>1.0894733333333333</v>
      </c>
      <c r="M161" s="49">
        <v>0</v>
      </c>
      <c r="N161" s="49">
        <v>-8171.05</v>
      </c>
      <c r="O161" s="47">
        <v>-1</v>
      </c>
      <c r="P161" s="72">
        <f t="shared" si="2"/>
        <v>77594.558489158895</v>
      </c>
      <c r="Q161" s="49" t="str">
        <f>TEXT(Table1[[#This Row],[Closing Date]],"yyyy")</f>
        <v>2023</v>
      </c>
      <c r="R161" s="49" t="str">
        <f>TEXT(Table1[[#This Row],[Closing Date]],"mmmm")</f>
        <v>June</v>
      </c>
      <c r="S161" s="49" t="s">
        <v>368</v>
      </c>
      <c r="T161" s="49" t="s">
        <v>429</v>
      </c>
    </row>
    <row r="162" spans="1:20" x14ac:dyDescent="0.25">
      <c r="A162" t="s">
        <v>276</v>
      </c>
      <c r="B162" t="s">
        <v>433</v>
      </c>
      <c r="C162" t="s">
        <v>149</v>
      </c>
      <c r="D162" t="s">
        <v>38</v>
      </c>
      <c r="E162" s="49"/>
      <c r="F162" s="60">
        <v>45093</v>
      </c>
      <c r="G162" t="s">
        <v>97</v>
      </c>
      <c r="H162">
        <v>180</v>
      </c>
      <c r="I162" s="49">
        <v>7960.02</v>
      </c>
      <c r="J162" s="106">
        <v>100</v>
      </c>
      <c r="K162" s="115">
        <v>8109.39</v>
      </c>
      <c r="L162" s="49">
        <v>0.44222333333333341</v>
      </c>
      <c r="M162" s="49">
        <v>0.45052166666666671</v>
      </c>
      <c r="N162" s="49">
        <v>149.36999999999989</v>
      </c>
      <c r="O162" s="47">
        <v>1.8765028228572202E-2</v>
      </c>
      <c r="P162" s="72">
        <f t="shared" si="2"/>
        <v>77743.92848915889</v>
      </c>
      <c r="Q162" s="49" t="str">
        <f>TEXT(Table1[[#This Row],[Closing Date]],"yyyy")</f>
        <v>2023</v>
      </c>
      <c r="R162" s="49" t="str">
        <f>TEXT(Table1[[#This Row],[Closing Date]],"mmmm")</f>
        <v>June</v>
      </c>
      <c r="S162" s="49" t="s">
        <v>368</v>
      </c>
      <c r="T162" s="49" t="s">
        <v>429</v>
      </c>
    </row>
    <row r="163" spans="1:20" x14ac:dyDescent="0.25">
      <c r="A163" t="s">
        <v>283</v>
      </c>
      <c r="B163" t="s">
        <v>433</v>
      </c>
      <c r="C163" t="s">
        <v>56</v>
      </c>
      <c r="D163" t="s">
        <v>38</v>
      </c>
      <c r="E163" s="49"/>
      <c r="F163" s="60">
        <v>45093</v>
      </c>
      <c r="G163" t="s">
        <v>98</v>
      </c>
      <c r="H163">
        <v>9000</v>
      </c>
      <c r="I163" s="49">
        <v>512049.6</v>
      </c>
      <c r="K163" s="115">
        <v>517625</v>
      </c>
      <c r="L163" s="49">
        <v>56.894399999999997</v>
      </c>
      <c r="M163" s="49">
        <v>57.513888888888886</v>
      </c>
      <c r="N163" s="49">
        <v>-5575.4000000000233</v>
      </c>
      <c r="O163" s="47">
        <v>-1.0888398311413573E-2</v>
      </c>
      <c r="P163" s="72">
        <f t="shared" si="2"/>
        <v>72168.528489158867</v>
      </c>
      <c r="Q163" s="49" t="str">
        <f>TEXT(Table1[[#This Row],[Closing Date]],"yyyy")</f>
        <v>2023</v>
      </c>
      <c r="R163" s="49" t="str">
        <f>TEXT(Table1[[#This Row],[Closing Date]],"mmmm")</f>
        <v>June</v>
      </c>
      <c r="S163" s="49" t="s">
        <v>368</v>
      </c>
      <c r="T163" s="49" t="s">
        <v>429</v>
      </c>
    </row>
    <row r="164" spans="1:20" x14ac:dyDescent="0.25">
      <c r="A164" t="s">
        <v>276</v>
      </c>
      <c r="B164" t="s">
        <v>434</v>
      </c>
      <c r="C164" t="s">
        <v>149</v>
      </c>
      <c r="D164" t="s">
        <v>38</v>
      </c>
      <c r="E164" s="49"/>
      <c r="F164" s="60">
        <v>45093</v>
      </c>
      <c r="G164" t="s">
        <v>62</v>
      </c>
      <c r="H164">
        <v>15</v>
      </c>
      <c r="I164" s="49">
        <v>4199.24</v>
      </c>
      <c r="J164" s="106">
        <v>100</v>
      </c>
      <c r="K164" s="115">
        <v>0</v>
      </c>
      <c r="L164" s="49">
        <v>2.7994933333333329</v>
      </c>
      <c r="M164" s="49">
        <v>0</v>
      </c>
      <c r="N164" s="49">
        <v>-4199.24</v>
      </c>
      <c r="O164" s="47">
        <v>-1</v>
      </c>
      <c r="P164" s="72">
        <f t="shared" si="2"/>
        <v>67969.288489158862</v>
      </c>
      <c r="Q164" s="49" t="str">
        <f>TEXT(Table1[[#This Row],[Closing Date]],"yyyy")</f>
        <v>2023</v>
      </c>
      <c r="R164" s="49" t="str">
        <f>TEXT(Table1[[#This Row],[Closing Date]],"mmmm")</f>
        <v>June</v>
      </c>
      <c r="S164" s="49" t="s">
        <v>368</v>
      </c>
      <c r="T164" s="49" t="s">
        <v>429</v>
      </c>
    </row>
    <row r="165" spans="1:20" x14ac:dyDescent="0.25">
      <c r="A165" t="s">
        <v>283</v>
      </c>
      <c r="B165" t="s">
        <v>433</v>
      </c>
      <c r="C165" t="s">
        <v>56</v>
      </c>
      <c r="D165" t="s">
        <v>38</v>
      </c>
      <c r="E165" s="49"/>
      <c r="F165" s="60">
        <v>45097</v>
      </c>
      <c r="G165" t="s">
        <v>101</v>
      </c>
      <c r="H165">
        <v>13333</v>
      </c>
      <c r="I165" s="49">
        <v>226767.67</v>
      </c>
      <c r="K165" s="115">
        <v>216628.76</v>
      </c>
      <c r="L165" s="49">
        <v>17.008000450011252</v>
      </c>
      <c r="M165" s="49">
        <v>16.247563189079727</v>
      </c>
      <c r="N165" s="49">
        <v>-10138.910000000003</v>
      </c>
      <c r="O165" s="47">
        <v>-4.4710562136128222E-2</v>
      </c>
      <c r="P165" s="72">
        <f t="shared" si="2"/>
        <v>57830.378489158858</v>
      </c>
      <c r="Q165" s="49" t="str">
        <f>TEXT(Table1[[#This Row],[Closing Date]],"yyyy")</f>
        <v>2023</v>
      </c>
      <c r="R165" s="49" t="str">
        <f>TEXT(Table1[[#This Row],[Closing Date]],"mmmm")</f>
        <v>June</v>
      </c>
      <c r="S165" s="49" t="s">
        <v>368</v>
      </c>
      <c r="T165" s="49" t="s">
        <v>429</v>
      </c>
    </row>
    <row r="166" spans="1:20" x14ac:dyDescent="0.25">
      <c r="A166" t="s">
        <v>283</v>
      </c>
      <c r="B166" t="s">
        <v>433</v>
      </c>
      <c r="C166" t="s">
        <v>56</v>
      </c>
      <c r="D166" t="s">
        <v>38</v>
      </c>
      <c r="E166" s="49"/>
      <c r="F166" s="60">
        <v>45097</v>
      </c>
      <c r="G166" t="s">
        <v>100</v>
      </c>
      <c r="H166">
        <v>1300</v>
      </c>
      <c r="I166" s="49">
        <v>295157.91000000003</v>
      </c>
      <c r="K166" s="115">
        <v>306390.78999999998</v>
      </c>
      <c r="L166" s="49">
        <v>227.04454615384617</v>
      </c>
      <c r="M166" s="49">
        <v>510.65131666666662</v>
      </c>
      <c r="N166" s="49">
        <v>11232.879999999946</v>
      </c>
      <c r="O166" s="47">
        <v>1.2491239068153943</v>
      </c>
      <c r="P166" s="72">
        <f t="shared" si="2"/>
        <v>69063.258489158805</v>
      </c>
      <c r="Q166" s="49" t="str">
        <f>TEXT(Table1[[#This Row],[Closing Date]],"yyyy")</f>
        <v>2023</v>
      </c>
      <c r="R166" s="49" t="str">
        <f>TEXT(Table1[[#This Row],[Closing Date]],"mmmm")</f>
        <v>June</v>
      </c>
      <c r="S166" s="49" t="s">
        <v>368</v>
      </c>
      <c r="T166" s="49" t="s">
        <v>429</v>
      </c>
    </row>
    <row r="167" spans="1:20" x14ac:dyDescent="0.25">
      <c r="A167" t="s">
        <v>283</v>
      </c>
      <c r="B167" t="s">
        <v>431</v>
      </c>
      <c r="C167" t="s">
        <v>56</v>
      </c>
      <c r="D167" t="s">
        <v>38</v>
      </c>
      <c r="E167" s="49"/>
      <c r="F167" s="60">
        <v>45097</v>
      </c>
      <c r="G167" t="s">
        <v>267</v>
      </c>
      <c r="H167">
        <v>4761</v>
      </c>
      <c r="I167" s="49">
        <v>159415.42000000001</v>
      </c>
      <c r="K167" s="115">
        <v>149119.85999999999</v>
      </c>
      <c r="L167" s="49">
        <v>33.483600084015968</v>
      </c>
      <c r="M167" s="49">
        <v>31.321121613106488</v>
      </c>
      <c r="N167" s="49">
        <v>-10295.560000000027</v>
      </c>
      <c r="O167" s="47">
        <v>-6.4583212841016424E-2</v>
      </c>
      <c r="P167" s="72">
        <f t="shared" si="2"/>
        <v>58767.698489158778</v>
      </c>
      <c r="Q167" s="49" t="str">
        <f>TEXT(Table1[[#This Row],[Closing Date]],"yyyy")</f>
        <v>2023</v>
      </c>
      <c r="R167" s="49" t="str">
        <f>TEXT(Table1[[#This Row],[Closing Date]],"mmmm")</f>
        <v>June</v>
      </c>
      <c r="S167" s="49" t="s">
        <v>368</v>
      </c>
      <c r="T167" s="49" t="s">
        <v>285</v>
      </c>
    </row>
    <row r="168" spans="1:20" x14ac:dyDescent="0.25">
      <c r="A168" t="s">
        <v>276</v>
      </c>
      <c r="B168" t="s">
        <v>431</v>
      </c>
      <c r="C168" t="s">
        <v>152</v>
      </c>
      <c r="D168" t="s">
        <v>38</v>
      </c>
      <c r="E168" s="49"/>
      <c r="F168" s="60">
        <v>45097</v>
      </c>
      <c r="G168" t="s">
        <v>277</v>
      </c>
      <c r="H168">
        <v>50</v>
      </c>
      <c r="I168" s="49">
        <v>20032.5</v>
      </c>
      <c r="J168" s="106">
        <v>100</v>
      </c>
      <c r="K168" s="115">
        <v>38407.189999999995</v>
      </c>
      <c r="L168" s="49">
        <v>4.0065</v>
      </c>
      <c r="M168" s="49">
        <v>7.6814379999999991</v>
      </c>
      <c r="N168" s="49">
        <v>18374.689999999995</v>
      </c>
      <c r="O168" s="47">
        <v>0.9172439785348806</v>
      </c>
      <c r="P168" s="72">
        <f t="shared" si="2"/>
        <v>77142.388489158766</v>
      </c>
      <c r="Q168" s="49" t="str">
        <f>TEXT(Table1[[#This Row],[Closing Date]],"yyyy")</f>
        <v>2023</v>
      </c>
      <c r="R168" s="49" t="str">
        <f>TEXT(Table1[[#This Row],[Closing Date]],"mmmm")</f>
        <v>June</v>
      </c>
      <c r="S168" s="49" t="s">
        <v>368</v>
      </c>
      <c r="T168" s="49" t="s">
        <v>285</v>
      </c>
    </row>
    <row r="169" spans="1:20" x14ac:dyDescent="0.25">
      <c r="A169" t="s">
        <v>283</v>
      </c>
      <c r="B169" t="s">
        <v>433</v>
      </c>
      <c r="C169" t="s">
        <v>56</v>
      </c>
      <c r="D169" t="s">
        <v>38</v>
      </c>
      <c r="E169" s="49"/>
      <c r="F169" s="60">
        <v>45103</v>
      </c>
      <c r="G169" t="s">
        <v>103</v>
      </c>
      <c r="H169">
        <v>4500</v>
      </c>
      <c r="I169" s="49">
        <v>170975.48</v>
      </c>
      <c r="K169" s="115">
        <v>181325.5</v>
      </c>
      <c r="L169" s="49">
        <v>37.994551111111114</v>
      </c>
      <c r="M169" s="49">
        <v>40.294555555555554</v>
      </c>
      <c r="N169" s="49">
        <v>-10350.01999999999</v>
      </c>
      <c r="O169" s="47">
        <v>-6.0535112988131273E-2</v>
      </c>
      <c r="P169" s="72">
        <f t="shared" si="2"/>
        <v>66792.368489158776</v>
      </c>
      <c r="Q169" s="49" t="str">
        <f>TEXT(Table1[[#This Row],[Closing Date]],"yyyy")</f>
        <v>2023</v>
      </c>
      <c r="R169" s="49" t="str">
        <f>TEXT(Table1[[#This Row],[Closing Date]],"mmmm")</f>
        <v>June</v>
      </c>
      <c r="S169" s="49" t="s">
        <v>368</v>
      </c>
      <c r="T169" s="49" t="s">
        <v>429</v>
      </c>
    </row>
    <row r="170" spans="1:20" x14ac:dyDescent="0.25">
      <c r="A170" t="s">
        <v>283</v>
      </c>
      <c r="B170" t="s">
        <v>431</v>
      </c>
      <c r="C170" t="s">
        <v>56</v>
      </c>
      <c r="D170" t="s">
        <v>38</v>
      </c>
      <c r="E170" s="49"/>
      <c r="F170" s="60">
        <v>45104</v>
      </c>
      <c r="G170" t="s">
        <v>268</v>
      </c>
      <c r="H170">
        <v>5600</v>
      </c>
      <c r="I170" s="49">
        <v>305480</v>
      </c>
      <c r="K170" s="115">
        <v>308529.53000000003</v>
      </c>
      <c r="L170" s="49">
        <v>54.55</v>
      </c>
      <c r="M170" s="49">
        <v>85.702647222222225</v>
      </c>
      <c r="N170" s="49">
        <v>3049.5300000000279</v>
      </c>
      <c r="O170" s="47">
        <v>9.9827484614378285E-3</v>
      </c>
      <c r="P170" s="72">
        <f t="shared" si="2"/>
        <v>69841.898489158804</v>
      </c>
      <c r="Q170" s="49" t="str">
        <f>TEXT(Table1[[#This Row],[Closing Date]],"yyyy")</f>
        <v>2023</v>
      </c>
      <c r="R170" s="49" t="str">
        <f>TEXT(Table1[[#This Row],[Closing Date]],"mmmm")</f>
        <v>June</v>
      </c>
      <c r="S170" s="49" t="s">
        <v>368</v>
      </c>
      <c r="T170" s="49" t="s">
        <v>285</v>
      </c>
    </row>
    <row r="171" spans="1:20" x14ac:dyDescent="0.25">
      <c r="A171" t="s">
        <v>283</v>
      </c>
      <c r="B171" t="s">
        <v>433</v>
      </c>
      <c r="C171" t="s">
        <v>56</v>
      </c>
      <c r="D171" t="s">
        <v>36</v>
      </c>
      <c r="E171" s="49"/>
      <c r="F171" s="60">
        <v>45105</v>
      </c>
      <c r="G171" t="s">
        <v>104</v>
      </c>
      <c r="H171">
        <v>384</v>
      </c>
      <c r="I171" s="49">
        <v>145532.85999999999</v>
      </c>
      <c r="K171" s="115">
        <v>150287.51</v>
      </c>
      <c r="L171" s="49">
        <v>378.99182291666665</v>
      </c>
      <c r="M171" s="49">
        <v>391.37372395833336</v>
      </c>
      <c r="N171" s="49">
        <v>-4754.6500000000233</v>
      </c>
      <c r="O171" s="47">
        <v>-3.2670628475246183E-2</v>
      </c>
      <c r="P171" s="72">
        <f t="shared" si="2"/>
        <v>65087.248489158781</v>
      </c>
      <c r="Q171" s="49" t="str">
        <f>TEXT(Table1[[#This Row],[Closing Date]],"yyyy")</f>
        <v>2023</v>
      </c>
      <c r="R171" s="49" t="str">
        <f>TEXT(Table1[[#This Row],[Closing Date]],"mmmm")</f>
        <v>June</v>
      </c>
      <c r="S171" s="49" t="s">
        <v>368</v>
      </c>
      <c r="T171" s="49" t="s">
        <v>429</v>
      </c>
    </row>
    <row r="172" spans="1:20" x14ac:dyDescent="0.25">
      <c r="A172" t="s">
        <v>283</v>
      </c>
      <c r="B172" t="s">
        <v>433</v>
      </c>
      <c r="C172" t="s">
        <v>56</v>
      </c>
      <c r="D172" t="s">
        <v>36</v>
      </c>
      <c r="E172" s="49"/>
      <c r="F172" s="60">
        <v>45106</v>
      </c>
      <c r="G172" t="s">
        <v>105</v>
      </c>
      <c r="H172">
        <v>11350</v>
      </c>
      <c r="I172" s="49">
        <v>365862.68</v>
      </c>
      <c r="K172" s="115">
        <v>373666.99</v>
      </c>
      <c r="L172" s="49">
        <v>32.234597356828196</v>
      </c>
      <c r="M172" s="49">
        <v>32.92220176211454</v>
      </c>
      <c r="N172" s="49">
        <v>-7804.3099999999977</v>
      </c>
      <c r="O172" s="47">
        <v>-2.133125466636826E-2</v>
      </c>
      <c r="P172" s="72">
        <f t="shared" si="2"/>
        <v>57282.938489158783</v>
      </c>
      <c r="Q172" s="49" t="str">
        <f>TEXT(Table1[[#This Row],[Closing Date]],"yyyy")</f>
        <v>2023</v>
      </c>
      <c r="R172" s="49" t="str">
        <f>TEXT(Table1[[#This Row],[Closing Date]],"mmmm")</f>
        <v>June</v>
      </c>
      <c r="S172" s="49" t="s">
        <v>368</v>
      </c>
      <c r="T172" s="49" t="s">
        <v>429</v>
      </c>
    </row>
    <row r="173" spans="1:20" x14ac:dyDescent="0.25">
      <c r="A173" t="s">
        <v>283</v>
      </c>
      <c r="B173" t="s">
        <v>431</v>
      </c>
      <c r="C173" t="s">
        <v>35</v>
      </c>
      <c r="D173" t="s">
        <v>38</v>
      </c>
      <c r="E173" s="49"/>
      <c r="F173" s="60">
        <v>45107</v>
      </c>
      <c r="G173" t="s">
        <v>106</v>
      </c>
      <c r="H173">
        <v>1000000</v>
      </c>
      <c r="I173" s="49">
        <v>681553.63</v>
      </c>
      <c r="K173" s="115">
        <v>676070</v>
      </c>
      <c r="L173" s="49">
        <v>0.68155363000000002</v>
      </c>
      <c r="M173" s="49">
        <v>0.67606999999999995</v>
      </c>
      <c r="N173" s="49">
        <v>-6129</v>
      </c>
      <c r="O173" s="47">
        <v>-9.0656292987412544E-3</v>
      </c>
      <c r="P173" s="72">
        <f t="shared" si="2"/>
        <v>51153.938489158783</v>
      </c>
      <c r="Q173" s="49" t="str">
        <f>TEXT(Table1[[#This Row],[Closing Date]],"yyyy")</f>
        <v>2023</v>
      </c>
      <c r="R173" s="49" t="str">
        <f>TEXT(Table1[[#This Row],[Closing Date]],"mmmm")</f>
        <v>June</v>
      </c>
      <c r="S173" s="49" t="s">
        <v>368</v>
      </c>
      <c r="T173" s="49" t="s">
        <v>429</v>
      </c>
    </row>
    <row r="174" spans="1:20" x14ac:dyDescent="0.25">
      <c r="A174" t="s">
        <v>283</v>
      </c>
      <c r="B174" t="s">
        <v>431</v>
      </c>
      <c r="C174" t="s">
        <v>35</v>
      </c>
      <c r="D174" t="s">
        <v>38</v>
      </c>
      <c r="E174" s="49"/>
      <c r="F174" s="60">
        <v>45107</v>
      </c>
      <c r="G174" t="s">
        <v>175</v>
      </c>
      <c r="H174">
        <v>700000</v>
      </c>
      <c r="I174" s="49">
        <v>76080320.640000001</v>
      </c>
      <c r="K174" s="115">
        <v>76262900</v>
      </c>
      <c r="L174" s="49">
        <v>108.68617234285715</v>
      </c>
      <c r="M174" s="49">
        <v>108.947</v>
      </c>
      <c r="N174" s="49">
        <v>1675.8548652096836</v>
      </c>
      <c r="O174" s="47">
        <v>2.1974706773669551E-5</v>
      </c>
      <c r="P174" s="72">
        <f t="shared" si="2"/>
        <v>52829.79335436847</v>
      </c>
      <c r="Q174" s="49" t="str">
        <f>TEXT(Table1[[#This Row],[Closing Date]],"yyyy")</f>
        <v>2023</v>
      </c>
      <c r="R174" s="49" t="str">
        <f>TEXT(Table1[[#This Row],[Closing Date]],"mmmm")</f>
        <v>June</v>
      </c>
      <c r="S174" s="49" t="s">
        <v>368</v>
      </c>
      <c r="T174" s="49" t="s">
        <v>429</v>
      </c>
    </row>
    <row r="175" spans="1:20" x14ac:dyDescent="0.25">
      <c r="A175" t="s">
        <v>283</v>
      </c>
      <c r="B175" t="s">
        <v>431</v>
      </c>
      <c r="C175" t="s">
        <v>35</v>
      </c>
      <c r="D175" t="s">
        <v>38</v>
      </c>
      <c r="E175" s="49"/>
      <c r="F175" s="60">
        <v>45107</v>
      </c>
      <c r="G175" t="s">
        <v>127</v>
      </c>
      <c r="H175">
        <v>230000</v>
      </c>
      <c r="I175" s="49">
        <v>36524040.020000003</v>
      </c>
      <c r="K175" s="115">
        <v>37535242.109999999</v>
      </c>
      <c r="L175" s="49">
        <v>158.80017400000003</v>
      </c>
      <c r="M175" s="49">
        <v>163.19670482608694</v>
      </c>
      <c r="N175" s="49">
        <v>7163.2558909275331</v>
      </c>
      <c r="O175" s="47">
        <v>1.9084080688583398E-4</v>
      </c>
      <c r="P175" s="72">
        <f t="shared" si="2"/>
        <v>59993.049245296002</v>
      </c>
      <c r="Q175" s="49" t="str">
        <f>TEXT(Table1[[#This Row],[Closing Date]],"yyyy")</f>
        <v>2023</v>
      </c>
      <c r="R175" s="49" t="str">
        <f>TEXT(Table1[[#This Row],[Closing Date]],"mmmm")</f>
        <v>June</v>
      </c>
      <c r="S175" s="49" t="s">
        <v>368</v>
      </c>
      <c r="T175" s="49" t="s">
        <v>429</v>
      </c>
    </row>
    <row r="176" spans="1:20" x14ac:dyDescent="0.25">
      <c r="A176" t="s">
        <v>283</v>
      </c>
      <c r="B176" t="s">
        <v>433</v>
      </c>
      <c r="C176" t="s">
        <v>56</v>
      </c>
      <c r="D176" t="s">
        <v>38</v>
      </c>
      <c r="E176" s="49"/>
      <c r="F176" s="60">
        <v>45107</v>
      </c>
      <c r="G176" t="s">
        <v>107</v>
      </c>
      <c r="H176">
        <v>17440</v>
      </c>
      <c r="I176" s="49">
        <v>201358.3</v>
      </c>
      <c r="K176" s="115">
        <v>213235.27</v>
      </c>
      <c r="L176" s="49">
        <v>11.545774082568807</v>
      </c>
      <c r="M176" s="49">
        <v>12.226793004587156</v>
      </c>
      <c r="N176" s="49">
        <v>-11876.970000000001</v>
      </c>
      <c r="O176" s="47">
        <v>-5.8984258409015257E-2</v>
      </c>
      <c r="P176" s="72">
        <f t="shared" si="2"/>
        <v>48116.079245296001</v>
      </c>
      <c r="Q176" s="49" t="str">
        <f>TEXT(Table1[[#This Row],[Closing Date]],"yyyy")</f>
        <v>2023</v>
      </c>
      <c r="R176" s="49" t="str">
        <f>TEXT(Table1[[#This Row],[Closing Date]],"mmmm")</f>
        <v>June</v>
      </c>
      <c r="S176" s="49" t="s">
        <v>368</v>
      </c>
      <c r="T176" s="49" t="s">
        <v>429</v>
      </c>
    </row>
    <row r="177" spans="1:20" x14ac:dyDescent="0.25">
      <c r="A177" t="s">
        <v>283</v>
      </c>
      <c r="B177" t="s">
        <v>433</v>
      </c>
      <c r="C177" t="s">
        <v>56</v>
      </c>
      <c r="D177" t="s">
        <v>36</v>
      </c>
      <c r="E177" s="49"/>
      <c r="F177" s="60">
        <v>45107</v>
      </c>
      <c r="G177" t="s">
        <v>108</v>
      </c>
      <c r="H177">
        <v>11500</v>
      </c>
      <c r="I177" s="49">
        <v>163584.51999999999</v>
      </c>
      <c r="K177" s="115">
        <v>158627.04999999999</v>
      </c>
      <c r="L177" s="49">
        <v>14.224740869565217</v>
      </c>
      <c r="M177" s="49">
        <v>13.793656521739129</v>
      </c>
      <c r="N177" s="49">
        <v>4957.4700000000012</v>
      </c>
      <c r="O177" s="47">
        <v>3.0305251377086378E-2</v>
      </c>
      <c r="P177" s="72">
        <f t="shared" si="2"/>
        <v>53073.549245296002</v>
      </c>
      <c r="Q177" s="49" t="str">
        <f>TEXT(Table1[[#This Row],[Closing Date]],"yyyy")</f>
        <v>2023</v>
      </c>
      <c r="R177" s="49" t="str">
        <f>TEXT(Table1[[#This Row],[Closing Date]],"mmmm")</f>
        <v>June</v>
      </c>
      <c r="S177" s="49" t="s">
        <v>368</v>
      </c>
      <c r="T177" s="49" t="s">
        <v>429</v>
      </c>
    </row>
    <row r="178" spans="1:20" x14ac:dyDescent="0.25">
      <c r="A178" t="s">
        <v>283</v>
      </c>
      <c r="B178" t="s">
        <v>433</v>
      </c>
      <c r="C178" t="s">
        <v>56</v>
      </c>
      <c r="D178" t="s">
        <v>36</v>
      </c>
      <c r="E178" s="49"/>
      <c r="F178" s="60">
        <v>45112</v>
      </c>
      <c r="G178" t="s">
        <v>109</v>
      </c>
      <c r="H178">
        <v>7000</v>
      </c>
      <c r="I178" s="49">
        <v>252731.96</v>
      </c>
      <c r="K178" s="115">
        <v>267771.21000000002</v>
      </c>
      <c r="L178" s="49">
        <v>36.104565714285712</v>
      </c>
      <c r="M178" s="49">
        <v>38.253030000000003</v>
      </c>
      <c r="N178" s="49">
        <v>-15039.250000000029</v>
      </c>
      <c r="O178" s="47">
        <v>-5.9506720083997419E-2</v>
      </c>
      <c r="P178" s="72">
        <f t="shared" si="2"/>
        <v>38034.299245295973</v>
      </c>
      <c r="Q178" s="49" t="str">
        <f>TEXT(Table1[[#This Row],[Closing Date]],"yyyy")</f>
        <v>2023</v>
      </c>
      <c r="R178" s="49" t="str">
        <f>TEXT(Table1[[#This Row],[Closing Date]],"mmmm")</f>
        <v>July</v>
      </c>
      <c r="S178" s="49" t="s">
        <v>368</v>
      </c>
      <c r="T178" s="49" t="s">
        <v>429</v>
      </c>
    </row>
    <row r="179" spans="1:20" x14ac:dyDescent="0.25">
      <c r="A179" t="s">
        <v>283</v>
      </c>
      <c r="B179" t="s">
        <v>433</v>
      </c>
      <c r="C179" t="s">
        <v>56</v>
      </c>
      <c r="D179" t="s">
        <v>38</v>
      </c>
      <c r="E179" s="49"/>
      <c r="F179" s="60">
        <v>45114</v>
      </c>
      <c r="G179" t="s">
        <v>110</v>
      </c>
      <c r="H179">
        <v>3000</v>
      </c>
      <c r="I179" s="49">
        <v>484982.5</v>
      </c>
      <c r="K179" s="115">
        <v>467099.66</v>
      </c>
      <c r="L179" s="49">
        <v>161.66083333333333</v>
      </c>
      <c r="M179" s="49">
        <v>155.69988666666666</v>
      </c>
      <c r="N179" s="49">
        <v>-17882.840000000026</v>
      </c>
      <c r="O179" s="47">
        <v>-3.6873165526591201E-2</v>
      </c>
      <c r="P179" s="72">
        <f t="shared" si="2"/>
        <v>20151.459245295948</v>
      </c>
      <c r="Q179" s="49" t="str">
        <f>TEXT(Table1[[#This Row],[Closing Date]],"yyyy")</f>
        <v>2023</v>
      </c>
      <c r="R179" s="49" t="str">
        <f>TEXT(Table1[[#This Row],[Closing Date]],"mmmm")</f>
        <v>July</v>
      </c>
      <c r="S179" s="49" t="s">
        <v>368</v>
      </c>
      <c r="T179" s="49" t="s">
        <v>429</v>
      </c>
    </row>
    <row r="180" spans="1:20" x14ac:dyDescent="0.25">
      <c r="A180" t="s">
        <v>283</v>
      </c>
      <c r="B180" t="s">
        <v>433</v>
      </c>
      <c r="C180" t="s">
        <v>56</v>
      </c>
      <c r="D180" t="s">
        <v>36</v>
      </c>
      <c r="E180" s="49"/>
      <c r="F180" s="60">
        <v>45114</v>
      </c>
      <c r="G180" t="s">
        <v>113</v>
      </c>
      <c r="H180">
        <v>14285</v>
      </c>
      <c r="I180" s="49">
        <v>150632.04999999999</v>
      </c>
      <c r="K180" s="115">
        <v>161215.85</v>
      </c>
      <c r="L180" s="49">
        <v>10.544770738536926</v>
      </c>
      <c r="M180" s="49">
        <v>11.285673783689186</v>
      </c>
      <c r="N180" s="49">
        <v>-10583.800000000017</v>
      </c>
      <c r="O180" s="47">
        <v>-7.0262603476484817E-2</v>
      </c>
      <c r="P180" s="72">
        <f t="shared" si="2"/>
        <v>9567.6592452959303</v>
      </c>
      <c r="Q180" s="49" t="str">
        <f>TEXT(Table1[[#This Row],[Closing Date]],"yyyy")</f>
        <v>2023</v>
      </c>
      <c r="R180" s="49" t="str">
        <f>TEXT(Table1[[#This Row],[Closing Date]],"mmmm")</f>
        <v>July</v>
      </c>
      <c r="S180" s="49" t="s">
        <v>368</v>
      </c>
      <c r="T180" s="49" t="s">
        <v>429</v>
      </c>
    </row>
    <row r="181" spans="1:20" x14ac:dyDescent="0.25">
      <c r="A181" t="s">
        <v>283</v>
      </c>
      <c r="B181" t="s">
        <v>431</v>
      </c>
      <c r="C181" t="s">
        <v>51</v>
      </c>
      <c r="D181" t="s">
        <v>38</v>
      </c>
      <c r="E181" s="49"/>
      <c r="F181" s="60">
        <v>45117</v>
      </c>
      <c r="G181" t="s">
        <v>88</v>
      </c>
      <c r="H181">
        <v>4</v>
      </c>
      <c r="I181" s="49">
        <v>658962.07999999996</v>
      </c>
      <c r="K181" s="115">
        <v>644987.92000000004</v>
      </c>
      <c r="L181" s="49">
        <v>32948.103999999999</v>
      </c>
      <c r="M181" s="49">
        <v>32249.396000000001</v>
      </c>
      <c r="N181" s="49">
        <v>-14018.159999999916</v>
      </c>
      <c r="O181" s="47">
        <v>-2.1273090554770491E-2</v>
      </c>
      <c r="P181" s="72">
        <f t="shared" si="2"/>
        <v>-4450.5007547039859</v>
      </c>
      <c r="Q181" s="49" t="str">
        <f>TEXT(Table1[[#This Row],[Closing Date]],"yyyy")</f>
        <v>2023</v>
      </c>
      <c r="R181" s="49" t="str">
        <f>TEXT(Table1[[#This Row],[Closing Date]],"mmmm")</f>
        <v>July</v>
      </c>
      <c r="S181" s="49" t="s">
        <v>368</v>
      </c>
      <c r="T181" s="49" t="s">
        <v>429</v>
      </c>
    </row>
    <row r="182" spans="1:20" x14ac:dyDescent="0.25">
      <c r="A182" t="s">
        <v>283</v>
      </c>
      <c r="B182" t="s">
        <v>433</v>
      </c>
      <c r="C182" t="s">
        <v>56</v>
      </c>
      <c r="D182" t="s">
        <v>38</v>
      </c>
      <c r="E182" s="49"/>
      <c r="F182" s="60">
        <v>45117</v>
      </c>
      <c r="G182" t="s">
        <v>111</v>
      </c>
      <c r="H182">
        <v>5800</v>
      </c>
      <c r="I182" s="49">
        <v>313054</v>
      </c>
      <c r="K182" s="115">
        <v>330437.52</v>
      </c>
      <c r="L182" s="49">
        <v>53.974827586206899</v>
      </c>
      <c r="M182" s="49">
        <v>56.971986206896553</v>
      </c>
      <c r="N182" s="49">
        <v>17383.520000000019</v>
      </c>
      <c r="O182" s="47">
        <v>5.5528822503465816E-2</v>
      </c>
      <c r="P182" s="72">
        <f t="shared" si="2"/>
        <v>12933.019245296033</v>
      </c>
      <c r="Q182" s="49" t="str">
        <f>TEXT(Table1[[#This Row],[Closing Date]],"yyyy")</f>
        <v>2023</v>
      </c>
      <c r="R182" s="49" t="str">
        <f>TEXT(Table1[[#This Row],[Closing Date]],"mmmm")</f>
        <v>July</v>
      </c>
      <c r="S182" s="49" t="s">
        <v>368</v>
      </c>
      <c r="T182" s="49" t="s">
        <v>429</v>
      </c>
    </row>
    <row r="183" spans="1:20" x14ac:dyDescent="0.25">
      <c r="A183" t="s">
        <v>283</v>
      </c>
      <c r="B183" t="s">
        <v>431</v>
      </c>
      <c r="C183" t="s">
        <v>35</v>
      </c>
      <c r="D183" t="s">
        <v>38</v>
      </c>
      <c r="E183" s="49"/>
      <c r="F183" s="60">
        <v>45118</v>
      </c>
      <c r="G183" t="s">
        <v>92</v>
      </c>
      <c r="H183">
        <v>325000</v>
      </c>
      <c r="I183" s="49">
        <v>3841547.93</v>
      </c>
      <c r="K183" s="115">
        <v>3745369.26</v>
      </c>
      <c r="L183" s="49">
        <v>11.820147476923077</v>
      </c>
      <c r="M183" s="49">
        <v>11.524213107692306</v>
      </c>
      <c r="N183" s="49">
        <v>-8947.4838287613329</v>
      </c>
      <c r="O183" s="47">
        <v>-2.3889457107258184E-3</v>
      </c>
      <c r="P183" s="72">
        <f t="shared" si="2"/>
        <v>3985.5354165346998</v>
      </c>
      <c r="Q183" s="49" t="str">
        <f>TEXT(Table1[[#This Row],[Closing Date]],"yyyy")</f>
        <v>2023</v>
      </c>
      <c r="R183" s="49" t="str">
        <f>TEXT(Table1[[#This Row],[Closing Date]],"mmmm")</f>
        <v>July</v>
      </c>
      <c r="S183" s="49" t="s">
        <v>368</v>
      </c>
      <c r="T183" s="49" t="s">
        <v>429</v>
      </c>
    </row>
    <row r="184" spans="1:20" x14ac:dyDescent="0.25">
      <c r="A184" t="s">
        <v>283</v>
      </c>
      <c r="B184" t="s">
        <v>431</v>
      </c>
      <c r="C184" t="s">
        <v>51</v>
      </c>
      <c r="D184" t="s">
        <v>38</v>
      </c>
      <c r="E184" s="49"/>
      <c r="F184" s="60">
        <v>45118</v>
      </c>
      <c r="G184" t="s">
        <v>52</v>
      </c>
      <c r="H184">
        <v>3</v>
      </c>
      <c r="I184" s="49">
        <v>219607.11</v>
      </c>
      <c r="K184" s="115">
        <v>224992.89</v>
      </c>
      <c r="L184" s="49">
        <v>73.202370000000002</v>
      </c>
      <c r="M184" s="49">
        <v>74.997630000000001</v>
      </c>
      <c r="N184" s="49">
        <v>5341.7800000000279</v>
      </c>
      <c r="O184" s="47">
        <v>2.4324257989643543E-2</v>
      </c>
      <c r="P184" s="72">
        <f t="shared" si="2"/>
        <v>9327.3154165347278</v>
      </c>
      <c r="Q184" s="49" t="str">
        <f>TEXT(Table1[[#This Row],[Closing Date]],"yyyy")</f>
        <v>2023</v>
      </c>
      <c r="R184" s="49" t="str">
        <f>TEXT(Table1[[#This Row],[Closing Date]],"mmmm")</f>
        <v>July</v>
      </c>
      <c r="S184" s="49" t="s">
        <v>368</v>
      </c>
      <c r="T184" s="49" t="s">
        <v>429</v>
      </c>
    </row>
    <row r="185" spans="1:20" x14ac:dyDescent="0.25">
      <c r="A185" t="s">
        <v>283</v>
      </c>
      <c r="B185" t="s">
        <v>430</v>
      </c>
      <c r="C185" t="s">
        <v>56</v>
      </c>
      <c r="D185" t="s">
        <v>38</v>
      </c>
      <c r="E185" s="49"/>
      <c r="F185" s="60">
        <v>45118</v>
      </c>
      <c r="G185" t="s">
        <v>112</v>
      </c>
      <c r="H185">
        <v>4500</v>
      </c>
      <c r="I185" s="49">
        <v>90022.5</v>
      </c>
      <c r="K185" s="115">
        <v>98976.06</v>
      </c>
      <c r="L185" s="49">
        <v>20.004999999999999</v>
      </c>
      <c r="M185" s="49">
        <v>21.994679999999999</v>
      </c>
      <c r="N185" s="49">
        <v>8953.5599999999977</v>
      </c>
      <c r="O185" s="47">
        <v>9.9459135216195954E-2</v>
      </c>
      <c r="P185" s="72">
        <f t="shared" si="2"/>
        <v>18280.875416534727</v>
      </c>
      <c r="Q185" s="49" t="str">
        <f>TEXT(Table1[[#This Row],[Closing Date]],"yyyy")</f>
        <v>2023</v>
      </c>
      <c r="R185" s="49" t="str">
        <f>TEXT(Table1[[#This Row],[Closing Date]],"mmmm")</f>
        <v>July</v>
      </c>
      <c r="S185" s="49" t="s">
        <v>368</v>
      </c>
      <c r="T185" s="49" t="s">
        <v>429</v>
      </c>
    </row>
    <row r="186" spans="1:20" x14ac:dyDescent="0.25">
      <c r="A186" t="s">
        <v>283</v>
      </c>
      <c r="B186" t="s">
        <v>431</v>
      </c>
      <c r="C186" t="s">
        <v>35</v>
      </c>
      <c r="D186" t="s">
        <v>38</v>
      </c>
      <c r="E186" s="49"/>
      <c r="F186" s="60">
        <v>45119</v>
      </c>
      <c r="G186" t="s">
        <v>116</v>
      </c>
      <c r="H186">
        <v>1950000</v>
      </c>
      <c r="I186" s="49">
        <v>14122699.51</v>
      </c>
      <c r="K186" s="115">
        <v>13993281.559999999</v>
      </c>
      <c r="L186" s="49">
        <v>7.242410005128205</v>
      </c>
      <c r="M186" s="49">
        <v>7.1760418256410246</v>
      </c>
      <c r="N186" s="49">
        <v>-18034.726266166992</v>
      </c>
      <c r="O186" s="47">
        <v>-9.2485775723933281E-3</v>
      </c>
      <c r="P186" s="72">
        <f t="shared" si="2"/>
        <v>246.14915036773527</v>
      </c>
      <c r="Q186" s="49" t="str">
        <f>TEXT(Table1[[#This Row],[Closing Date]],"yyyy")</f>
        <v>2023</v>
      </c>
      <c r="R186" s="49" t="str">
        <f>TEXT(Table1[[#This Row],[Closing Date]],"mmmm")</f>
        <v>July</v>
      </c>
      <c r="S186" s="49" t="s">
        <v>368</v>
      </c>
      <c r="T186" s="49" t="s">
        <v>429</v>
      </c>
    </row>
    <row r="187" spans="1:20" x14ac:dyDescent="0.25">
      <c r="A187" t="s">
        <v>283</v>
      </c>
      <c r="B187" t="s">
        <v>431</v>
      </c>
      <c r="C187" t="s">
        <v>35</v>
      </c>
      <c r="D187" t="s">
        <v>38</v>
      </c>
      <c r="E187" s="49"/>
      <c r="F187" s="60">
        <v>45119</v>
      </c>
      <c r="G187" t="s">
        <v>115</v>
      </c>
      <c r="H187">
        <v>875000</v>
      </c>
      <c r="I187" s="49">
        <v>10280454.58</v>
      </c>
      <c r="K187" s="115">
        <v>10107352.51</v>
      </c>
      <c r="L187" s="49">
        <v>11.749090948571428</v>
      </c>
      <c r="M187" s="49">
        <v>11.551260011428571</v>
      </c>
      <c r="N187" s="49">
        <v>-16632.139184110645</v>
      </c>
      <c r="O187" s="47">
        <v>-1.645548541782347E-3</v>
      </c>
      <c r="P187" s="72">
        <f t="shared" si="2"/>
        <v>-16385.99003374291</v>
      </c>
      <c r="Q187" s="49" t="str">
        <f>TEXT(Table1[[#This Row],[Closing Date]],"yyyy")</f>
        <v>2023</v>
      </c>
      <c r="R187" s="49" t="str">
        <f>TEXT(Table1[[#This Row],[Closing Date]],"mmmm")</f>
        <v>July</v>
      </c>
      <c r="S187" s="49" t="s">
        <v>368</v>
      </c>
      <c r="T187" s="49" t="s">
        <v>429</v>
      </c>
    </row>
    <row r="188" spans="1:20" x14ac:dyDescent="0.25">
      <c r="A188" t="s">
        <v>283</v>
      </c>
      <c r="B188" t="s">
        <v>431</v>
      </c>
      <c r="C188" t="s">
        <v>35</v>
      </c>
      <c r="D188" t="s">
        <v>38</v>
      </c>
      <c r="E188" s="49"/>
      <c r="F188" s="60">
        <v>45119</v>
      </c>
      <c r="G188" t="s">
        <v>93</v>
      </c>
      <c r="H188">
        <v>350000</v>
      </c>
      <c r="I188" s="49">
        <v>3750573.0700000003</v>
      </c>
      <c r="K188" s="115">
        <v>3581268.7</v>
      </c>
      <c r="L188" s="49">
        <v>10.715923057142858</v>
      </c>
      <c r="M188" s="49">
        <v>10.232196285714286</v>
      </c>
      <c r="N188" s="49">
        <v>-16546.239465360428</v>
      </c>
      <c r="O188" s="47">
        <v>-4.7274969901029799E-2</v>
      </c>
      <c r="P188" s="72">
        <f t="shared" si="2"/>
        <v>-32932.229499103341</v>
      </c>
      <c r="Q188" s="49" t="str">
        <f>TEXT(Table1[[#This Row],[Closing Date]],"yyyy")</f>
        <v>2023</v>
      </c>
      <c r="R188" s="49" t="str">
        <f>TEXT(Table1[[#This Row],[Closing Date]],"mmmm")</f>
        <v>July</v>
      </c>
      <c r="S188" s="49" t="s">
        <v>368</v>
      </c>
      <c r="T188" s="49" t="s">
        <v>429</v>
      </c>
    </row>
    <row r="189" spans="1:20" x14ac:dyDescent="0.25">
      <c r="A189" t="s">
        <v>283</v>
      </c>
      <c r="B189" t="s">
        <v>431</v>
      </c>
      <c r="C189" t="s">
        <v>35</v>
      </c>
      <c r="D189" t="s">
        <v>38</v>
      </c>
      <c r="E189" s="49"/>
      <c r="F189" s="60">
        <v>45119</v>
      </c>
      <c r="G189" t="s">
        <v>118</v>
      </c>
      <c r="H189">
        <v>2600000</v>
      </c>
      <c r="I189" s="49">
        <v>366257164.62</v>
      </c>
      <c r="K189" s="115">
        <v>364397922.27000004</v>
      </c>
      <c r="L189" s="49">
        <v>140.86814023846154</v>
      </c>
      <c r="M189" s="49">
        <v>303.66493522500002</v>
      </c>
      <c r="N189" s="49">
        <v>-6122.6771165474265</v>
      </c>
      <c r="O189" s="47">
        <v>-1.6802173509680002E-5</v>
      </c>
      <c r="P189" s="72">
        <f t="shared" si="2"/>
        <v>-39054.906615650769</v>
      </c>
      <c r="Q189" s="49" t="str">
        <f>TEXT(Table1[[#This Row],[Closing Date]],"yyyy")</f>
        <v>2023</v>
      </c>
      <c r="R189" s="49" t="str">
        <f>TEXT(Table1[[#This Row],[Closing Date]],"mmmm")</f>
        <v>July</v>
      </c>
      <c r="S189" s="49" t="s">
        <v>368</v>
      </c>
      <c r="T189" s="49" t="s">
        <v>429</v>
      </c>
    </row>
    <row r="190" spans="1:20" x14ac:dyDescent="0.25">
      <c r="A190" t="s">
        <v>283</v>
      </c>
      <c r="B190" t="s">
        <v>431</v>
      </c>
      <c r="C190" t="s">
        <v>56</v>
      </c>
      <c r="D190" t="s">
        <v>36</v>
      </c>
      <c r="E190" s="49"/>
      <c r="F190" s="60">
        <v>45119</v>
      </c>
      <c r="G190" t="s">
        <v>124</v>
      </c>
      <c r="H190">
        <v>8000</v>
      </c>
      <c r="I190" s="49">
        <v>231956.98</v>
      </c>
      <c r="K190" s="115">
        <v>232039</v>
      </c>
      <c r="L190" s="49">
        <v>28.994622500000002</v>
      </c>
      <c r="M190" s="49">
        <v>29.004874999999998</v>
      </c>
      <c r="N190" s="49">
        <v>-82.019999999989523</v>
      </c>
      <c r="O190" s="47">
        <v>-3.5360005118178188E-4</v>
      </c>
      <c r="P190" s="72">
        <f t="shared" si="2"/>
        <v>-39136.926615650758</v>
      </c>
      <c r="Q190" s="49" t="str">
        <f>TEXT(Table1[[#This Row],[Closing Date]],"yyyy")</f>
        <v>2023</v>
      </c>
      <c r="R190" s="49" t="str">
        <f>TEXT(Table1[[#This Row],[Closing Date]],"mmmm")</f>
        <v>July</v>
      </c>
      <c r="S190" s="49" t="s">
        <v>368</v>
      </c>
      <c r="T190" s="49" t="s">
        <v>429</v>
      </c>
    </row>
    <row r="191" spans="1:20" x14ac:dyDescent="0.25">
      <c r="A191" t="s">
        <v>276</v>
      </c>
      <c r="B191" t="s">
        <v>433</v>
      </c>
      <c r="C191" t="s">
        <v>152</v>
      </c>
      <c r="D191" t="s">
        <v>38</v>
      </c>
      <c r="E191" s="49"/>
      <c r="F191" s="60">
        <v>45119</v>
      </c>
      <c r="G191" t="s">
        <v>191</v>
      </c>
      <c r="H191">
        <v>90</v>
      </c>
      <c r="I191" s="49">
        <v>8162.01</v>
      </c>
      <c r="J191" s="106">
        <v>100</v>
      </c>
      <c r="K191" s="115">
        <v>7439.64</v>
      </c>
      <c r="L191" s="49">
        <v>0.90689000000000008</v>
      </c>
      <c r="M191" s="49">
        <v>0.82662666666666662</v>
      </c>
      <c r="N191" s="49">
        <v>-722.36999999999989</v>
      </c>
      <c r="O191" s="47">
        <v>-8.850393469255749E-2</v>
      </c>
      <c r="P191" s="72">
        <f t="shared" si="2"/>
        <v>-39859.296615650761</v>
      </c>
      <c r="Q191" s="49" t="str">
        <f>TEXT(Table1[[#This Row],[Closing Date]],"yyyy")</f>
        <v>2023</v>
      </c>
      <c r="R191" s="49" t="str">
        <f>TEXT(Table1[[#This Row],[Closing Date]],"mmmm")</f>
        <v>July</v>
      </c>
      <c r="S191" s="49" t="s">
        <v>368</v>
      </c>
      <c r="T191" s="49" t="s">
        <v>429</v>
      </c>
    </row>
    <row r="192" spans="1:20" x14ac:dyDescent="0.25">
      <c r="A192" t="s">
        <v>283</v>
      </c>
      <c r="B192" t="s">
        <v>433</v>
      </c>
      <c r="C192" t="s">
        <v>56</v>
      </c>
      <c r="D192" t="s">
        <v>36</v>
      </c>
      <c r="E192" s="49"/>
      <c r="F192" s="60">
        <v>45119</v>
      </c>
      <c r="G192" t="s">
        <v>122</v>
      </c>
      <c r="H192">
        <v>5405</v>
      </c>
      <c r="I192" s="49">
        <v>157526.68</v>
      </c>
      <c r="K192" s="115">
        <v>168131.66</v>
      </c>
      <c r="L192" s="49">
        <v>29.144621646623495</v>
      </c>
      <c r="M192" s="49">
        <v>31.106690101757632</v>
      </c>
      <c r="N192" s="49">
        <v>-10604.98000000001</v>
      </c>
      <c r="O192" s="47">
        <v>-6.7321802249625334E-2</v>
      </c>
      <c r="P192" s="72">
        <f t="shared" si="2"/>
        <v>-50464.276615650771</v>
      </c>
      <c r="Q192" s="49" t="str">
        <f>TEXT(Table1[[#This Row],[Closing Date]],"yyyy")</f>
        <v>2023</v>
      </c>
      <c r="R192" s="49" t="str">
        <f>TEXT(Table1[[#This Row],[Closing Date]],"mmmm")</f>
        <v>July</v>
      </c>
      <c r="S192" s="49" t="s">
        <v>368</v>
      </c>
      <c r="T192" s="49" t="s">
        <v>429</v>
      </c>
    </row>
    <row r="193" spans="1:20" x14ac:dyDescent="0.25">
      <c r="A193" t="s">
        <v>283</v>
      </c>
      <c r="B193" t="s">
        <v>433</v>
      </c>
      <c r="C193" t="s">
        <v>56</v>
      </c>
      <c r="D193" t="s">
        <v>38</v>
      </c>
      <c r="E193" s="49"/>
      <c r="F193" s="60">
        <v>45119</v>
      </c>
      <c r="G193" t="s">
        <v>123</v>
      </c>
      <c r="H193">
        <v>7500</v>
      </c>
      <c r="I193" s="49">
        <v>381907.25</v>
      </c>
      <c r="K193" s="115">
        <v>382468.33</v>
      </c>
      <c r="L193" s="49">
        <v>50.920966666666665</v>
      </c>
      <c r="M193" s="49">
        <v>50.995777333333336</v>
      </c>
      <c r="N193" s="49">
        <v>561.0800000000163</v>
      </c>
      <c r="O193" s="47">
        <v>1.4691525232894533E-3</v>
      </c>
      <c r="P193" s="72">
        <f t="shared" si="2"/>
        <v>-49903.196615650755</v>
      </c>
      <c r="Q193" s="49" t="str">
        <f>TEXT(Table1[[#This Row],[Closing Date]],"yyyy")</f>
        <v>2023</v>
      </c>
      <c r="R193" s="49" t="str">
        <f>TEXT(Table1[[#This Row],[Closing Date]],"mmmm")</f>
        <v>July</v>
      </c>
      <c r="S193" s="49" t="s">
        <v>368</v>
      </c>
      <c r="T193" s="49" t="s">
        <v>429</v>
      </c>
    </row>
    <row r="194" spans="1:20" x14ac:dyDescent="0.25">
      <c r="A194" t="s">
        <v>283</v>
      </c>
      <c r="B194" t="s">
        <v>434</v>
      </c>
      <c r="C194" t="s">
        <v>35</v>
      </c>
      <c r="D194" t="s">
        <v>38</v>
      </c>
      <c r="E194" s="49"/>
      <c r="F194" s="60">
        <v>45119</v>
      </c>
      <c r="G194" t="s">
        <v>117</v>
      </c>
      <c r="H194">
        <v>1975000</v>
      </c>
      <c r="I194" s="49">
        <v>21069646.649999999</v>
      </c>
      <c r="K194" s="115">
        <v>20734949.171100002</v>
      </c>
      <c r="L194" s="49">
        <v>10.668175518987342</v>
      </c>
      <c r="M194" s="49">
        <v>10.498708441063291</v>
      </c>
      <c r="N194" s="49">
        <v>-31879.871774598891</v>
      </c>
      <c r="O194" s="47">
        <v>-1.6141707227645009E-2</v>
      </c>
      <c r="P194" s="72">
        <f t="shared" si="2"/>
        <v>-81783.068390249653</v>
      </c>
      <c r="Q194" s="49" t="str">
        <f>TEXT(Table1[[#This Row],[Closing Date]],"yyyy")</f>
        <v>2023</v>
      </c>
      <c r="R194" s="49" t="str">
        <f>TEXT(Table1[[#This Row],[Closing Date]],"mmmm")</f>
        <v>July</v>
      </c>
      <c r="S194" s="49" t="s">
        <v>368</v>
      </c>
      <c r="T194" s="49" t="s">
        <v>429</v>
      </c>
    </row>
    <row r="195" spans="1:20" x14ac:dyDescent="0.25">
      <c r="A195" t="s">
        <v>283</v>
      </c>
      <c r="B195" t="s">
        <v>434</v>
      </c>
      <c r="C195" t="s">
        <v>35</v>
      </c>
      <c r="D195" t="s">
        <v>36</v>
      </c>
      <c r="E195" s="49"/>
      <c r="F195" s="60">
        <v>45120</v>
      </c>
      <c r="G195" t="s">
        <v>184</v>
      </c>
      <c r="H195">
        <v>1500000</v>
      </c>
      <c r="I195" s="49">
        <v>944981.1</v>
      </c>
      <c r="K195" s="115">
        <v>960124.2</v>
      </c>
      <c r="L195" s="49">
        <v>0.62998739999999998</v>
      </c>
      <c r="M195" s="49">
        <v>0.64008279999999995</v>
      </c>
      <c r="N195" s="49">
        <v>-15143.099999999977</v>
      </c>
      <c r="O195" s="47">
        <v>-1.0095399999999985E-2</v>
      </c>
      <c r="P195" s="72">
        <f t="shared" ref="P195:P258" si="3">N195+P194</f>
        <v>-96926.16839024963</v>
      </c>
      <c r="Q195" s="49" t="str">
        <f>TEXT(Table1[[#This Row],[Closing Date]],"yyyy")</f>
        <v>2023</v>
      </c>
      <c r="R195" s="49" t="str">
        <f>TEXT(Table1[[#This Row],[Closing Date]],"mmmm")</f>
        <v>July</v>
      </c>
      <c r="S195" s="49" t="s">
        <v>368</v>
      </c>
      <c r="T195" s="49" t="s">
        <v>429</v>
      </c>
    </row>
    <row r="196" spans="1:20" x14ac:dyDescent="0.25">
      <c r="A196" t="s">
        <v>283</v>
      </c>
      <c r="B196" t="s">
        <v>434</v>
      </c>
      <c r="C196" t="s">
        <v>35</v>
      </c>
      <c r="D196" t="s">
        <v>38</v>
      </c>
      <c r="E196" s="49"/>
      <c r="F196" s="60">
        <v>45120</v>
      </c>
      <c r="G196" t="s">
        <v>176</v>
      </c>
      <c r="H196">
        <v>1250000</v>
      </c>
      <c r="I196" s="49">
        <v>1669968.27</v>
      </c>
      <c r="K196" s="115">
        <v>1653591.61</v>
      </c>
      <c r="L196" s="49">
        <v>1.3359746160000001</v>
      </c>
      <c r="M196" s="49">
        <v>1.322873288</v>
      </c>
      <c r="N196" s="49">
        <v>-13479.45012969333</v>
      </c>
      <c r="O196" s="47">
        <v>-1.0783560103754664E-2</v>
      </c>
      <c r="P196" s="72">
        <f t="shared" si="3"/>
        <v>-110405.61851994296</v>
      </c>
      <c r="Q196" s="49" t="str">
        <f>TEXT(Table1[[#This Row],[Closing Date]],"yyyy")</f>
        <v>2023</v>
      </c>
      <c r="R196" s="49" t="str">
        <f>TEXT(Table1[[#This Row],[Closing Date]],"mmmm")</f>
        <v>July</v>
      </c>
      <c r="S196" s="49" t="s">
        <v>368</v>
      </c>
      <c r="T196" s="49" t="s">
        <v>429</v>
      </c>
    </row>
    <row r="197" spans="1:20" x14ac:dyDescent="0.25">
      <c r="A197" t="s">
        <v>283</v>
      </c>
      <c r="B197" t="s">
        <v>434</v>
      </c>
      <c r="C197" t="s">
        <v>56</v>
      </c>
      <c r="D197" t="s">
        <v>38</v>
      </c>
      <c r="E197" s="49"/>
      <c r="F197" s="60">
        <v>45121</v>
      </c>
      <c r="G197" t="s">
        <v>119</v>
      </c>
      <c r="H197">
        <v>1200</v>
      </c>
      <c r="I197" s="49">
        <v>270221.39999999997</v>
      </c>
      <c r="K197" s="115">
        <v>341095.84</v>
      </c>
      <c r="L197" s="49">
        <v>225.18449999999996</v>
      </c>
      <c r="M197" s="49">
        <v>284.24653333333333</v>
      </c>
      <c r="N197" s="49">
        <v>70874.440000000061</v>
      </c>
      <c r="O197" s="47">
        <v>0.26228285398565793</v>
      </c>
      <c r="P197" s="72">
        <f t="shared" si="3"/>
        <v>-39531.1785199429</v>
      </c>
      <c r="Q197" s="49" t="str">
        <f>TEXT(Table1[[#This Row],[Closing Date]],"yyyy")</f>
        <v>2023</v>
      </c>
      <c r="R197" s="49" t="str">
        <f>TEXT(Table1[[#This Row],[Closing Date]],"mmmm")</f>
        <v>July</v>
      </c>
      <c r="S197" s="49" t="s">
        <v>368</v>
      </c>
      <c r="T197" s="49" t="s">
        <v>429</v>
      </c>
    </row>
    <row r="198" spans="1:20" x14ac:dyDescent="0.25">
      <c r="A198" t="s">
        <v>283</v>
      </c>
      <c r="B198" t="s">
        <v>433</v>
      </c>
      <c r="C198" t="s">
        <v>56</v>
      </c>
      <c r="D198" t="s">
        <v>36</v>
      </c>
      <c r="E198" s="49"/>
      <c r="F198" s="60">
        <v>45122</v>
      </c>
      <c r="G198" t="s">
        <v>199</v>
      </c>
      <c r="H198">
        <v>13000</v>
      </c>
      <c r="I198" s="49">
        <v>170231.75</v>
      </c>
      <c r="K198" s="115">
        <v>180220.7</v>
      </c>
      <c r="L198" s="49">
        <v>13.094749999999999</v>
      </c>
      <c r="M198" s="49">
        <v>13.86313076923077</v>
      </c>
      <c r="N198" s="49">
        <v>-9988.9500000000116</v>
      </c>
      <c r="O198" s="47">
        <v>-5.8678536759447127E-2</v>
      </c>
      <c r="P198" s="72">
        <f t="shared" si="3"/>
        <v>-49520.128519942911</v>
      </c>
      <c r="Q198" s="49" t="str">
        <f>TEXT(Table1[[#This Row],[Closing Date]],"yyyy")</f>
        <v>2023</v>
      </c>
      <c r="R198" s="49" t="str">
        <f>TEXT(Table1[[#This Row],[Closing Date]],"mmmm")</f>
        <v>July</v>
      </c>
      <c r="S198" s="49" t="s">
        <v>368</v>
      </c>
      <c r="T198" s="49" t="s">
        <v>429</v>
      </c>
    </row>
    <row r="199" spans="1:20" x14ac:dyDescent="0.25">
      <c r="A199" t="s">
        <v>283</v>
      </c>
      <c r="B199" t="s">
        <v>433</v>
      </c>
      <c r="C199" t="s">
        <v>56</v>
      </c>
      <c r="D199" t="s">
        <v>38</v>
      </c>
      <c r="E199" s="49"/>
      <c r="F199" s="60">
        <v>45122</v>
      </c>
      <c r="G199" t="s">
        <v>125</v>
      </c>
      <c r="H199">
        <v>3500</v>
      </c>
      <c r="I199" s="49">
        <v>318517.5</v>
      </c>
      <c r="K199" s="115">
        <v>337484.29000000004</v>
      </c>
      <c r="L199" s="49">
        <v>91.004999999999995</v>
      </c>
      <c r="M199" s="49">
        <v>96.424082857142864</v>
      </c>
      <c r="N199" s="49">
        <v>18966.790000000037</v>
      </c>
      <c r="O199" s="47">
        <v>5.9547089249413425E-2</v>
      </c>
      <c r="P199" s="72">
        <f t="shared" si="3"/>
        <v>-30553.338519942874</v>
      </c>
      <c r="Q199" s="49" t="str">
        <f>TEXT(Table1[[#This Row],[Closing Date]],"yyyy")</f>
        <v>2023</v>
      </c>
      <c r="R199" s="49" t="str">
        <f>TEXT(Table1[[#This Row],[Closing Date]],"mmmm")</f>
        <v>July</v>
      </c>
      <c r="S199" s="49" t="s">
        <v>368</v>
      </c>
      <c r="T199" s="49" t="s">
        <v>429</v>
      </c>
    </row>
    <row r="200" spans="1:20" x14ac:dyDescent="0.25">
      <c r="A200" t="s">
        <v>283</v>
      </c>
      <c r="B200" t="s">
        <v>434</v>
      </c>
      <c r="C200" t="s">
        <v>51</v>
      </c>
      <c r="D200" t="s">
        <v>38</v>
      </c>
      <c r="E200" s="49"/>
      <c r="F200" s="60">
        <v>45122</v>
      </c>
      <c r="G200" t="s">
        <v>95</v>
      </c>
      <c r="H200">
        <v>10</v>
      </c>
      <c r="I200" s="49">
        <v>1005872.2</v>
      </c>
      <c r="K200" s="115">
        <v>998427.8</v>
      </c>
      <c r="L200" s="49">
        <v>100.58722</v>
      </c>
      <c r="M200" s="49">
        <v>99.842780000000005</v>
      </c>
      <c r="N200" s="49">
        <v>-7488.3999999999069</v>
      </c>
      <c r="O200" s="47">
        <v>-7.4446833305462732E-3</v>
      </c>
      <c r="P200" s="72">
        <f t="shared" si="3"/>
        <v>-38041.738519942781</v>
      </c>
      <c r="Q200" s="49" t="str">
        <f>TEXT(Table1[[#This Row],[Closing Date]],"yyyy")</f>
        <v>2023</v>
      </c>
      <c r="R200" s="49" t="str">
        <f>TEXT(Table1[[#This Row],[Closing Date]],"mmmm")</f>
        <v>July</v>
      </c>
      <c r="S200" s="49" t="s">
        <v>368</v>
      </c>
      <c r="T200" s="49" t="s">
        <v>429</v>
      </c>
    </row>
    <row r="201" spans="1:20" x14ac:dyDescent="0.25">
      <c r="A201" t="s">
        <v>283</v>
      </c>
      <c r="B201" t="s">
        <v>433</v>
      </c>
      <c r="C201" t="s">
        <v>56</v>
      </c>
      <c r="D201" t="s">
        <v>36</v>
      </c>
      <c r="E201" s="49"/>
      <c r="F201" s="60">
        <v>45123</v>
      </c>
      <c r="G201" t="s">
        <v>131</v>
      </c>
      <c r="H201">
        <v>1111</v>
      </c>
      <c r="I201" s="49">
        <v>222200.64</v>
      </c>
      <c r="K201" s="115">
        <v>232223.74</v>
      </c>
      <c r="L201" s="49">
        <v>200.00057605760577</v>
      </c>
      <c r="M201" s="49">
        <v>209.02226822682266</v>
      </c>
      <c r="N201" s="49">
        <v>-10023.099999999977</v>
      </c>
      <c r="O201" s="47">
        <v>-4.5108330921098901E-2</v>
      </c>
      <c r="P201" s="72">
        <f t="shared" si="3"/>
        <v>-48064.838519942758</v>
      </c>
      <c r="Q201" s="49" t="str">
        <f>TEXT(Table1[[#This Row],[Closing Date]],"yyyy")</f>
        <v>2023</v>
      </c>
      <c r="R201" s="49" t="str">
        <f>TEXT(Table1[[#This Row],[Closing Date]],"mmmm")</f>
        <v>July</v>
      </c>
      <c r="S201" s="49" t="s">
        <v>368</v>
      </c>
      <c r="T201" s="49" t="s">
        <v>429</v>
      </c>
    </row>
    <row r="202" spans="1:20" x14ac:dyDescent="0.25">
      <c r="A202" t="s">
        <v>283</v>
      </c>
      <c r="B202" t="s">
        <v>431</v>
      </c>
      <c r="C202" t="s">
        <v>56</v>
      </c>
      <c r="D202" t="s">
        <v>38</v>
      </c>
      <c r="E202" s="49"/>
      <c r="F202" s="60">
        <v>45124</v>
      </c>
      <c r="G202" t="s">
        <v>79</v>
      </c>
      <c r="H202">
        <v>205</v>
      </c>
      <c r="I202" s="49">
        <v>55348.5</v>
      </c>
      <c r="K202" s="115">
        <v>59364.92</v>
      </c>
      <c r="L202" s="49">
        <v>269.99268292682927</v>
      </c>
      <c r="M202" s="49">
        <v>289.5849756097561</v>
      </c>
      <c r="N202" s="49">
        <v>-4016.4199999999983</v>
      </c>
      <c r="O202" s="47">
        <v>-7.2566013532435372E-2</v>
      </c>
      <c r="P202" s="72">
        <f t="shared" si="3"/>
        <v>-52081.258519942756</v>
      </c>
      <c r="Q202" s="49" t="str">
        <f>TEXT(Table1[[#This Row],[Closing Date]],"yyyy")</f>
        <v>2023</v>
      </c>
      <c r="R202" s="49" t="str">
        <f>TEXT(Table1[[#This Row],[Closing Date]],"mmmm")</f>
        <v>July</v>
      </c>
      <c r="S202" s="49" t="s">
        <v>368</v>
      </c>
      <c r="T202" s="49" t="s">
        <v>429</v>
      </c>
    </row>
    <row r="203" spans="1:20" x14ac:dyDescent="0.25">
      <c r="A203" t="s">
        <v>283</v>
      </c>
      <c r="B203" t="s">
        <v>433</v>
      </c>
      <c r="C203" t="s">
        <v>56</v>
      </c>
      <c r="D203" t="s">
        <v>38</v>
      </c>
      <c r="E203" s="49"/>
      <c r="F203" s="60">
        <v>45124</v>
      </c>
      <c r="G203" t="s">
        <v>121</v>
      </c>
      <c r="H203">
        <v>1200</v>
      </c>
      <c r="I203" s="49">
        <v>578973.60000000009</v>
      </c>
      <c r="K203" s="115">
        <v>650388.63</v>
      </c>
      <c r="L203" s="49">
        <v>482.47800000000007</v>
      </c>
      <c r="M203" s="49">
        <v>541.99052500000005</v>
      </c>
      <c r="N203" s="49">
        <v>71415.029999999912</v>
      </c>
      <c r="O203" s="47">
        <v>0.12334764486670889</v>
      </c>
      <c r="P203" s="72">
        <f t="shared" si="3"/>
        <v>19333.771480057156</v>
      </c>
      <c r="Q203" s="49" t="str">
        <f>TEXT(Table1[[#This Row],[Closing Date]],"yyyy")</f>
        <v>2023</v>
      </c>
      <c r="R203" s="49" t="str">
        <f>TEXT(Table1[[#This Row],[Closing Date]],"mmmm")</f>
        <v>July</v>
      </c>
      <c r="S203" s="49" t="s">
        <v>368</v>
      </c>
      <c r="T203" s="49" t="s">
        <v>429</v>
      </c>
    </row>
    <row r="204" spans="1:20" x14ac:dyDescent="0.25">
      <c r="A204" t="s">
        <v>283</v>
      </c>
      <c r="B204" t="s">
        <v>433</v>
      </c>
      <c r="C204" t="s">
        <v>35</v>
      </c>
      <c r="D204" t="s">
        <v>36</v>
      </c>
      <c r="E204" s="49"/>
      <c r="F204" s="60">
        <v>45127</v>
      </c>
      <c r="G204" t="s">
        <v>37</v>
      </c>
      <c r="H204">
        <v>2700000</v>
      </c>
      <c r="I204" s="49">
        <v>2433337.42</v>
      </c>
      <c r="K204" s="115">
        <v>2361302.12</v>
      </c>
      <c r="L204" s="49">
        <v>0.90123608148148149</v>
      </c>
      <c r="M204" s="49">
        <v>0.87455634074074073</v>
      </c>
      <c r="N204" s="49">
        <v>82367.820853012876</v>
      </c>
      <c r="O204" s="47">
        <v>3.4882372804125913E-2</v>
      </c>
      <c r="P204" s="72">
        <f t="shared" si="3"/>
        <v>101701.59233307003</v>
      </c>
      <c r="Q204" s="49" t="str">
        <f>TEXT(Table1[[#This Row],[Closing Date]],"yyyy")</f>
        <v>2023</v>
      </c>
      <c r="R204" s="49" t="str">
        <f>TEXT(Table1[[#This Row],[Closing Date]],"mmmm")</f>
        <v>July</v>
      </c>
      <c r="S204" s="49" t="s">
        <v>368</v>
      </c>
      <c r="T204" s="49" t="s">
        <v>429</v>
      </c>
    </row>
    <row r="205" spans="1:20" x14ac:dyDescent="0.25">
      <c r="A205" t="s">
        <v>276</v>
      </c>
      <c r="B205" t="s">
        <v>433</v>
      </c>
      <c r="C205" t="s">
        <v>152</v>
      </c>
      <c r="D205" t="s">
        <v>38</v>
      </c>
      <c r="E205" s="49"/>
      <c r="F205" s="60">
        <v>45128</v>
      </c>
      <c r="G205" t="s">
        <v>126</v>
      </c>
      <c r="H205">
        <v>40</v>
      </c>
      <c r="I205" s="49">
        <v>7993.56</v>
      </c>
      <c r="J205" s="106">
        <v>100</v>
      </c>
      <c r="K205" s="115">
        <v>12355.78</v>
      </c>
      <c r="L205" s="49">
        <v>1.9983899999999999</v>
      </c>
      <c r="M205" s="49">
        <v>3.0889449999999998</v>
      </c>
      <c r="N205" s="49">
        <v>4362.22</v>
      </c>
      <c r="O205" s="47">
        <v>0.54571680202563067</v>
      </c>
      <c r="P205" s="72">
        <f t="shared" si="3"/>
        <v>106063.81233307003</v>
      </c>
      <c r="Q205" s="49" t="str">
        <f>TEXT(Table1[[#This Row],[Closing Date]],"yyyy")</f>
        <v>2023</v>
      </c>
      <c r="R205" s="49" t="str">
        <f>TEXT(Table1[[#This Row],[Closing Date]],"mmmm")</f>
        <v>July</v>
      </c>
      <c r="S205" s="49" t="s">
        <v>368</v>
      </c>
      <c r="T205" s="49" t="s">
        <v>429</v>
      </c>
    </row>
    <row r="206" spans="1:20" x14ac:dyDescent="0.25">
      <c r="A206" t="s">
        <v>283</v>
      </c>
      <c r="B206" t="s">
        <v>433</v>
      </c>
      <c r="C206" t="s">
        <v>56</v>
      </c>
      <c r="D206" t="s">
        <v>38</v>
      </c>
      <c r="E206" s="49"/>
      <c r="F206" s="60">
        <v>45131</v>
      </c>
      <c r="G206" t="s">
        <v>128</v>
      </c>
      <c r="H206">
        <v>6000</v>
      </c>
      <c r="I206" s="49">
        <v>446225</v>
      </c>
      <c r="K206" s="115">
        <v>461317.1</v>
      </c>
      <c r="L206" s="49">
        <v>74.370833333333337</v>
      </c>
      <c r="M206" s="49">
        <v>76.886183333333335</v>
      </c>
      <c r="N206" s="49">
        <v>15092.099999999977</v>
      </c>
      <c r="O206" s="47">
        <v>3.3821726707378534E-2</v>
      </c>
      <c r="P206" s="72">
        <f t="shared" si="3"/>
        <v>121155.91233307001</v>
      </c>
      <c r="Q206" s="49" t="str">
        <f>TEXT(Table1[[#This Row],[Closing Date]],"yyyy")</f>
        <v>2023</v>
      </c>
      <c r="R206" s="49" t="str">
        <f>TEXT(Table1[[#This Row],[Closing Date]],"mmmm")</f>
        <v>July</v>
      </c>
      <c r="S206" s="49" t="s">
        <v>368</v>
      </c>
      <c r="T206" s="49" t="s">
        <v>429</v>
      </c>
    </row>
    <row r="207" spans="1:20" x14ac:dyDescent="0.25">
      <c r="A207" t="s">
        <v>283</v>
      </c>
      <c r="B207" t="s">
        <v>434</v>
      </c>
      <c r="C207" t="s">
        <v>51</v>
      </c>
      <c r="D207" t="s">
        <v>36</v>
      </c>
      <c r="E207" s="49"/>
      <c r="F207" s="60">
        <v>45131</v>
      </c>
      <c r="G207" t="s">
        <v>52</v>
      </c>
      <c r="H207">
        <v>6</v>
      </c>
      <c r="I207" s="49">
        <v>456585.78</v>
      </c>
      <c r="K207" s="115">
        <v>466514.22</v>
      </c>
      <c r="L207" s="49">
        <v>76.097630000000009</v>
      </c>
      <c r="M207" s="49">
        <v>77.752369999999999</v>
      </c>
      <c r="N207" s="49">
        <v>-9972.4399999999441</v>
      </c>
      <c r="O207" s="47"/>
      <c r="P207" s="72">
        <f t="shared" si="3"/>
        <v>111183.47233307007</v>
      </c>
      <c r="Q207" s="49" t="str">
        <f>TEXT(Table1[[#This Row],[Closing Date]],"yyyy")</f>
        <v>2023</v>
      </c>
      <c r="R207" s="49" t="str">
        <f>TEXT(Table1[[#This Row],[Closing Date]],"mmmm")</f>
        <v>July</v>
      </c>
      <c r="S207" s="49" t="s">
        <v>368</v>
      </c>
      <c r="T207" s="49" t="s">
        <v>429</v>
      </c>
    </row>
    <row r="208" spans="1:20" x14ac:dyDescent="0.25">
      <c r="A208" t="s">
        <v>283</v>
      </c>
      <c r="B208" t="s">
        <v>433</v>
      </c>
      <c r="C208" t="s">
        <v>35</v>
      </c>
      <c r="D208" t="s">
        <v>38</v>
      </c>
      <c r="E208" s="49"/>
      <c r="F208" s="60">
        <v>45132</v>
      </c>
      <c r="G208" t="s">
        <v>195</v>
      </c>
      <c r="H208">
        <v>750000</v>
      </c>
      <c r="I208" s="49">
        <v>13163664.51</v>
      </c>
      <c r="K208" s="115">
        <v>13163664.51</v>
      </c>
      <c r="L208" s="49">
        <v>17.55155268</v>
      </c>
      <c r="M208" s="49">
        <v>17.55155268</v>
      </c>
      <c r="N208" s="49">
        <v>-5815</v>
      </c>
      <c r="O208" s="47">
        <v>-4.41746293031286E-4</v>
      </c>
      <c r="P208" s="72">
        <f t="shared" si="3"/>
        <v>105368.47233307007</v>
      </c>
      <c r="Q208" s="49" t="str">
        <f>TEXT(Table1[[#This Row],[Closing Date]],"yyyy")</f>
        <v>2023</v>
      </c>
      <c r="R208" s="49" t="str">
        <f>TEXT(Table1[[#This Row],[Closing Date]],"mmmm")</f>
        <v>July</v>
      </c>
      <c r="S208" s="49" t="s">
        <v>368</v>
      </c>
      <c r="T208" s="49" t="s">
        <v>429</v>
      </c>
    </row>
    <row r="209" spans="1:20" x14ac:dyDescent="0.25">
      <c r="A209" t="s">
        <v>283</v>
      </c>
      <c r="B209" t="s">
        <v>433</v>
      </c>
      <c r="C209" t="s">
        <v>56</v>
      </c>
      <c r="D209" t="s">
        <v>36</v>
      </c>
      <c r="E209" s="49"/>
      <c r="F209" s="60">
        <v>45133</v>
      </c>
      <c r="G209" t="s">
        <v>198</v>
      </c>
      <c r="H209">
        <v>1000</v>
      </c>
      <c r="I209" s="49">
        <v>219993.1</v>
      </c>
      <c r="K209" s="115">
        <v>230104.4</v>
      </c>
      <c r="L209" s="49">
        <v>219.9931</v>
      </c>
      <c r="M209" s="49">
        <v>230.1044</v>
      </c>
      <c r="N209" s="49">
        <v>-10111.299999999988</v>
      </c>
      <c r="O209" s="47">
        <v>-4.5961896077649708E-2</v>
      </c>
      <c r="P209" s="72">
        <f t="shared" si="3"/>
        <v>95257.172333070077</v>
      </c>
      <c r="Q209" s="49" t="str">
        <f>TEXT(Table1[[#This Row],[Closing Date]],"yyyy")</f>
        <v>2023</v>
      </c>
      <c r="R209" s="49" t="str">
        <f>TEXT(Table1[[#This Row],[Closing Date]],"mmmm")</f>
        <v>July</v>
      </c>
      <c r="S209" s="49" t="s">
        <v>368</v>
      </c>
      <c r="T209" s="49" t="s">
        <v>429</v>
      </c>
    </row>
    <row r="210" spans="1:20" x14ac:dyDescent="0.25">
      <c r="A210" t="s">
        <v>283</v>
      </c>
      <c r="B210" t="s">
        <v>434</v>
      </c>
      <c r="C210" t="s">
        <v>51</v>
      </c>
      <c r="D210" t="s">
        <v>36</v>
      </c>
      <c r="E210" s="49"/>
      <c r="F210" s="60">
        <v>45133</v>
      </c>
      <c r="G210" t="s">
        <v>129</v>
      </c>
      <c r="H210">
        <v>8</v>
      </c>
      <c r="I210" s="49">
        <v>274296.24</v>
      </c>
      <c r="K210" s="115">
        <v>284503.76</v>
      </c>
      <c r="L210" s="49">
        <v>3428.703</v>
      </c>
      <c r="M210" s="49">
        <v>3556.297</v>
      </c>
      <c r="N210" s="49">
        <v>-10251.520000000019</v>
      </c>
      <c r="O210" s="47">
        <v>-3.7373899109955061E-2</v>
      </c>
      <c r="P210" s="72">
        <f t="shared" si="3"/>
        <v>85005.652333070058</v>
      </c>
      <c r="Q210" s="49" t="str">
        <f>TEXT(Table1[[#This Row],[Closing Date]],"yyyy")</f>
        <v>2023</v>
      </c>
      <c r="R210" s="49" t="str">
        <f>TEXT(Table1[[#This Row],[Closing Date]],"mmmm")</f>
        <v>July</v>
      </c>
      <c r="S210" s="49" t="s">
        <v>368</v>
      </c>
      <c r="T210" s="49" t="s">
        <v>429</v>
      </c>
    </row>
    <row r="211" spans="1:20" x14ac:dyDescent="0.25">
      <c r="A211" t="s">
        <v>283</v>
      </c>
      <c r="B211" t="s">
        <v>431</v>
      </c>
      <c r="C211" t="s">
        <v>51</v>
      </c>
      <c r="D211" t="s">
        <v>38</v>
      </c>
      <c r="E211" s="49"/>
      <c r="F211" s="60">
        <v>45134</v>
      </c>
      <c r="G211" t="s">
        <v>134</v>
      </c>
      <c r="H211">
        <v>125</v>
      </c>
      <c r="I211" s="49">
        <v>475767.25</v>
      </c>
      <c r="K211" s="115">
        <v>499928.75</v>
      </c>
      <c r="L211" s="49">
        <v>3.8061379999999998</v>
      </c>
      <c r="M211" s="49">
        <v>3.9994299999999998</v>
      </c>
      <c r="N211" s="49">
        <v>24117.5</v>
      </c>
      <c r="O211" s="47">
        <v>5.0691803607751482E-2</v>
      </c>
      <c r="P211" s="72">
        <f t="shared" si="3"/>
        <v>109123.15233307006</v>
      </c>
      <c r="Q211" s="49" t="str">
        <f>TEXT(Table1[[#This Row],[Closing Date]],"yyyy")</f>
        <v>2023</v>
      </c>
      <c r="R211" s="49" t="str">
        <f>TEXT(Table1[[#This Row],[Closing Date]],"mmmm")</f>
        <v>July</v>
      </c>
      <c r="S211" s="49" t="s">
        <v>368</v>
      </c>
      <c r="T211" s="49" t="s">
        <v>429</v>
      </c>
    </row>
    <row r="212" spans="1:20" x14ac:dyDescent="0.25">
      <c r="A212" t="s">
        <v>283</v>
      </c>
      <c r="B212" t="s">
        <v>433</v>
      </c>
      <c r="C212" t="s">
        <v>51</v>
      </c>
      <c r="D212" t="s">
        <v>36</v>
      </c>
      <c r="E212" s="49"/>
      <c r="F212" s="60">
        <v>45134</v>
      </c>
      <c r="G212" t="s">
        <v>130</v>
      </c>
      <c r="H212">
        <v>6</v>
      </c>
      <c r="I212" s="49">
        <v>1373086.8</v>
      </c>
      <c r="K212" s="115">
        <v>1388088.8</v>
      </c>
      <c r="L212" s="49">
        <v>4576.9560000000001</v>
      </c>
      <c r="M212" s="49">
        <v>4626.9626666666672</v>
      </c>
      <c r="N212" s="49">
        <v>-15046</v>
      </c>
      <c r="O212" s="47">
        <v>-1.0957792326020467E-2</v>
      </c>
      <c r="P212" s="72">
        <f t="shared" si="3"/>
        <v>94077.152333070058</v>
      </c>
      <c r="Q212" s="49" t="str">
        <f>TEXT(Table1[[#This Row],[Closing Date]],"yyyy")</f>
        <v>2023</v>
      </c>
      <c r="R212" s="49" t="str">
        <f>TEXT(Table1[[#This Row],[Closing Date]],"mmmm")</f>
        <v>July</v>
      </c>
      <c r="S212" s="49" t="s">
        <v>368</v>
      </c>
      <c r="T212" s="49" t="s">
        <v>429</v>
      </c>
    </row>
    <row r="213" spans="1:20" x14ac:dyDescent="0.25">
      <c r="A213" t="s">
        <v>283</v>
      </c>
      <c r="B213" t="s">
        <v>434</v>
      </c>
      <c r="C213" t="s">
        <v>51</v>
      </c>
      <c r="D213" t="s">
        <v>38</v>
      </c>
      <c r="E213" s="49"/>
      <c r="F213" s="60">
        <v>45141</v>
      </c>
      <c r="G213" t="s">
        <v>88</v>
      </c>
      <c r="H213">
        <v>2</v>
      </c>
      <c r="I213" s="49">
        <v>331906.03999999998</v>
      </c>
      <c r="K213" s="115">
        <v>317643.96000000002</v>
      </c>
      <c r="L213" s="49">
        <v>33190.603999999999</v>
      </c>
      <c r="M213" s="49">
        <v>31764.396000000001</v>
      </c>
      <c r="N213" s="49">
        <v>-14306.079999999958</v>
      </c>
      <c r="O213" s="47">
        <v>-4.3102801021638409E-2</v>
      </c>
      <c r="P213" s="72">
        <f t="shared" si="3"/>
        <v>79771.0723330701</v>
      </c>
      <c r="Q213" s="49" t="str">
        <f>TEXT(Table1[[#This Row],[Closing Date]],"yyyy")</f>
        <v>2023</v>
      </c>
      <c r="R213" s="49" t="str">
        <f>TEXT(Table1[[#This Row],[Closing Date]],"mmmm")</f>
        <v>August</v>
      </c>
      <c r="S213" s="49" t="s">
        <v>368</v>
      </c>
      <c r="T213" s="49" t="s">
        <v>429</v>
      </c>
    </row>
    <row r="214" spans="1:20" x14ac:dyDescent="0.25">
      <c r="A214" t="s">
        <v>283</v>
      </c>
      <c r="B214" t="s">
        <v>434</v>
      </c>
      <c r="C214" t="s">
        <v>51</v>
      </c>
      <c r="D214" t="s">
        <v>36</v>
      </c>
      <c r="E214" s="49"/>
      <c r="F214" s="60">
        <v>45145</v>
      </c>
      <c r="G214" t="s">
        <v>129</v>
      </c>
      <c r="H214">
        <v>8</v>
      </c>
      <c r="I214" s="49">
        <v>280776.24</v>
      </c>
      <c r="K214" s="115">
        <v>289053.76</v>
      </c>
      <c r="L214" s="49">
        <v>3509.703</v>
      </c>
      <c r="M214" s="49">
        <v>3613.172</v>
      </c>
      <c r="N214" s="49">
        <v>-8321.5200000000186</v>
      </c>
      <c r="O214" s="47">
        <v>-2.963755052777977E-2</v>
      </c>
      <c r="P214" s="72">
        <f t="shared" si="3"/>
        <v>71449.552333070082</v>
      </c>
      <c r="Q214" s="49" t="str">
        <f>TEXT(Table1[[#This Row],[Closing Date]],"yyyy")</f>
        <v>2023</v>
      </c>
      <c r="R214" s="49" t="str">
        <f>TEXT(Table1[[#This Row],[Closing Date]],"mmmm")</f>
        <v>August</v>
      </c>
      <c r="S214" s="49" t="s">
        <v>368</v>
      </c>
      <c r="T214" s="49" t="s">
        <v>429</v>
      </c>
    </row>
    <row r="215" spans="1:20" x14ac:dyDescent="0.25">
      <c r="A215" t="s">
        <v>283</v>
      </c>
      <c r="B215" t="s">
        <v>434</v>
      </c>
      <c r="C215" t="s">
        <v>51</v>
      </c>
      <c r="D215" t="s">
        <v>36</v>
      </c>
      <c r="E215" s="49"/>
      <c r="F215" s="60">
        <v>45146</v>
      </c>
      <c r="G215" t="s">
        <v>52</v>
      </c>
      <c r="H215">
        <v>4</v>
      </c>
      <c r="I215" s="49">
        <v>318990.52</v>
      </c>
      <c r="K215" s="115">
        <v>335409.48</v>
      </c>
      <c r="L215" s="49">
        <v>79.747630000000001</v>
      </c>
      <c r="M215" s="49">
        <v>83.852369999999993</v>
      </c>
      <c r="N215" s="49">
        <v>-16462.959999999963</v>
      </c>
      <c r="O215" s="47">
        <v>-5.1609558804443345E-2</v>
      </c>
      <c r="P215" s="72">
        <f t="shared" si="3"/>
        <v>54986.592333070119</v>
      </c>
      <c r="Q215" s="49" t="str">
        <f>TEXT(Table1[[#This Row],[Closing Date]],"yyyy")</f>
        <v>2023</v>
      </c>
      <c r="R215" s="49" t="str">
        <f>TEXT(Table1[[#This Row],[Closing Date]],"mmmm")</f>
        <v>August</v>
      </c>
      <c r="S215" s="49" t="s">
        <v>368</v>
      </c>
      <c r="T215" s="49" t="s">
        <v>429</v>
      </c>
    </row>
    <row r="216" spans="1:20" x14ac:dyDescent="0.25">
      <c r="A216" t="s">
        <v>283</v>
      </c>
      <c r="B216" t="s">
        <v>431</v>
      </c>
      <c r="C216" t="s">
        <v>51</v>
      </c>
      <c r="D216" t="s">
        <v>38</v>
      </c>
      <c r="E216" s="49"/>
      <c r="F216" s="60">
        <v>45147</v>
      </c>
      <c r="G216" t="s">
        <v>132</v>
      </c>
      <c r="H216">
        <v>50</v>
      </c>
      <c r="I216" s="49">
        <v>223025</v>
      </c>
      <c r="K216" s="115">
        <v>210351</v>
      </c>
      <c r="L216" s="49">
        <v>4460.5</v>
      </c>
      <c r="M216" s="49">
        <v>4207.0200000000004</v>
      </c>
      <c r="N216" s="49">
        <v>-13774</v>
      </c>
      <c r="O216" s="47">
        <v>-6.1759892388745657E-2</v>
      </c>
      <c r="P216" s="72">
        <f t="shared" si="3"/>
        <v>41212.592333070119</v>
      </c>
      <c r="Q216" s="49" t="str">
        <f>TEXT(Table1[[#This Row],[Closing Date]],"yyyy")</f>
        <v>2023</v>
      </c>
      <c r="R216" s="49" t="str">
        <f>TEXT(Table1[[#This Row],[Closing Date]],"mmmm")</f>
        <v>August</v>
      </c>
      <c r="S216" s="49" t="s">
        <v>368</v>
      </c>
      <c r="T216" s="49" t="s">
        <v>429</v>
      </c>
    </row>
    <row r="217" spans="1:20" x14ac:dyDescent="0.25">
      <c r="A217" t="s">
        <v>276</v>
      </c>
      <c r="B217" t="s">
        <v>433</v>
      </c>
      <c r="C217" t="s">
        <v>148</v>
      </c>
      <c r="D217" t="s">
        <v>38</v>
      </c>
      <c r="E217" s="49"/>
      <c r="F217" s="60">
        <v>45156</v>
      </c>
      <c r="G217" t="s">
        <v>48</v>
      </c>
      <c r="H217">
        <v>45</v>
      </c>
      <c r="I217" s="49">
        <v>8198.3799999999992</v>
      </c>
      <c r="J217" s="106">
        <v>100</v>
      </c>
      <c r="K217" s="115">
        <v>15092.63</v>
      </c>
      <c r="L217" s="49">
        <v>1.821862222222222</v>
      </c>
      <c r="M217" s="49">
        <v>3.3539177777777773</v>
      </c>
      <c r="N217" s="49">
        <v>6894.25</v>
      </c>
      <c r="O217" s="47">
        <v>0.84092832974319309</v>
      </c>
      <c r="P217" s="72">
        <f t="shared" si="3"/>
        <v>48106.842333070119</v>
      </c>
      <c r="Q217" s="49" t="str">
        <f>TEXT(Table1[[#This Row],[Closing Date]],"yyyy")</f>
        <v>2023</v>
      </c>
      <c r="R217" s="49" t="str">
        <f>TEXT(Table1[[#This Row],[Closing Date]],"mmmm")</f>
        <v>August</v>
      </c>
      <c r="S217" s="49" t="s">
        <v>368</v>
      </c>
      <c r="T217" s="49" t="s">
        <v>429</v>
      </c>
    </row>
    <row r="218" spans="1:20" x14ac:dyDescent="0.25">
      <c r="A218" t="s">
        <v>276</v>
      </c>
      <c r="B218" t="s">
        <v>433</v>
      </c>
      <c r="C218" t="s">
        <v>149</v>
      </c>
      <c r="D218" t="s">
        <v>38</v>
      </c>
      <c r="E218" s="49"/>
      <c r="F218" s="60">
        <v>45156</v>
      </c>
      <c r="G218" t="s">
        <v>293</v>
      </c>
      <c r="H218">
        <v>85</v>
      </c>
      <c r="I218" s="49">
        <v>14862.18</v>
      </c>
      <c r="J218" s="106">
        <v>100</v>
      </c>
      <c r="K218" s="115">
        <v>0</v>
      </c>
      <c r="L218" s="49">
        <v>1.7484917647058824</v>
      </c>
      <c r="M218" s="49"/>
      <c r="N218" s="49">
        <v>-14862.18</v>
      </c>
      <c r="O218" s="47">
        <v>-1</v>
      </c>
      <c r="P218" s="72">
        <f t="shared" si="3"/>
        <v>33244.662333070119</v>
      </c>
      <c r="Q218" s="49" t="str">
        <f>TEXT(Table1[[#This Row],[Closing Date]],"yyyy")</f>
        <v>2023</v>
      </c>
      <c r="R218" s="49" t="str">
        <f>TEXT(Table1[[#This Row],[Closing Date]],"mmmm")</f>
        <v>August</v>
      </c>
      <c r="S218" s="49" t="s">
        <v>368</v>
      </c>
      <c r="T218" s="49" t="s">
        <v>429</v>
      </c>
    </row>
    <row r="219" spans="1:20" x14ac:dyDescent="0.25">
      <c r="A219" t="s">
        <v>283</v>
      </c>
      <c r="B219" t="s">
        <v>431</v>
      </c>
      <c r="C219" t="s">
        <v>56</v>
      </c>
      <c r="D219" t="s">
        <v>38</v>
      </c>
      <c r="E219" s="49"/>
      <c r="F219" s="60">
        <v>45167</v>
      </c>
      <c r="G219" t="s">
        <v>204</v>
      </c>
      <c r="H219">
        <v>1800</v>
      </c>
      <c r="I219" s="49">
        <v>78840</v>
      </c>
      <c r="K219" s="115">
        <v>82832.67</v>
      </c>
      <c r="L219" s="49">
        <v>43.8</v>
      </c>
      <c r="M219" s="49">
        <v>46.018149999999999</v>
      </c>
      <c r="N219" s="49">
        <v>3992.6699999999983</v>
      </c>
      <c r="O219" s="47">
        <v>5.0642694063926921E-2</v>
      </c>
      <c r="P219" s="72">
        <f t="shared" si="3"/>
        <v>37237.332333070117</v>
      </c>
      <c r="Q219" s="49" t="str">
        <f>TEXT(Table1[[#This Row],[Closing Date]],"yyyy")</f>
        <v>2023</v>
      </c>
      <c r="R219" s="49" t="str">
        <f>TEXT(Table1[[#This Row],[Closing Date]],"mmmm")</f>
        <v>August</v>
      </c>
      <c r="S219" s="49" t="s">
        <v>368</v>
      </c>
      <c r="T219" s="49" t="s">
        <v>285</v>
      </c>
    </row>
    <row r="220" spans="1:20" x14ac:dyDescent="0.25">
      <c r="A220" t="s">
        <v>283</v>
      </c>
      <c r="B220" t="s">
        <v>431</v>
      </c>
      <c r="C220" t="s">
        <v>51</v>
      </c>
      <c r="D220" t="s">
        <v>38</v>
      </c>
      <c r="E220" s="49"/>
      <c r="F220" s="60">
        <v>45168</v>
      </c>
      <c r="G220" t="s">
        <v>134</v>
      </c>
      <c r="H220">
        <v>175</v>
      </c>
      <c r="I220" s="49">
        <v>694936.85</v>
      </c>
      <c r="K220" s="115">
        <v>719451.25</v>
      </c>
      <c r="L220" s="49">
        <v>3.9710677142857138</v>
      </c>
      <c r="M220" s="49">
        <v>4.1111499999999994</v>
      </c>
      <c r="N220" s="49">
        <v>24470.400000000023</v>
      </c>
      <c r="O220" s="47">
        <v>3.5212408149028249E-2</v>
      </c>
      <c r="P220" s="72">
        <f t="shared" si="3"/>
        <v>61707.73233307014</v>
      </c>
      <c r="Q220" s="49" t="str">
        <f>TEXT(Table1[[#This Row],[Closing Date]],"yyyy")</f>
        <v>2023</v>
      </c>
      <c r="R220" s="49" t="str">
        <f>TEXT(Table1[[#This Row],[Closing Date]],"mmmm")</f>
        <v>August</v>
      </c>
      <c r="S220" s="49" t="s">
        <v>368</v>
      </c>
      <c r="T220" s="49" t="s">
        <v>429</v>
      </c>
    </row>
    <row r="221" spans="1:20" x14ac:dyDescent="0.25">
      <c r="A221" t="s">
        <v>276</v>
      </c>
      <c r="B221" t="s">
        <v>433</v>
      </c>
      <c r="C221" t="s">
        <v>148</v>
      </c>
      <c r="D221" t="s">
        <v>38</v>
      </c>
      <c r="E221" s="49"/>
      <c r="F221" s="60">
        <v>45168</v>
      </c>
      <c r="G221" t="s">
        <v>193</v>
      </c>
      <c r="H221">
        <v>25</v>
      </c>
      <c r="I221" s="49">
        <v>6274.9999999999991</v>
      </c>
      <c r="J221" s="106">
        <v>100</v>
      </c>
      <c r="K221" s="115">
        <v>0</v>
      </c>
      <c r="L221" s="49">
        <v>2.5099999999999998</v>
      </c>
      <c r="M221" s="49"/>
      <c r="N221" s="49">
        <v>-6274.9999999999991</v>
      </c>
      <c r="O221" s="47">
        <v>-1</v>
      </c>
      <c r="P221" s="72">
        <f t="shared" si="3"/>
        <v>55432.73233307014</v>
      </c>
      <c r="Q221" s="49" t="str">
        <f>TEXT(Table1[[#This Row],[Closing Date]],"yyyy")</f>
        <v>2023</v>
      </c>
      <c r="R221" s="49" t="str">
        <f>TEXT(Table1[[#This Row],[Closing Date]],"mmmm")</f>
        <v>August</v>
      </c>
      <c r="S221" s="49" t="s">
        <v>368</v>
      </c>
      <c r="T221" s="49" t="s">
        <v>429</v>
      </c>
    </row>
    <row r="222" spans="1:20" x14ac:dyDescent="0.25">
      <c r="A222" t="s">
        <v>283</v>
      </c>
      <c r="B222" t="s">
        <v>431</v>
      </c>
      <c r="C222" t="s">
        <v>56</v>
      </c>
      <c r="D222" t="s">
        <v>38</v>
      </c>
      <c r="E222" s="49"/>
      <c r="F222" s="60">
        <v>45168</v>
      </c>
      <c r="G222" t="s">
        <v>173</v>
      </c>
      <c r="H222">
        <v>2500</v>
      </c>
      <c r="I222" s="49">
        <v>49724.75</v>
      </c>
      <c r="K222" s="115">
        <v>52749.83</v>
      </c>
      <c r="L222" s="49">
        <v>19.889900000000001</v>
      </c>
      <c r="M222" s="49">
        <v>21.099931999999999</v>
      </c>
      <c r="N222" s="49">
        <v>3025.0800000000017</v>
      </c>
      <c r="O222" s="47">
        <v>6.0836504959803757E-2</v>
      </c>
      <c r="P222" s="72">
        <f t="shared" si="3"/>
        <v>58457.812333070142</v>
      </c>
      <c r="Q222" s="49" t="str">
        <f>TEXT(Table1[[#This Row],[Closing Date]],"yyyy")</f>
        <v>2023</v>
      </c>
      <c r="R222" s="49" t="str">
        <f>TEXT(Table1[[#This Row],[Closing Date]],"mmmm")</f>
        <v>August</v>
      </c>
      <c r="S222" s="49" t="s">
        <v>368</v>
      </c>
      <c r="T222" s="49" t="s">
        <v>285</v>
      </c>
    </row>
    <row r="223" spans="1:20" x14ac:dyDescent="0.25">
      <c r="A223" t="s">
        <v>283</v>
      </c>
      <c r="B223" t="s">
        <v>431</v>
      </c>
      <c r="C223" t="s">
        <v>51</v>
      </c>
      <c r="D223" t="s">
        <v>38</v>
      </c>
      <c r="E223" s="49"/>
      <c r="F223" s="60">
        <v>45171</v>
      </c>
      <c r="G223" t="s">
        <v>133</v>
      </c>
      <c r="H223">
        <v>65</v>
      </c>
      <c r="I223" s="49">
        <v>181270.05</v>
      </c>
      <c r="K223" s="115">
        <v>166018.45000000001</v>
      </c>
      <c r="L223" s="49">
        <v>27887.699999999997</v>
      </c>
      <c r="M223" s="49">
        <v>25541.300000000003</v>
      </c>
      <c r="N223" s="49">
        <v>-15251.599999999977</v>
      </c>
      <c r="O223" s="47">
        <v>-8.4137451277803352E-2</v>
      </c>
      <c r="P223" s="72">
        <f t="shared" si="3"/>
        <v>43206.212333070165</v>
      </c>
      <c r="Q223" s="49" t="str">
        <f>TEXT(Table1[[#This Row],[Closing Date]],"yyyy")</f>
        <v>2023</v>
      </c>
      <c r="R223" s="49" t="str">
        <f>TEXT(Table1[[#This Row],[Closing Date]],"mmmm")</f>
        <v>September</v>
      </c>
      <c r="S223" s="49" t="s">
        <v>368</v>
      </c>
      <c r="T223" s="49" t="s">
        <v>429</v>
      </c>
    </row>
    <row r="224" spans="1:20" x14ac:dyDescent="0.25">
      <c r="A224" t="s">
        <v>283</v>
      </c>
      <c r="B224" t="s">
        <v>431</v>
      </c>
      <c r="C224" t="s">
        <v>56</v>
      </c>
      <c r="D224" t="s">
        <v>38</v>
      </c>
      <c r="E224" s="49"/>
      <c r="F224" s="60">
        <v>45174</v>
      </c>
      <c r="G224" t="s">
        <v>146</v>
      </c>
      <c r="H224">
        <v>1600</v>
      </c>
      <c r="I224" s="49">
        <v>217600</v>
      </c>
      <c r="K224" s="115">
        <v>210468.55</v>
      </c>
      <c r="L224" s="49">
        <v>136</v>
      </c>
      <c r="M224" s="49">
        <v>131.54284375</v>
      </c>
      <c r="N224" s="49">
        <v>-7131.4500000000116</v>
      </c>
      <c r="O224" s="47">
        <v>-3.2773207720588289E-2</v>
      </c>
      <c r="P224" s="72">
        <f t="shared" si="3"/>
        <v>36074.762333070154</v>
      </c>
      <c r="Q224" s="49" t="str">
        <f>TEXT(Table1[[#This Row],[Closing Date]],"yyyy")</f>
        <v>2023</v>
      </c>
      <c r="R224" s="49" t="str">
        <f>TEXT(Table1[[#This Row],[Closing Date]],"mmmm")</f>
        <v>September</v>
      </c>
      <c r="S224" s="49" t="s">
        <v>368</v>
      </c>
      <c r="T224" s="49" t="s">
        <v>285</v>
      </c>
    </row>
    <row r="225" spans="1:20" x14ac:dyDescent="0.25">
      <c r="A225" t="s">
        <v>335</v>
      </c>
      <c r="B225" t="s">
        <v>432</v>
      </c>
      <c r="C225" t="s">
        <v>51</v>
      </c>
      <c r="D225" t="s">
        <v>38</v>
      </c>
      <c r="E225" s="49"/>
      <c r="F225" s="60">
        <v>45175</v>
      </c>
      <c r="G225" t="s">
        <v>130</v>
      </c>
      <c r="H225">
        <v>12</v>
      </c>
      <c r="I225" s="49">
        <v>2688776.4</v>
      </c>
      <c r="K225" s="115">
        <v>2682723.6</v>
      </c>
      <c r="L225" s="49">
        <v>4481.2939999999999</v>
      </c>
      <c r="M225" s="49">
        <v>4471.2060000000001</v>
      </c>
      <c r="N225" s="49">
        <v>-6096.7999999998137</v>
      </c>
      <c r="O225" s="47">
        <v>-2.2511354979163917E-3</v>
      </c>
      <c r="P225" s="72">
        <f t="shared" si="3"/>
        <v>29977.96233307034</v>
      </c>
      <c r="Q225" s="49" t="str">
        <f>TEXT(Table1[[#This Row],[Closing Date]],"yyyy")</f>
        <v>2023</v>
      </c>
      <c r="R225" s="49" t="str">
        <f>TEXT(Table1[[#This Row],[Closing Date]],"mmmm")</f>
        <v>September</v>
      </c>
      <c r="S225" s="49" t="s">
        <v>368</v>
      </c>
      <c r="T225" s="49" t="s">
        <v>429</v>
      </c>
    </row>
    <row r="226" spans="1:20" x14ac:dyDescent="0.25">
      <c r="A226" t="s">
        <v>283</v>
      </c>
      <c r="B226" t="s">
        <v>431</v>
      </c>
      <c r="C226" t="s">
        <v>56</v>
      </c>
      <c r="D226" t="s">
        <v>38</v>
      </c>
      <c r="E226" s="49"/>
      <c r="F226" s="60">
        <v>45176</v>
      </c>
      <c r="G226" t="s">
        <v>270</v>
      </c>
      <c r="H226">
        <v>325</v>
      </c>
      <c r="I226" s="49">
        <v>151450</v>
      </c>
      <c r="K226" s="115">
        <v>142414.18</v>
      </c>
      <c r="L226" s="49">
        <v>466</v>
      </c>
      <c r="M226" s="49">
        <v>438.19747692307692</v>
      </c>
      <c r="N226" s="49">
        <v>-9035.820000000007</v>
      </c>
      <c r="O226" s="47">
        <v>-5.9662066688676178E-2</v>
      </c>
      <c r="P226" s="72">
        <f t="shared" si="3"/>
        <v>20942.142333070333</v>
      </c>
      <c r="Q226" s="49" t="str">
        <f>TEXT(Table1[[#This Row],[Closing Date]],"yyyy")</f>
        <v>2023</v>
      </c>
      <c r="R226" s="49" t="str">
        <f>TEXT(Table1[[#This Row],[Closing Date]],"mmmm")</f>
        <v>September</v>
      </c>
      <c r="S226" s="49" t="s">
        <v>368</v>
      </c>
      <c r="T226" s="49" t="s">
        <v>285</v>
      </c>
    </row>
    <row r="227" spans="1:20" x14ac:dyDescent="0.25">
      <c r="A227" t="s">
        <v>283</v>
      </c>
      <c r="B227" t="s">
        <v>431</v>
      </c>
      <c r="C227" t="s">
        <v>56</v>
      </c>
      <c r="D227" t="s">
        <v>38</v>
      </c>
      <c r="E227" s="49"/>
      <c r="F227" s="60">
        <v>45177</v>
      </c>
      <c r="G227" t="s">
        <v>202</v>
      </c>
      <c r="H227">
        <v>6900</v>
      </c>
      <c r="I227" s="49">
        <v>90750.5</v>
      </c>
      <c r="K227" s="115">
        <v>81415</v>
      </c>
      <c r="L227" s="49">
        <v>13.152246376811593</v>
      </c>
      <c r="M227" s="49">
        <v>11.799275362318841</v>
      </c>
      <c r="N227" s="49">
        <v>-9335.5</v>
      </c>
      <c r="O227" s="47">
        <v>-0.10286995663935725</v>
      </c>
      <c r="P227" s="72">
        <f t="shared" si="3"/>
        <v>11606.642333070333</v>
      </c>
      <c r="Q227" s="49" t="str">
        <f>TEXT(Table1[[#This Row],[Closing Date]],"yyyy")</f>
        <v>2023</v>
      </c>
      <c r="R227" s="49" t="str">
        <f>TEXT(Table1[[#This Row],[Closing Date]],"mmmm")</f>
        <v>September</v>
      </c>
      <c r="S227" s="49" t="s">
        <v>368</v>
      </c>
      <c r="T227" s="49" t="s">
        <v>429</v>
      </c>
    </row>
    <row r="228" spans="1:20" x14ac:dyDescent="0.25">
      <c r="A228" t="s">
        <v>283</v>
      </c>
      <c r="B228" t="s">
        <v>431</v>
      </c>
      <c r="C228" t="s">
        <v>56</v>
      </c>
      <c r="D228" t="s">
        <v>38</v>
      </c>
      <c r="E228" s="49"/>
      <c r="F228" s="60">
        <v>45177</v>
      </c>
      <c r="G228" t="s">
        <v>200</v>
      </c>
      <c r="H228">
        <v>1730</v>
      </c>
      <c r="I228" s="49">
        <v>196379.13</v>
      </c>
      <c r="K228" s="115">
        <v>195854.59</v>
      </c>
      <c r="L228" s="49">
        <v>113.51394797687861</v>
      </c>
      <c r="M228" s="49">
        <v>113.21074566473989</v>
      </c>
      <c r="N228" s="49">
        <v>524.54000000000815</v>
      </c>
      <c r="O228" s="47">
        <v>2.6710577646412333E-3</v>
      </c>
      <c r="P228" s="72">
        <f t="shared" si="3"/>
        <v>12131.182333070341</v>
      </c>
      <c r="Q228" s="49" t="str">
        <f>TEXT(Table1[[#This Row],[Closing Date]],"yyyy")</f>
        <v>2023</v>
      </c>
      <c r="R228" s="49" t="str">
        <f>TEXT(Table1[[#This Row],[Closing Date]],"mmmm")</f>
        <v>September</v>
      </c>
      <c r="S228" s="49" t="s">
        <v>368</v>
      </c>
      <c r="T228" s="49" t="s">
        <v>429</v>
      </c>
    </row>
    <row r="229" spans="1:20" x14ac:dyDescent="0.25">
      <c r="A229" t="s">
        <v>283</v>
      </c>
      <c r="B229" t="s">
        <v>433</v>
      </c>
      <c r="C229" t="s">
        <v>51</v>
      </c>
      <c r="D229" t="s">
        <v>38</v>
      </c>
      <c r="E229" s="49"/>
      <c r="F229" s="60">
        <v>45179</v>
      </c>
      <c r="G229" t="s">
        <v>135</v>
      </c>
      <c r="H229">
        <v>7</v>
      </c>
      <c r="I229" s="49">
        <v>483458.29</v>
      </c>
      <c r="K229" s="115">
        <v>473529.5</v>
      </c>
      <c r="L229" s="49">
        <v>1381.3093999999999</v>
      </c>
      <c r="M229" s="49">
        <v>1352.9414285714286</v>
      </c>
      <c r="N229" s="49">
        <v>-9928.789999999979</v>
      </c>
      <c r="O229" s="47">
        <v>-2.0500000000000001E-2</v>
      </c>
      <c r="P229" s="72">
        <f t="shared" si="3"/>
        <v>2202.3923330703619</v>
      </c>
      <c r="Q229" s="49" t="str">
        <f>TEXT(Table1[[#This Row],[Closing Date]],"yyyy")</f>
        <v>2023</v>
      </c>
      <c r="R229" s="49" t="str">
        <f>TEXT(Table1[[#This Row],[Closing Date]],"mmmm")</f>
        <v>September</v>
      </c>
      <c r="S229" s="49" t="s">
        <v>368</v>
      </c>
      <c r="T229" s="49" t="s">
        <v>429</v>
      </c>
    </row>
    <row r="230" spans="1:20" x14ac:dyDescent="0.25">
      <c r="A230" t="s">
        <v>276</v>
      </c>
      <c r="B230" t="s">
        <v>431</v>
      </c>
      <c r="C230" t="s">
        <v>152</v>
      </c>
      <c r="D230" t="s">
        <v>38</v>
      </c>
      <c r="E230" s="49"/>
      <c r="F230" s="60">
        <v>45182</v>
      </c>
      <c r="G230" t="s">
        <v>172</v>
      </c>
      <c r="H230">
        <v>200</v>
      </c>
      <c r="I230" s="49">
        <v>8133</v>
      </c>
      <c r="J230" s="106">
        <v>100</v>
      </c>
      <c r="K230" s="115">
        <v>17473</v>
      </c>
      <c r="L230" s="49">
        <v>0.40665000000000001</v>
      </c>
      <c r="M230" s="49">
        <v>0.87364999999999993</v>
      </c>
      <c r="N230" s="49">
        <v>9340</v>
      </c>
      <c r="O230" s="47">
        <v>1.1484077216279354</v>
      </c>
      <c r="P230" s="72">
        <f t="shared" si="3"/>
        <v>11542.392333070362</v>
      </c>
      <c r="Q230" s="49" t="str">
        <f>TEXT(Table1[[#This Row],[Closing Date]],"yyyy")</f>
        <v>2023</v>
      </c>
      <c r="R230" s="49" t="str">
        <f>TEXT(Table1[[#This Row],[Closing Date]],"mmmm")</f>
        <v>September</v>
      </c>
      <c r="S230" s="49" t="s">
        <v>368</v>
      </c>
      <c r="T230" s="49" t="s">
        <v>429</v>
      </c>
    </row>
    <row r="231" spans="1:20" x14ac:dyDescent="0.25">
      <c r="A231" t="s">
        <v>283</v>
      </c>
      <c r="B231" t="s">
        <v>431</v>
      </c>
      <c r="C231" t="s">
        <v>56</v>
      </c>
      <c r="D231" t="s">
        <v>38</v>
      </c>
      <c r="E231" s="49"/>
      <c r="F231" s="60">
        <v>45182</v>
      </c>
      <c r="G231" t="s">
        <v>203</v>
      </c>
      <c r="H231">
        <v>9000</v>
      </c>
      <c r="I231" s="49">
        <v>168554</v>
      </c>
      <c r="K231" s="115">
        <v>168489.31</v>
      </c>
      <c r="L231" s="49">
        <v>18.728222222222222</v>
      </c>
      <c r="M231" s="49">
        <v>18.721034444444445</v>
      </c>
      <c r="N231" s="49">
        <v>-64.690000000002328</v>
      </c>
      <c r="O231" s="47">
        <v>-3.8379391767616401E-4</v>
      </c>
      <c r="P231" s="72">
        <f t="shared" si="3"/>
        <v>11477.70233307036</v>
      </c>
      <c r="Q231" s="49" t="str">
        <f>TEXT(Table1[[#This Row],[Closing Date]],"yyyy")</f>
        <v>2023</v>
      </c>
      <c r="R231" s="49" t="str">
        <f>TEXT(Table1[[#This Row],[Closing Date]],"mmmm")</f>
        <v>September</v>
      </c>
      <c r="S231" s="49" t="s">
        <v>368</v>
      </c>
      <c r="T231" s="49" t="s">
        <v>429</v>
      </c>
    </row>
    <row r="232" spans="1:20" x14ac:dyDescent="0.25">
      <c r="A232" t="s">
        <v>283</v>
      </c>
      <c r="B232" t="s">
        <v>431</v>
      </c>
      <c r="C232" t="s">
        <v>56</v>
      </c>
      <c r="D232" t="s">
        <v>38</v>
      </c>
      <c r="E232" s="49"/>
      <c r="F232" s="60">
        <v>45182</v>
      </c>
      <c r="G232" t="s">
        <v>50</v>
      </c>
      <c r="H232">
        <v>600</v>
      </c>
      <c r="I232" s="49">
        <v>269924.49</v>
      </c>
      <c r="K232" s="115">
        <v>271076.99</v>
      </c>
      <c r="L232" s="49">
        <v>449.87414999999999</v>
      </c>
      <c r="M232" s="49">
        <v>451.79498333333333</v>
      </c>
      <c r="N232" s="49">
        <v>1152.5</v>
      </c>
      <c r="O232" s="47">
        <v>4.2697126148131615E-3</v>
      </c>
      <c r="P232" s="72">
        <f t="shared" si="3"/>
        <v>12630.20233307036</v>
      </c>
      <c r="Q232" s="49" t="str">
        <f>TEXT(Table1[[#This Row],[Closing Date]],"yyyy")</f>
        <v>2023</v>
      </c>
      <c r="R232" s="49" t="str">
        <f>TEXT(Table1[[#This Row],[Closing Date]],"mmmm")</f>
        <v>September</v>
      </c>
      <c r="S232" s="49" t="s">
        <v>368</v>
      </c>
      <c r="T232" s="49" t="s">
        <v>429</v>
      </c>
    </row>
    <row r="233" spans="1:20" x14ac:dyDescent="0.25">
      <c r="A233" t="s">
        <v>283</v>
      </c>
      <c r="B233" t="s">
        <v>431</v>
      </c>
      <c r="C233" t="s">
        <v>56</v>
      </c>
      <c r="D233" t="s">
        <v>38</v>
      </c>
      <c r="E233" s="49"/>
      <c r="F233" s="60">
        <v>45182</v>
      </c>
      <c r="G233" t="s">
        <v>204</v>
      </c>
      <c r="H233">
        <v>2250</v>
      </c>
      <c r="I233" s="49">
        <v>109256.05</v>
      </c>
      <c r="K233" s="115">
        <v>110908.04</v>
      </c>
      <c r="L233" s="49">
        <v>48.558244444444448</v>
      </c>
      <c r="M233" s="49">
        <v>49.29246222222222</v>
      </c>
      <c r="N233" s="49">
        <v>1651.9899999999907</v>
      </c>
      <c r="O233" s="47">
        <v>1.5120352602899218E-2</v>
      </c>
      <c r="P233" s="72">
        <f t="shared" si="3"/>
        <v>14282.19233307035</v>
      </c>
      <c r="Q233" s="49" t="str">
        <f>TEXT(Table1[[#This Row],[Closing Date]],"yyyy")</f>
        <v>2023</v>
      </c>
      <c r="R233" s="49" t="str">
        <f>TEXT(Table1[[#This Row],[Closing Date]],"mmmm")</f>
        <v>September</v>
      </c>
      <c r="S233" s="49" t="s">
        <v>368</v>
      </c>
      <c r="T233" s="49" t="s">
        <v>429</v>
      </c>
    </row>
    <row r="234" spans="1:20" x14ac:dyDescent="0.25">
      <c r="A234" t="s">
        <v>283</v>
      </c>
      <c r="B234" t="s">
        <v>433</v>
      </c>
      <c r="C234" t="s">
        <v>51</v>
      </c>
      <c r="D234" t="s">
        <v>38</v>
      </c>
      <c r="E234" s="49"/>
      <c r="F234" s="60">
        <v>45182</v>
      </c>
      <c r="G234" t="s">
        <v>135</v>
      </c>
      <c r="H234">
        <v>5</v>
      </c>
      <c r="I234" s="49">
        <v>342491.21</v>
      </c>
      <c r="K234" s="115">
        <v>338008.5</v>
      </c>
      <c r="L234" s="49">
        <v>1369.9648400000001</v>
      </c>
      <c r="M234" s="49">
        <v>1352.0340000000001</v>
      </c>
      <c r="N234" s="49">
        <v>-4482.710000000021</v>
      </c>
      <c r="O234" s="47">
        <v>-1.3100000000000001E-2</v>
      </c>
      <c r="P234" s="72">
        <f t="shared" si="3"/>
        <v>9799.4823330703293</v>
      </c>
      <c r="Q234" s="49" t="str">
        <f>TEXT(Table1[[#This Row],[Closing Date]],"yyyy")</f>
        <v>2023</v>
      </c>
      <c r="R234" s="49" t="str">
        <f>TEXT(Table1[[#This Row],[Closing Date]],"mmmm")</f>
        <v>September</v>
      </c>
      <c r="S234" s="49" t="s">
        <v>368</v>
      </c>
      <c r="T234" s="49" t="s">
        <v>429</v>
      </c>
    </row>
    <row r="235" spans="1:20" x14ac:dyDescent="0.25">
      <c r="A235" t="s">
        <v>283</v>
      </c>
      <c r="B235" t="s">
        <v>431</v>
      </c>
      <c r="C235" t="s">
        <v>56</v>
      </c>
      <c r="D235" t="s">
        <v>38</v>
      </c>
      <c r="E235" s="49"/>
      <c r="F235" s="60">
        <v>45183</v>
      </c>
      <c r="G235" t="s">
        <v>205</v>
      </c>
      <c r="H235">
        <v>15000</v>
      </c>
      <c r="I235" s="49">
        <v>153075</v>
      </c>
      <c r="K235" s="115">
        <v>152651.6</v>
      </c>
      <c r="L235" s="49">
        <v>10.205</v>
      </c>
      <c r="M235" s="49">
        <v>10.176773333333333</v>
      </c>
      <c r="N235" s="49">
        <v>-423.39999999999418</v>
      </c>
      <c r="O235" s="47">
        <v>-2.7659643965376622E-3</v>
      </c>
      <c r="P235" s="72">
        <f t="shared" si="3"/>
        <v>9376.0823330703352</v>
      </c>
      <c r="Q235" s="49" t="str">
        <f>TEXT(Table1[[#This Row],[Closing Date]],"yyyy")</f>
        <v>2023</v>
      </c>
      <c r="R235" s="49" t="str">
        <f>TEXT(Table1[[#This Row],[Closing Date]],"mmmm")</f>
        <v>September</v>
      </c>
      <c r="S235" s="49" t="s">
        <v>368</v>
      </c>
      <c r="T235" s="49" t="s">
        <v>429</v>
      </c>
    </row>
    <row r="236" spans="1:20" x14ac:dyDescent="0.25">
      <c r="A236" t="s">
        <v>283</v>
      </c>
      <c r="B236" t="s">
        <v>431</v>
      </c>
      <c r="C236" t="s">
        <v>56</v>
      </c>
      <c r="D236" t="s">
        <v>38</v>
      </c>
      <c r="E236" s="49"/>
      <c r="F236" s="60">
        <v>45183</v>
      </c>
      <c r="G236" t="s">
        <v>201</v>
      </c>
      <c r="H236">
        <v>1800</v>
      </c>
      <c r="I236" s="49">
        <v>124210</v>
      </c>
      <c r="K236" s="115">
        <v>125310.82</v>
      </c>
      <c r="L236" s="49">
        <v>69.00555555555556</v>
      </c>
      <c r="M236" s="49">
        <v>69.617122222222221</v>
      </c>
      <c r="N236" s="49">
        <v>1100.820000000007</v>
      </c>
      <c r="O236" s="47">
        <v>8.8625714515738682E-3</v>
      </c>
      <c r="P236" s="72">
        <f t="shared" si="3"/>
        <v>10476.902333070342</v>
      </c>
      <c r="Q236" s="49" t="str">
        <f>TEXT(Table1[[#This Row],[Closing Date]],"yyyy")</f>
        <v>2023</v>
      </c>
      <c r="R236" s="49" t="str">
        <f>TEXT(Table1[[#This Row],[Closing Date]],"mmmm")</f>
        <v>September</v>
      </c>
      <c r="S236" s="49" t="s">
        <v>368</v>
      </c>
      <c r="T236" s="49" t="s">
        <v>429</v>
      </c>
    </row>
    <row r="237" spans="1:20" x14ac:dyDescent="0.25">
      <c r="A237" t="s">
        <v>283</v>
      </c>
      <c r="B237" t="s">
        <v>433</v>
      </c>
      <c r="C237" t="s">
        <v>56</v>
      </c>
      <c r="D237" t="s">
        <v>38</v>
      </c>
      <c r="E237" s="49"/>
      <c r="F237" s="60">
        <v>45183</v>
      </c>
      <c r="G237" t="s">
        <v>269</v>
      </c>
      <c r="H237">
        <v>15000</v>
      </c>
      <c r="I237" s="49">
        <v>233513.49</v>
      </c>
      <c r="K237" s="115">
        <v>227548.18</v>
      </c>
      <c r="L237" s="49">
        <v>15.567565999999999</v>
      </c>
      <c r="M237" s="49">
        <v>15.169878666666666</v>
      </c>
      <c r="N237" s="49">
        <v>-5965.3099999999977</v>
      </c>
      <c r="O237" s="47">
        <v>-2.5545890303810704E-2</v>
      </c>
      <c r="P237" s="72">
        <f t="shared" si="3"/>
        <v>4511.5923330703445</v>
      </c>
      <c r="Q237" s="49" t="str">
        <f>TEXT(Table1[[#This Row],[Closing Date]],"yyyy")</f>
        <v>2023</v>
      </c>
      <c r="R237" s="49" t="str">
        <f>TEXT(Table1[[#This Row],[Closing Date]],"mmmm")</f>
        <v>September</v>
      </c>
      <c r="S237" s="49" t="s">
        <v>368</v>
      </c>
      <c r="T237" s="49" t="s">
        <v>285</v>
      </c>
    </row>
    <row r="238" spans="1:20" x14ac:dyDescent="0.25">
      <c r="A238" t="s">
        <v>283</v>
      </c>
      <c r="B238" t="s">
        <v>431</v>
      </c>
      <c r="C238" t="s">
        <v>56</v>
      </c>
      <c r="D238" t="s">
        <v>38</v>
      </c>
      <c r="E238" s="49"/>
      <c r="F238" s="60">
        <v>45183</v>
      </c>
      <c r="G238" t="s">
        <v>271</v>
      </c>
      <c r="H238">
        <v>6500</v>
      </c>
      <c r="I238" s="49">
        <v>103951.65</v>
      </c>
      <c r="K238" s="115">
        <v>103696.47</v>
      </c>
      <c r="L238" s="49">
        <v>15.992561538461537</v>
      </c>
      <c r="M238" s="49">
        <v>15.953303076923078</v>
      </c>
      <c r="N238" s="49">
        <v>-255.17999999999302</v>
      </c>
      <c r="O238" s="47">
        <v>-2.454795089832562E-3</v>
      </c>
      <c r="P238" s="72">
        <f t="shared" si="3"/>
        <v>4256.4123330703515</v>
      </c>
      <c r="Q238" s="49" t="str">
        <f>TEXT(Table1[[#This Row],[Closing Date]],"yyyy")</f>
        <v>2023</v>
      </c>
      <c r="R238" s="49" t="str">
        <f>TEXT(Table1[[#This Row],[Closing Date]],"mmmm")</f>
        <v>September</v>
      </c>
      <c r="S238" s="49" t="s">
        <v>368</v>
      </c>
      <c r="T238" s="49" t="s">
        <v>285</v>
      </c>
    </row>
    <row r="239" spans="1:20" x14ac:dyDescent="0.25">
      <c r="A239" t="s">
        <v>283</v>
      </c>
      <c r="B239" t="s">
        <v>431</v>
      </c>
      <c r="C239" t="s">
        <v>56</v>
      </c>
      <c r="D239" t="s">
        <v>38</v>
      </c>
      <c r="E239" s="49"/>
      <c r="F239" s="60">
        <v>45188</v>
      </c>
      <c r="G239" t="s">
        <v>208</v>
      </c>
      <c r="H239">
        <v>2640</v>
      </c>
      <c r="I239" s="49">
        <v>115569.57</v>
      </c>
      <c r="K239" s="115">
        <v>109536.17</v>
      </c>
      <c r="L239" s="49">
        <v>43.776352272727273</v>
      </c>
      <c r="M239" s="49">
        <v>41.490973484848482</v>
      </c>
      <c r="N239" s="49">
        <v>-6033.4000000000087</v>
      </c>
      <c r="O239" s="47">
        <v>-5.2205783927378194E-2</v>
      </c>
      <c r="P239" s="72">
        <f t="shared" si="3"/>
        <v>-1776.9876669296573</v>
      </c>
      <c r="Q239" s="49" t="str">
        <f>TEXT(Table1[[#This Row],[Closing Date]],"yyyy")</f>
        <v>2023</v>
      </c>
      <c r="R239" s="49" t="str">
        <f>TEXT(Table1[[#This Row],[Closing Date]],"mmmm")</f>
        <v>September</v>
      </c>
      <c r="S239" s="49" t="s">
        <v>368</v>
      </c>
      <c r="T239" s="49" t="s">
        <v>429</v>
      </c>
    </row>
    <row r="240" spans="1:20" x14ac:dyDescent="0.25">
      <c r="A240" t="s">
        <v>283</v>
      </c>
      <c r="B240" t="s">
        <v>431</v>
      </c>
      <c r="C240" t="s">
        <v>56</v>
      </c>
      <c r="D240" t="s">
        <v>36</v>
      </c>
      <c r="E240" s="49"/>
      <c r="F240" s="60">
        <v>45188</v>
      </c>
      <c r="G240" t="s">
        <v>206</v>
      </c>
      <c r="H240">
        <v>2000</v>
      </c>
      <c r="I240" s="49">
        <v>108013.45</v>
      </c>
      <c r="K240" s="115">
        <v>99610</v>
      </c>
      <c r="L240" s="49">
        <v>54.006724999999996</v>
      </c>
      <c r="M240" s="49">
        <v>49.805</v>
      </c>
      <c r="N240" s="49">
        <v>8403.4499999999971</v>
      </c>
      <c r="O240" s="47">
        <v>-7.7800033236601493E-2</v>
      </c>
      <c r="P240" s="72">
        <f t="shared" si="3"/>
        <v>6626.4623330703398</v>
      </c>
      <c r="Q240" s="49" t="str">
        <f>TEXT(Table1[[#This Row],[Closing Date]],"yyyy")</f>
        <v>2023</v>
      </c>
      <c r="R240" s="49" t="str">
        <f>TEXT(Table1[[#This Row],[Closing Date]],"mmmm")</f>
        <v>September</v>
      </c>
      <c r="S240" s="49" t="s">
        <v>368</v>
      </c>
      <c r="T240" s="49" t="s">
        <v>429</v>
      </c>
    </row>
    <row r="241" spans="1:20" x14ac:dyDescent="0.25">
      <c r="A241" t="s">
        <v>283</v>
      </c>
      <c r="B241" t="s">
        <v>431</v>
      </c>
      <c r="C241" t="s">
        <v>56</v>
      </c>
      <c r="D241" t="s">
        <v>38</v>
      </c>
      <c r="E241" s="49"/>
      <c r="F241" s="60">
        <v>45189</v>
      </c>
      <c r="G241" t="s">
        <v>207</v>
      </c>
      <c r="H241">
        <v>2300</v>
      </c>
      <c r="I241" s="49">
        <v>111550</v>
      </c>
      <c r="K241" s="115">
        <v>106411.72</v>
      </c>
      <c r="L241" s="49">
        <v>48.5</v>
      </c>
      <c r="M241" s="49">
        <v>46.265965217391305</v>
      </c>
      <c r="N241" s="49">
        <v>-5138.2799999999988</v>
      </c>
      <c r="O241" s="47">
        <v>-4.606257283729269E-2</v>
      </c>
      <c r="P241" s="72">
        <f t="shared" si="3"/>
        <v>1488.182333070341</v>
      </c>
      <c r="Q241" s="49" t="str">
        <f>TEXT(Table1[[#This Row],[Closing Date]],"yyyy")</f>
        <v>2023</v>
      </c>
      <c r="R241" s="49" t="str">
        <f>TEXT(Table1[[#This Row],[Closing Date]],"mmmm")</f>
        <v>September</v>
      </c>
      <c r="S241" s="49" t="s">
        <v>368</v>
      </c>
      <c r="T241" s="49" t="s">
        <v>429</v>
      </c>
    </row>
    <row r="242" spans="1:20" x14ac:dyDescent="0.25">
      <c r="A242" t="s">
        <v>283</v>
      </c>
      <c r="B242" t="s">
        <v>431</v>
      </c>
      <c r="C242" t="s">
        <v>56</v>
      </c>
      <c r="D242" t="s">
        <v>38</v>
      </c>
      <c r="E242" s="49"/>
      <c r="F242" s="60">
        <v>45189</v>
      </c>
      <c r="G242" t="s">
        <v>210</v>
      </c>
      <c r="H242">
        <v>6750</v>
      </c>
      <c r="I242" s="49">
        <v>135000</v>
      </c>
      <c r="K242" s="115">
        <v>132370.07</v>
      </c>
      <c r="L242" s="49">
        <v>20</v>
      </c>
      <c r="M242" s="49">
        <v>19.610380740740741</v>
      </c>
      <c r="N242" s="49">
        <v>-2629.929999999993</v>
      </c>
      <c r="O242" s="47">
        <v>-1.9480962962962912E-2</v>
      </c>
      <c r="P242" s="72">
        <f t="shared" si="3"/>
        <v>-1141.747666929652</v>
      </c>
      <c r="Q242" s="49" t="str">
        <f>TEXT(Table1[[#This Row],[Closing Date]],"yyyy")</f>
        <v>2023</v>
      </c>
      <c r="R242" s="49" t="str">
        <f>TEXT(Table1[[#This Row],[Closing Date]],"mmmm")</f>
        <v>September</v>
      </c>
      <c r="S242" s="49" t="s">
        <v>368</v>
      </c>
      <c r="T242" s="49" t="s">
        <v>429</v>
      </c>
    </row>
    <row r="243" spans="1:20" x14ac:dyDescent="0.25">
      <c r="A243" t="s">
        <v>283</v>
      </c>
      <c r="B243" t="s">
        <v>431</v>
      </c>
      <c r="C243" t="s">
        <v>51</v>
      </c>
      <c r="D243" t="s">
        <v>38</v>
      </c>
      <c r="E243" s="49"/>
      <c r="F243" s="60">
        <v>45189</v>
      </c>
      <c r="G243" t="s">
        <v>88</v>
      </c>
      <c r="H243">
        <v>4</v>
      </c>
      <c r="I243" s="49">
        <v>658062.07999999996</v>
      </c>
      <c r="K243" s="115">
        <v>657087.92000000004</v>
      </c>
      <c r="L243" s="49">
        <v>32903.103999999999</v>
      </c>
      <c r="M243" s="49">
        <v>32854.396000000001</v>
      </c>
      <c r="N243" s="49">
        <v>-974.15999999991618</v>
      </c>
      <c r="O243" s="47">
        <v>-1.4803466566557311E-3</v>
      </c>
      <c r="P243" s="72">
        <f t="shared" si="3"/>
        <v>-2115.9076669295682</v>
      </c>
      <c r="Q243" s="49" t="str">
        <f>TEXT(Table1[[#This Row],[Closing Date]],"yyyy")</f>
        <v>2023</v>
      </c>
      <c r="R243" s="49" t="str">
        <f>TEXT(Table1[[#This Row],[Closing Date]],"mmmm")</f>
        <v>September</v>
      </c>
      <c r="S243" s="49" t="s">
        <v>368</v>
      </c>
      <c r="T243" s="49" t="s">
        <v>429</v>
      </c>
    </row>
    <row r="244" spans="1:20" x14ac:dyDescent="0.25">
      <c r="A244" t="s">
        <v>283</v>
      </c>
      <c r="B244" t="s">
        <v>433</v>
      </c>
      <c r="C244" t="s">
        <v>35</v>
      </c>
      <c r="D244" t="s">
        <v>36</v>
      </c>
      <c r="E244" s="49"/>
      <c r="F244" s="60">
        <v>45189</v>
      </c>
      <c r="G244" t="s">
        <v>187</v>
      </c>
      <c r="H244">
        <v>1950000</v>
      </c>
      <c r="I244" s="49">
        <v>1906018.4799999997</v>
      </c>
      <c r="K244" s="115">
        <v>1873328.23</v>
      </c>
      <c r="L244" s="49">
        <v>0.97744537435897427</v>
      </c>
      <c r="M244" s="49">
        <v>0.96068114358974355</v>
      </c>
      <c r="N244" s="49">
        <v>36367.903124999742</v>
      </c>
      <c r="O244" s="47">
        <v>1.9413524305348102E-2</v>
      </c>
      <c r="P244" s="72">
        <f t="shared" si="3"/>
        <v>34251.995458070174</v>
      </c>
      <c r="Q244" s="49" t="str">
        <f>TEXT(Table1[[#This Row],[Closing Date]],"yyyy")</f>
        <v>2023</v>
      </c>
      <c r="R244" s="49" t="str">
        <f>TEXT(Table1[[#This Row],[Closing Date]],"mmmm")</f>
        <v>September</v>
      </c>
      <c r="S244" s="49" t="s">
        <v>368</v>
      </c>
      <c r="T244" s="49" t="s">
        <v>429</v>
      </c>
    </row>
    <row r="245" spans="1:20" x14ac:dyDescent="0.25">
      <c r="A245" t="s">
        <v>335</v>
      </c>
      <c r="B245" t="s">
        <v>432</v>
      </c>
      <c r="C245" t="s">
        <v>51</v>
      </c>
      <c r="D245" t="s">
        <v>38</v>
      </c>
      <c r="E245" s="49"/>
      <c r="F245" s="60">
        <v>45189</v>
      </c>
      <c r="G245" t="s">
        <v>130</v>
      </c>
      <c r="H245">
        <v>7</v>
      </c>
      <c r="I245" s="49">
        <v>1568463.9</v>
      </c>
      <c r="K245" s="115">
        <v>1565761.1</v>
      </c>
      <c r="L245" s="49">
        <v>4481.3254285714283</v>
      </c>
      <c r="M245" s="49">
        <v>4473.6031428571432</v>
      </c>
      <c r="N245" s="49">
        <v>-2746.7999999998137</v>
      </c>
      <c r="O245" s="47">
        <v>-1.7232146688232973E-3</v>
      </c>
      <c r="P245" s="72">
        <f t="shared" si="3"/>
        <v>31505.19545807036</v>
      </c>
      <c r="Q245" s="49" t="str">
        <f>TEXT(Table1[[#This Row],[Closing Date]],"yyyy")</f>
        <v>2023</v>
      </c>
      <c r="R245" s="49" t="str">
        <f>TEXT(Table1[[#This Row],[Closing Date]],"mmmm")</f>
        <v>September</v>
      </c>
      <c r="S245" s="49" t="s">
        <v>368</v>
      </c>
      <c r="T245" s="49" t="s">
        <v>429</v>
      </c>
    </row>
    <row r="246" spans="1:20" x14ac:dyDescent="0.25">
      <c r="A246" t="s">
        <v>283</v>
      </c>
      <c r="B246" t="s">
        <v>431</v>
      </c>
      <c r="C246" t="s">
        <v>56</v>
      </c>
      <c r="D246" t="s">
        <v>38</v>
      </c>
      <c r="E246" s="49"/>
      <c r="F246" s="60">
        <v>45190</v>
      </c>
      <c r="G246" t="s">
        <v>79</v>
      </c>
      <c r="H246">
        <v>350</v>
      </c>
      <c r="I246" s="49">
        <v>96951.75</v>
      </c>
      <c r="K246" s="115">
        <v>91263</v>
      </c>
      <c r="L246" s="49">
        <v>277.005</v>
      </c>
      <c r="M246" s="49">
        <v>260.75142857142856</v>
      </c>
      <c r="N246" s="49">
        <v>-5688.75</v>
      </c>
      <c r="O246" s="47">
        <v>5.8676094036466613E-2</v>
      </c>
      <c r="P246" s="72">
        <f t="shared" si="3"/>
        <v>25816.44545807036</v>
      </c>
      <c r="Q246" s="49" t="str">
        <f>TEXT(Table1[[#This Row],[Closing Date]],"yyyy")</f>
        <v>2023</v>
      </c>
      <c r="R246" s="49" t="str">
        <f>TEXT(Table1[[#This Row],[Closing Date]],"mmmm")</f>
        <v>September</v>
      </c>
      <c r="S246" s="49" t="s">
        <v>368</v>
      </c>
      <c r="T246" s="49" t="s">
        <v>429</v>
      </c>
    </row>
    <row r="247" spans="1:20" x14ac:dyDescent="0.25">
      <c r="A247" t="s">
        <v>283</v>
      </c>
      <c r="B247" t="s">
        <v>431</v>
      </c>
      <c r="C247" t="s">
        <v>35</v>
      </c>
      <c r="D247" t="s">
        <v>38</v>
      </c>
      <c r="E247" s="49"/>
      <c r="F247" s="60">
        <v>45190</v>
      </c>
      <c r="G247" t="s">
        <v>177</v>
      </c>
      <c r="H247">
        <v>1250000</v>
      </c>
      <c r="I247" s="49">
        <v>721264.47</v>
      </c>
      <c r="K247" s="115">
        <v>724232.91</v>
      </c>
      <c r="L247" s="49">
        <v>0.57701157599999997</v>
      </c>
      <c r="M247" s="49">
        <v>0.57938632800000001</v>
      </c>
      <c r="N247" s="49">
        <v>3295</v>
      </c>
      <c r="O247" s="47">
        <v>2.6359999999999999E-3</v>
      </c>
      <c r="P247" s="72">
        <f t="shared" si="3"/>
        <v>29111.44545807036</v>
      </c>
      <c r="Q247" s="49" t="str">
        <f>TEXT(Table1[[#This Row],[Closing Date]],"yyyy")</f>
        <v>2023</v>
      </c>
      <c r="R247" s="49" t="str">
        <f>TEXT(Table1[[#This Row],[Closing Date]],"mmmm")</f>
        <v>September</v>
      </c>
      <c r="S247" s="49" t="s">
        <v>368</v>
      </c>
      <c r="T247" s="49" t="s">
        <v>429</v>
      </c>
    </row>
    <row r="248" spans="1:20" x14ac:dyDescent="0.25">
      <c r="A248" t="s">
        <v>283</v>
      </c>
      <c r="B248" t="s">
        <v>431</v>
      </c>
      <c r="C248" t="s">
        <v>56</v>
      </c>
      <c r="D248" t="s">
        <v>36</v>
      </c>
      <c r="E248" s="49"/>
      <c r="F248" s="60">
        <v>45194</v>
      </c>
      <c r="G248" t="s">
        <v>211</v>
      </c>
      <c r="H248">
        <v>4000</v>
      </c>
      <c r="I248" s="49">
        <v>159778.14000000001</v>
      </c>
      <c r="K248" s="115">
        <v>158397.24</v>
      </c>
      <c r="L248" s="49">
        <v>39.944535000000002</v>
      </c>
      <c r="M248" s="49">
        <v>39.599309999999996</v>
      </c>
      <c r="N248" s="49">
        <v>1380.9000000000233</v>
      </c>
      <c r="O248" s="47">
        <v>8.6426090577848957E-3</v>
      </c>
      <c r="P248" s="72">
        <f t="shared" si="3"/>
        <v>30492.345458070384</v>
      </c>
      <c r="Q248" s="49" t="str">
        <f>TEXT(Table1[[#This Row],[Closing Date]],"yyyy")</f>
        <v>2023</v>
      </c>
      <c r="R248" s="49" t="str">
        <f>TEXT(Table1[[#This Row],[Closing Date]],"mmmm")</f>
        <v>September</v>
      </c>
      <c r="S248" s="49" t="s">
        <v>368</v>
      </c>
      <c r="T248" s="49" t="s">
        <v>429</v>
      </c>
    </row>
    <row r="249" spans="1:20" x14ac:dyDescent="0.25">
      <c r="A249" t="s">
        <v>283</v>
      </c>
      <c r="B249" t="s">
        <v>431</v>
      </c>
      <c r="C249" t="s">
        <v>56</v>
      </c>
      <c r="D249" t="s">
        <v>38</v>
      </c>
      <c r="E249" s="49"/>
      <c r="F249" s="60">
        <v>45195</v>
      </c>
      <c r="G249" t="s">
        <v>209</v>
      </c>
      <c r="H249">
        <v>2250</v>
      </c>
      <c r="I249" s="49">
        <v>239069.64</v>
      </c>
      <c r="K249" s="115">
        <v>239799.25</v>
      </c>
      <c r="L249" s="49">
        <v>106.25317333333334</v>
      </c>
      <c r="M249" s="49">
        <v>106.57744444444444</v>
      </c>
      <c r="N249" s="49">
        <v>729.60999999998603</v>
      </c>
      <c r="O249" s="47">
        <v>3.0518722494415418E-3</v>
      </c>
      <c r="P249" s="72">
        <f t="shared" si="3"/>
        <v>31221.95545807037</v>
      </c>
      <c r="Q249" s="49" t="str">
        <f>TEXT(Table1[[#This Row],[Closing Date]],"yyyy")</f>
        <v>2023</v>
      </c>
      <c r="R249" s="49" t="str">
        <f>TEXT(Table1[[#This Row],[Closing Date]],"mmmm")</f>
        <v>September</v>
      </c>
      <c r="S249" s="49" t="s">
        <v>368</v>
      </c>
      <c r="T249" s="49" t="s">
        <v>429</v>
      </c>
    </row>
    <row r="250" spans="1:20" x14ac:dyDescent="0.25">
      <c r="A250" t="s">
        <v>283</v>
      </c>
      <c r="B250" t="s">
        <v>434</v>
      </c>
      <c r="C250" t="s">
        <v>51</v>
      </c>
      <c r="D250" t="s">
        <v>38</v>
      </c>
      <c r="E250" s="49"/>
      <c r="F250" s="60">
        <v>45196</v>
      </c>
      <c r="G250" t="s">
        <v>134</v>
      </c>
      <c r="H250">
        <v>260</v>
      </c>
      <c r="I250" s="49">
        <v>1087099</v>
      </c>
      <c r="K250" s="115">
        <v>1170255</v>
      </c>
      <c r="L250" s="49">
        <v>4.1811499999999997</v>
      </c>
      <c r="M250" s="49">
        <v>4.50098076923077</v>
      </c>
      <c r="N250" s="49">
        <v>83156</v>
      </c>
      <c r="O250" s="47">
        <v>7.6493493232907037E-2</v>
      </c>
      <c r="P250" s="72">
        <f t="shared" si="3"/>
        <v>114377.95545807037</v>
      </c>
      <c r="Q250" s="49" t="str">
        <f>TEXT(Table1[[#This Row],[Closing Date]],"yyyy")</f>
        <v>2023</v>
      </c>
      <c r="R250" s="49" t="str">
        <f>TEXT(Table1[[#This Row],[Closing Date]],"mmmm")</f>
        <v>September</v>
      </c>
      <c r="S250" s="49" t="s">
        <v>368</v>
      </c>
      <c r="T250" s="49" t="s">
        <v>429</v>
      </c>
    </row>
    <row r="251" spans="1:20" x14ac:dyDescent="0.25">
      <c r="A251" t="s">
        <v>283</v>
      </c>
      <c r="B251" t="s">
        <v>431</v>
      </c>
      <c r="C251" t="s">
        <v>56</v>
      </c>
      <c r="D251" t="s">
        <v>36</v>
      </c>
      <c r="E251" s="49"/>
      <c r="F251" s="60">
        <v>45197</v>
      </c>
      <c r="G251" t="s">
        <v>119</v>
      </c>
      <c r="H251">
        <v>295</v>
      </c>
      <c r="I251" s="49">
        <v>78998.850000000006</v>
      </c>
      <c r="K251" s="115">
        <v>79551.570000000007</v>
      </c>
      <c r="L251" s="49">
        <v>267.79271186440678</v>
      </c>
      <c r="M251" s="49">
        <v>269.66633898305088</v>
      </c>
      <c r="N251" s="49">
        <v>-552.72000000000116</v>
      </c>
      <c r="O251" s="47">
        <v>6.9965575448251195E-3</v>
      </c>
      <c r="P251" s="72">
        <f t="shared" si="3"/>
        <v>113825.23545807037</v>
      </c>
      <c r="Q251" s="49" t="str">
        <f>TEXT(Table1[[#This Row],[Closing Date]],"yyyy")</f>
        <v>2023</v>
      </c>
      <c r="R251" s="49" t="str">
        <f>TEXT(Table1[[#This Row],[Closing Date]],"mmmm")</f>
        <v>September</v>
      </c>
      <c r="S251" s="49" t="s">
        <v>368</v>
      </c>
      <c r="T251" s="49" t="s">
        <v>429</v>
      </c>
    </row>
    <row r="252" spans="1:20" x14ac:dyDescent="0.25">
      <c r="A252" t="s">
        <v>283</v>
      </c>
      <c r="B252" t="s">
        <v>434</v>
      </c>
      <c r="C252" t="s">
        <v>51</v>
      </c>
      <c r="D252" t="s">
        <v>38</v>
      </c>
      <c r="E252" s="49"/>
      <c r="F252" s="60">
        <v>45197</v>
      </c>
      <c r="G252" t="s">
        <v>136</v>
      </c>
      <c r="H252">
        <v>6</v>
      </c>
      <c r="I252" s="49">
        <v>183272.22</v>
      </c>
      <c r="K252" s="115">
        <v>174921.60000000001</v>
      </c>
      <c r="L252" s="49">
        <v>27.272651785714285</v>
      </c>
      <c r="M252" s="49">
        <v>26.03</v>
      </c>
      <c r="N252" s="49">
        <v>-8350.6199999999953</v>
      </c>
      <c r="O252" s="47">
        <v>-4.5564024924235627E-2</v>
      </c>
      <c r="P252" s="72">
        <f t="shared" si="3"/>
        <v>105474.61545807037</v>
      </c>
      <c r="Q252" s="49" t="str">
        <f>TEXT(Table1[[#This Row],[Closing Date]],"yyyy")</f>
        <v>2023</v>
      </c>
      <c r="R252" s="49" t="str">
        <f>TEXT(Table1[[#This Row],[Closing Date]],"mmmm")</f>
        <v>September</v>
      </c>
      <c r="S252" s="49" t="s">
        <v>368</v>
      </c>
      <c r="T252" s="49" t="s">
        <v>429</v>
      </c>
    </row>
    <row r="253" spans="1:20" x14ac:dyDescent="0.25">
      <c r="A253" t="s">
        <v>283</v>
      </c>
      <c r="B253" t="s">
        <v>431</v>
      </c>
      <c r="C253" t="s">
        <v>35</v>
      </c>
      <c r="D253" t="s">
        <v>36</v>
      </c>
      <c r="E253" s="49"/>
      <c r="F253" s="60">
        <v>45198</v>
      </c>
      <c r="G253" t="s">
        <v>178</v>
      </c>
      <c r="H253">
        <v>1500000</v>
      </c>
      <c r="I253" s="49">
        <v>2136802.31</v>
      </c>
      <c r="K253" s="115">
        <v>2149078.14</v>
      </c>
      <c r="L253" s="49">
        <v>1.4245348733333334</v>
      </c>
      <c r="M253" s="49">
        <v>1.43271876</v>
      </c>
      <c r="N253" s="49">
        <v>-9044.8315440000551</v>
      </c>
      <c r="O253" s="47">
        <v>-6.0298876960000365E-3</v>
      </c>
      <c r="P253" s="72">
        <f t="shared" si="3"/>
        <v>96429.783914070314</v>
      </c>
      <c r="Q253" s="49" t="str">
        <f>TEXT(Table1[[#This Row],[Closing Date]],"yyyy")</f>
        <v>2023</v>
      </c>
      <c r="R253" s="49" t="str">
        <f>TEXT(Table1[[#This Row],[Closing Date]],"mmmm")</f>
        <v>September</v>
      </c>
      <c r="S253" s="49" t="s">
        <v>368</v>
      </c>
      <c r="T253" s="49" t="s">
        <v>429</v>
      </c>
    </row>
    <row r="254" spans="1:20" x14ac:dyDescent="0.25">
      <c r="A254" t="s">
        <v>283</v>
      </c>
      <c r="B254" t="s">
        <v>431</v>
      </c>
      <c r="C254" t="s">
        <v>56</v>
      </c>
      <c r="D254" t="s">
        <v>38</v>
      </c>
      <c r="E254" s="49"/>
      <c r="F254" s="60">
        <v>45198</v>
      </c>
      <c r="G254" t="s">
        <v>50</v>
      </c>
      <c r="H254">
        <v>465</v>
      </c>
      <c r="I254" s="49">
        <v>195720.83</v>
      </c>
      <c r="K254" s="115">
        <v>202278.3</v>
      </c>
      <c r="L254" s="49">
        <v>420.90501075268816</v>
      </c>
      <c r="M254" s="49">
        <v>435.00709677419354</v>
      </c>
      <c r="N254" s="49">
        <v>6557.4700000000012</v>
      </c>
      <c r="O254" s="47">
        <v>3.3504200855882335E-2</v>
      </c>
      <c r="P254" s="72">
        <f t="shared" si="3"/>
        <v>102987.25391407032</v>
      </c>
      <c r="Q254" s="49" t="str">
        <f>TEXT(Table1[[#This Row],[Closing Date]],"yyyy")</f>
        <v>2023</v>
      </c>
      <c r="R254" s="49" t="str">
        <f>TEXT(Table1[[#This Row],[Closing Date]],"mmmm")</f>
        <v>September</v>
      </c>
      <c r="S254" s="49" t="s">
        <v>368</v>
      </c>
      <c r="T254" s="49" t="s">
        <v>429</v>
      </c>
    </row>
    <row r="255" spans="1:20" x14ac:dyDescent="0.25">
      <c r="A255" t="s">
        <v>283</v>
      </c>
      <c r="B255" t="s">
        <v>431</v>
      </c>
      <c r="C255" t="s">
        <v>56</v>
      </c>
      <c r="D255" t="s">
        <v>38</v>
      </c>
      <c r="E255" s="49"/>
      <c r="F255" s="60">
        <v>45198</v>
      </c>
      <c r="G255" t="s">
        <v>173</v>
      </c>
      <c r="H255">
        <v>6000</v>
      </c>
      <c r="I255" s="49">
        <v>119141.3</v>
      </c>
      <c r="K255" s="115">
        <v>134968.04999999999</v>
      </c>
      <c r="L255" s="49">
        <v>19.856883333333332</v>
      </c>
      <c r="M255" s="49">
        <v>22.494674999999997</v>
      </c>
      <c r="N255" s="49">
        <v>15826.749999999985</v>
      </c>
      <c r="O255" s="47">
        <v>0.13284016541702989</v>
      </c>
      <c r="P255" s="72">
        <f t="shared" si="3"/>
        <v>118814.0039140703</v>
      </c>
      <c r="Q255" s="49" t="str">
        <f>TEXT(Table1[[#This Row],[Closing Date]],"yyyy")</f>
        <v>2023</v>
      </c>
      <c r="R255" s="49" t="str">
        <f>TEXT(Table1[[#This Row],[Closing Date]],"mmmm")</f>
        <v>September</v>
      </c>
      <c r="S255" s="49" t="s">
        <v>368</v>
      </c>
      <c r="T255" s="49" t="s">
        <v>429</v>
      </c>
    </row>
    <row r="256" spans="1:20" x14ac:dyDescent="0.25">
      <c r="A256" t="s">
        <v>283</v>
      </c>
      <c r="B256" t="s">
        <v>431</v>
      </c>
      <c r="C256" t="s">
        <v>35</v>
      </c>
      <c r="D256" t="s">
        <v>38</v>
      </c>
      <c r="E256" s="49"/>
      <c r="F256" s="60">
        <v>45198</v>
      </c>
      <c r="G256" t="s">
        <v>106</v>
      </c>
      <c r="H256">
        <v>2000000</v>
      </c>
      <c r="I256" s="49">
        <v>1324126.57</v>
      </c>
      <c r="K256" s="115">
        <v>1345645.49</v>
      </c>
      <c r="L256" s="49">
        <v>0.662063285</v>
      </c>
      <c r="M256" s="49">
        <v>0.67282274499999994</v>
      </c>
      <c r="N256" s="49">
        <v>23502.533857579649</v>
      </c>
      <c r="O256" s="47">
        <v>1.1751266928789823E-2</v>
      </c>
      <c r="P256" s="72">
        <f t="shared" si="3"/>
        <v>142316.53777164995</v>
      </c>
      <c r="Q256" s="49" t="str">
        <f>TEXT(Table1[[#This Row],[Closing Date]],"yyyy")</f>
        <v>2023</v>
      </c>
      <c r="R256" s="49" t="str">
        <f>TEXT(Table1[[#This Row],[Closing Date]],"mmmm")</f>
        <v>September</v>
      </c>
      <c r="S256" s="49" t="s">
        <v>368</v>
      </c>
      <c r="T256" s="49" t="s">
        <v>429</v>
      </c>
    </row>
    <row r="257" spans="1:20" x14ac:dyDescent="0.25">
      <c r="A257" t="s">
        <v>276</v>
      </c>
      <c r="B257" t="s">
        <v>433</v>
      </c>
      <c r="C257" t="s">
        <v>152</v>
      </c>
      <c r="D257" t="s">
        <v>38</v>
      </c>
      <c r="E257" s="49"/>
      <c r="F257" s="60">
        <v>45198</v>
      </c>
      <c r="G257" t="s">
        <v>189</v>
      </c>
      <c r="H257">
        <v>110</v>
      </c>
      <c r="I257" s="49">
        <v>9875.91</v>
      </c>
      <c r="J257" s="106">
        <v>100</v>
      </c>
      <c r="K257" s="115">
        <v>2558.85</v>
      </c>
      <c r="L257" s="49">
        <v>0.89780999999999989</v>
      </c>
      <c r="M257" s="49">
        <v>0.23262272727272726</v>
      </c>
      <c r="N257" s="49">
        <v>-7317.0599999999995</v>
      </c>
      <c r="O257" s="47">
        <v>-0.74089982594009052</v>
      </c>
      <c r="P257" s="72">
        <f t="shared" si="3"/>
        <v>134999.47777164995</v>
      </c>
      <c r="Q257" s="49" t="str">
        <f>TEXT(Table1[[#This Row],[Closing Date]],"yyyy")</f>
        <v>2023</v>
      </c>
      <c r="R257" s="49" t="str">
        <f>TEXT(Table1[[#This Row],[Closing Date]],"mmmm")</f>
        <v>September</v>
      </c>
      <c r="S257" s="49" t="s">
        <v>368</v>
      </c>
      <c r="T257" s="49" t="s">
        <v>429</v>
      </c>
    </row>
    <row r="258" spans="1:20" x14ac:dyDescent="0.25">
      <c r="A258" t="s">
        <v>283</v>
      </c>
      <c r="B258" t="s">
        <v>434</v>
      </c>
      <c r="C258" t="s">
        <v>51</v>
      </c>
      <c r="D258" t="s">
        <v>36</v>
      </c>
      <c r="E258" s="49"/>
      <c r="F258" s="60">
        <v>45198</v>
      </c>
      <c r="G258" t="s">
        <v>138</v>
      </c>
      <c r="H258">
        <v>3</v>
      </c>
      <c r="I258" s="49">
        <v>891278.4</v>
      </c>
      <c r="K258" s="115">
        <v>894753.65</v>
      </c>
      <c r="L258" s="49">
        <v>14854.640000000001</v>
      </c>
      <c r="M258" s="49">
        <v>14912.560833333335</v>
      </c>
      <c r="N258" s="49">
        <v>-3475.25</v>
      </c>
      <c r="O258" s="47">
        <v>-3.8991744891382985E-3</v>
      </c>
      <c r="P258" s="72">
        <f t="shared" si="3"/>
        <v>131524.22777164995</v>
      </c>
      <c r="Q258" s="49" t="str">
        <f>TEXT(Table1[[#This Row],[Closing Date]],"yyyy")</f>
        <v>2023</v>
      </c>
      <c r="R258" s="49" t="str">
        <f>TEXT(Table1[[#This Row],[Closing Date]],"mmmm")</f>
        <v>September</v>
      </c>
      <c r="S258" s="49" t="s">
        <v>368</v>
      </c>
      <c r="T258" s="49" t="s">
        <v>429</v>
      </c>
    </row>
    <row r="259" spans="1:20" x14ac:dyDescent="0.25">
      <c r="A259" t="s">
        <v>283</v>
      </c>
      <c r="B259" t="s">
        <v>434</v>
      </c>
      <c r="C259" t="s">
        <v>51</v>
      </c>
      <c r="D259" t="s">
        <v>36</v>
      </c>
      <c r="E259" s="49"/>
      <c r="F259" s="60">
        <v>45198</v>
      </c>
      <c r="G259" t="s">
        <v>137</v>
      </c>
      <c r="H259">
        <v>9</v>
      </c>
      <c r="I259" s="49">
        <v>836910.02</v>
      </c>
      <c r="K259" s="115">
        <v>811519.79999999993</v>
      </c>
      <c r="L259" s="49">
        <v>1859.8000444444444</v>
      </c>
      <c r="M259" s="49">
        <v>1803.3773333333331</v>
      </c>
      <c r="N259" s="49">
        <v>25390.220000000088</v>
      </c>
      <c r="O259" s="47">
        <v>3.0338052351195518E-2</v>
      </c>
      <c r="P259" s="72">
        <f t="shared" ref="P259:P322" si="4">N259+P258</f>
        <v>156914.44777165004</v>
      </c>
      <c r="Q259" s="49" t="str">
        <f>TEXT(Table1[[#This Row],[Closing Date]],"yyyy")</f>
        <v>2023</v>
      </c>
      <c r="R259" s="49" t="str">
        <f>TEXT(Table1[[#This Row],[Closing Date]],"mmmm")</f>
        <v>September</v>
      </c>
      <c r="S259" s="49" t="s">
        <v>368</v>
      </c>
      <c r="T259" s="49" t="s">
        <v>429</v>
      </c>
    </row>
    <row r="260" spans="1:20" x14ac:dyDescent="0.25">
      <c r="A260" t="s">
        <v>283</v>
      </c>
      <c r="B260" t="s">
        <v>431</v>
      </c>
      <c r="C260" t="s">
        <v>56</v>
      </c>
      <c r="D260" t="s">
        <v>38</v>
      </c>
      <c r="E260" s="49"/>
      <c r="F260" s="60">
        <v>45199</v>
      </c>
      <c r="G260" t="s">
        <v>210</v>
      </c>
      <c r="H260">
        <v>5000</v>
      </c>
      <c r="I260" s="49">
        <v>93775</v>
      </c>
      <c r="K260" s="115">
        <v>95750</v>
      </c>
      <c r="L260" s="49">
        <v>18.754999999999999</v>
      </c>
      <c r="M260" s="49">
        <v>19.149999999999999</v>
      </c>
      <c r="N260" s="49">
        <v>1975</v>
      </c>
      <c r="O260" s="47">
        <v>2.1061050386563585E-2</v>
      </c>
      <c r="P260" s="72">
        <f t="shared" si="4"/>
        <v>158889.44777165004</v>
      </c>
      <c r="Q260" s="49" t="str">
        <f>TEXT(Table1[[#This Row],[Closing Date]],"yyyy")</f>
        <v>2023</v>
      </c>
      <c r="R260" s="49" t="str">
        <f>TEXT(Table1[[#This Row],[Closing Date]],"mmmm")</f>
        <v>September</v>
      </c>
      <c r="S260" s="49" t="s">
        <v>368</v>
      </c>
      <c r="T260" s="49" t="s">
        <v>429</v>
      </c>
    </row>
    <row r="261" spans="1:20" x14ac:dyDescent="0.25">
      <c r="A261" t="s">
        <v>283</v>
      </c>
      <c r="B261" t="s">
        <v>433</v>
      </c>
      <c r="C261" t="s">
        <v>51</v>
      </c>
      <c r="D261" t="s">
        <v>38</v>
      </c>
      <c r="E261" s="49"/>
      <c r="F261" s="60">
        <v>45200</v>
      </c>
      <c r="G261" t="s">
        <v>139</v>
      </c>
      <c r="H261">
        <v>3</v>
      </c>
      <c r="I261" s="49">
        <v>310235.90999999997</v>
      </c>
      <c r="K261" s="115">
        <v>301762.89</v>
      </c>
      <c r="L261" s="49">
        <v>2.4621897619047619</v>
      </c>
      <c r="M261" s="49">
        <v>2.3949435714285716</v>
      </c>
      <c r="N261" s="49">
        <v>-8473.0199999999604</v>
      </c>
      <c r="O261" s="47">
        <v>-2.7311538499846653E-2</v>
      </c>
      <c r="P261" s="72">
        <f t="shared" si="4"/>
        <v>150416.42777165008</v>
      </c>
      <c r="Q261" s="49" t="str">
        <f>TEXT(Table1[[#This Row],[Closing Date]],"yyyy")</f>
        <v>2023</v>
      </c>
      <c r="R261" s="49" t="str">
        <f>TEXT(Table1[[#This Row],[Closing Date]],"mmmm")</f>
        <v>October</v>
      </c>
      <c r="S261" s="49" t="s">
        <v>368</v>
      </c>
      <c r="T261" s="49" t="s">
        <v>429</v>
      </c>
    </row>
    <row r="262" spans="1:20" x14ac:dyDescent="0.25">
      <c r="A262" t="s">
        <v>283</v>
      </c>
      <c r="B262" t="s">
        <v>431</v>
      </c>
      <c r="C262" t="s">
        <v>35</v>
      </c>
      <c r="D262" t="s">
        <v>38</v>
      </c>
      <c r="E262" s="49"/>
      <c r="F262" s="60">
        <v>45201</v>
      </c>
      <c r="G262" t="s">
        <v>177</v>
      </c>
      <c r="H262">
        <v>1000000</v>
      </c>
      <c r="I262" s="49">
        <v>587400</v>
      </c>
      <c r="K262" s="115">
        <v>582788.31000000006</v>
      </c>
      <c r="L262" s="49">
        <v>0.58740000000000003</v>
      </c>
      <c r="M262" s="49">
        <v>0.58278831000000009</v>
      </c>
      <c r="N262" s="49">
        <v>-5402.8149999999996</v>
      </c>
      <c r="O262" s="47">
        <v>-5.4028149999999992E-3</v>
      </c>
      <c r="P262" s="72">
        <f t="shared" si="4"/>
        <v>145013.61277165008</v>
      </c>
      <c r="Q262" s="49" t="str">
        <f>TEXT(Table1[[#This Row],[Closing Date]],"yyyy")</f>
        <v>2023</v>
      </c>
      <c r="R262" s="49" t="str">
        <f>TEXT(Table1[[#This Row],[Closing Date]],"mmmm")</f>
        <v>October</v>
      </c>
      <c r="S262" s="49" t="s">
        <v>368</v>
      </c>
      <c r="T262" s="49" t="s">
        <v>429</v>
      </c>
    </row>
    <row r="263" spans="1:20" x14ac:dyDescent="0.25">
      <c r="A263" t="s">
        <v>283</v>
      </c>
      <c r="B263" t="s">
        <v>431</v>
      </c>
      <c r="C263" t="s">
        <v>35</v>
      </c>
      <c r="D263" t="s">
        <v>38</v>
      </c>
      <c r="E263" s="49"/>
      <c r="F263" s="60">
        <v>45201</v>
      </c>
      <c r="G263" t="s">
        <v>179</v>
      </c>
      <c r="H263">
        <v>335000</v>
      </c>
      <c r="I263" s="49">
        <v>129675727.47</v>
      </c>
      <c r="K263" s="115">
        <v>129641085.31999999</v>
      </c>
      <c r="L263" s="49">
        <v>387.09172379104479</v>
      </c>
      <c r="M263" s="49">
        <v>386.98831438805968</v>
      </c>
      <c r="N263" s="49">
        <v>-88</v>
      </c>
      <c r="O263" s="47">
        <v>-6.7879715587681877E-7</v>
      </c>
      <c r="P263" s="72">
        <f t="shared" si="4"/>
        <v>144925.61277165008</v>
      </c>
      <c r="Q263" s="49" t="str">
        <f>TEXT(Table1[[#This Row],[Closing Date]],"yyyy")</f>
        <v>2023</v>
      </c>
      <c r="R263" s="49" t="str">
        <f>TEXT(Table1[[#This Row],[Closing Date]],"mmmm")</f>
        <v>October</v>
      </c>
      <c r="S263" s="49" t="s">
        <v>368</v>
      </c>
      <c r="T263" s="49" t="s">
        <v>429</v>
      </c>
    </row>
    <row r="264" spans="1:20" x14ac:dyDescent="0.25">
      <c r="A264" t="s">
        <v>283</v>
      </c>
      <c r="B264" t="s">
        <v>431</v>
      </c>
      <c r="C264" t="s">
        <v>35</v>
      </c>
      <c r="D264" t="s">
        <v>38</v>
      </c>
      <c r="E264" s="49"/>
      <c r="F264" s="60">
        <v>45202</v>
      </c>
      <c r="G264" t="s">
        <v>175</v>
      </c>
      <c r="H264">
        <v>1200000</v>
      </c>
      <c r="I264" s="49">
        <v>132415154.62</v>
      </c>
      <c r="K264" s="115">
        <v>130760196.22</v>
      </c>
      <c r="L264" s="49">
        <v>110.34596218333334</v>
      </c>
      <c r="M264" s="49">
        <v>108.96683018333333</v>
      </c>
      <c r="N264" s="49">
        <v>-11107.103355704738</v>
      </c>
      <c r="O264" s="47">
        <v>-8.4942541207397543E-5</v>
      </c>
      <c r="P264" s="72">
        <f t="shared" si="4"/>
        <v>133818.50941594533</v>
      </c>
      <c r="Q264" s="49" t="str">
        <f>TEXT(Table1[[#This Row],[Closing Date]],"yyyy")</f>
        <v>2023</v>
      </c>
      <c r="R264" s="49" t="str">
        <f>TEXT(Table1[[#This Row],[Closing Date]],"mmmm")</f>
        <v>October</v>
      </c>
      <c r="S264" s="49" t="s">
        <v>368</v>
      </c>
      <c r="T264" s="49" t="s">
        <v>429</v>
      </c>
    </row>
    <row r="265" spans="1:20" x14ac:dyDescent="0.25">
      <c r="A265" t="s">
        <v>283</v>
      </c>
      <c r="B265" t="s">
        <v>431</v>
      </c>
      <c r="C265" t="s">
        <v>35</v>
      </c>
      <c r="D265" t="s">
        <v>38</v>
      </c>
      <c r="E265" s="49"/>
      <c r="F265" s="60">
        <v>45202</v>
      </c>
      <c r="G265" t="s">
        <v>184</v>
      </c>
      <c r="H265">
        <v>1000000</v>
      </c>
      <c r="I265" s="49">
        <v>599011.98</v>
      </c>
      <c r="K265" s="115">
        <v>589878.19999999995</v>
      </c>
      <c r="L265" s="49">
        <v>0.59901198</v>
      </c>
      <c r="M265" s="49">
        <v>0.58987819999999991</v>
      </c>
      <c r="N265" s="49">
        <v>-9133.7800000000279</v>
      </c>
      <c r="O265" s="47">
        <v>-9.1337800000000271E-3</v>
      </c>
      <c r="P265" s="72">
        <f t="shared" si="4"/>
        <v>124684.7294159453</v>
      </c>
      <c r="Q265" s="49" t="str">
        <f>TEXT(Table1[[#This Row],[Closing Date]],"yyyy")</f>
        <v>2023</v>
      </c>
      <c r="R265" s="49" t="str">
        <f>TEXT(Table1[[#This Row],[Closing Date]],"mmmm")</f>
        <v>October</v>
      </c>
      <c r="S265" s="49" t="s">
        <v>368</v>
      </c>
      <c r="T265" s="49" t="s">
        <v>429</v>
      </c>
    </row>
    <row r="266" spans="1:20" x14ac:dyDescent="0.25">
      <c r="A266" t="s">
        <v>283</v>
      </c>
      <c r="B266" t="s">
        <v>431</v>
      </c>
      <c r="C266" t="s">
        <v>35</v>
      </c>
      <c r="D266" t="s">
        <v>38</v>
      </c>
      <c r="E266" s="49"/>
      <c r="F266" s="60">
        <v>45202</v>
      </c>
      <c r="G266" t="s">
        <v>183</v>
      </c>
      <c r="H266">
        <v>1000000</v>
      </c>
      <c r="I266" s="49">
        <v>89501791.459999993</v>
      </c>
      <c r="K266" s="115">
        <v>88267242.370000005</v>
      </c>
      <c r="L266" s="49">
        <v>89.501791459999993</v>
      </c>
      <c r="M266" s="49">
        <v>88.267242370000005</v>
      </c>
      <c r="N266" s="49">
        <v>-8285.5643624160311</v>
      </c>
      <c r="O266" s="47">
        <v>-8.2855643624160299E-3</v>
      </c>
      <c r="P266" s="72">
        <f t="shared" si="4"/>
        <v>116399.16505352927</v>
      </c>
      <c r="Q266" s="49" t="str">
        <f>TEXT(Table1[[#This Row],[Closing Date]],"yyyy")</f>
        <v>2023</v>
      </c>
      <c r="R266" s="49" t="str">
        <f>TEXT(Table1[[#This Row],[Closing Date]],"mmmm")</f>
        <v>October</v>
      </c>
      <c r="S266" s="49" t="s">
        <v>368</v>
      </c>
      <c r="T266" s="49" t="s">
        <v>429</v>
      </c>
    </row>
    <row r="267" spans="1:20" x14ac:dyDescent="0.25">
      <c r="A267" t="s">
        <v>283</v>
      </c>
      <c r="B267" t="s">
        <v>434</v>
      </c>
      <c r="C267" t="s">
        <v>51</v>
      </c>
      <c r="D267" t="s">
        <v>38</v>
      </c>
      <c r="E267" s="49"/>
      <c r="F267" s="60">
        <v>45202</v>
      </c>
      <c r="G267" t="s">
        <v>136</v>
      </c>
      <c r="H267">
        <v>12</v>
      </c>
      <c r="I267" s="49">
        <v>357539.64</v>
      </c>
      <c r="K267" s="115">
        <v>348364.79999999999</v>
      </c>
      <c r="L267" s="49">
        <v>26.602651785714286</v>
      </c>
      <c r="M267" s="49">
        <v>25.919999999999998</v>
      </c>
      <c r="N267" s="49">
        <v>-9174.8400000000256</v>
      </c>
      <c r="O267" s="47">
        <v>-2.5661042786752332E-2</v>
      </c>
      <c r="P267" s="72">
        <f t="shared" si="4"/>
        <v>107224.32505352925</v>
      </c>
      <c r="Q267" s="49" t="str">
        <f>TEXT(Table1[[#This Row],[Closing Date]],"yyyy")</f>
        <v>2023</v>
      </c>
      <c r="R267" s="49" t="str">
        <f>TEXT(Table1[[#This Row],[Closing Date]],"mmmm")</f>
        <v>October</v>
      </c>
      <c r="S267" s="49" t="s">
        <v>368</v>
      </c>
      <c r="T267" s="49" t="s">
        <v>429</v>
      </c>
    </row>
    <row r="268" spans="1:20" x14ac:dyDescent="0.25">
      <c r="A268" t="s">
        <v>283</v>
      </c>
      <c r="B268" t="s">
        <v>433</v>
      </c>
      <c r="C268" t="s">
        <v>56</v>
      </c>
      <c r="D268" t="s">
        <v>38</v>
      </c>
      <c r="E268" s="49"/>
      <c r="F268" s="60">
        <v>45202</v>
      </c>
      <c r="G268" t="s">
        <v>274</v>
      </c>
      <c r="H268">
        <v>1500</v>
      </c>
      <c r="I268" s="49">
        <v>56800</v>
      </c>
      <c r="K268" s="115">
        <v>67870.210000000006</v>
      </c>
      <c r="L268" s="49">
        <v>37.866666666666667</v>
      </c>
      <c r="M268" s="49">
        <v>45.246806666666672</v>
      </c>
      <c r="N268" s="49">
        <v>11070.210000000006</v>
      </c>
      <c r="O268" s="47">
        <v>0.19489806338028182</v>
      </c>
      <c r="P268" s="72">
        <f t="shared" si="4"/>
        <v>118294.53505352925</v>
      </c>
      <c r="Q268" s="49" t="str">
        <f>TEXT(Table1[[#This Row],[Closing Date]],"yyyy")</f>
        <v>2023</v>
      </c>
      <c r="R268" s="49" t="str">
        <f>TEXT(Table1[[#This Row],[Closing Date]],"mmmm")</f>
        <v>October</v>
      </c>
      <c r="S268" s="49" t="s">
        <v>368</v>
      </c>
      <c r="T268" s="49" t="s">
        <v>285</v>
      </c>
    </row>
    <row r="269" spans="1:20" x14ac:dyDescent="0.25">
      <c r="A269" t="s">
        <v>276</v>
      </c>
      <c r="B269" t="s">
        <v>430</v>
      </c>
      <c r="C269" t="s">
        <v>149</v>
      </c>
      <c r="D269" t="s">
        <v>38</v>
      </c>
      <c r="E269" s="49"/>
      <c r="F269" s="60">
        <v>45203</v>
      </c>
      <c r="G269" t="s">
        <v>97</v>
      </c>
      <c r="H269">
        <v>350</v>
      </c>
      <c r="I269" s="49">
        <v>6195</v>
      </c>
      <c r="J269" s="106">
        <v>100</v>
      </c>
      <c r="K269" s="115">
        <v>25950.480000000003</v>
      </c>
      <c r="L269" s="49">
        <v>0.17699999999999999</v>
      </c>
      <c r="M269" s="49">
        <v>0.74144228571428583</v>
      </c>
      <c r="N269" s="49">
        <v>19755.480000000003</v>
      </c>
      <c r="O269" s="47">
        <v>3.1889394673123497</v>
      </c>
      <c r="P269" s="72">
        <f t="shared" si="4"/>
        <v>138050.01505352926</v>
      </c>
      <c r="Q269" s="49" t="str">
        <f>TEXT(Table1[[#This Row],[Closing Date]],"yyyy")</f>
        <v>2023</v>
      </c>
      <c r="R269" s="49" t="str">
        <f>TEXT(Table1[[#This Row],[Closing Date]],"mmmm")</f>
        <v>October</v>
      </c>
      <c r="S269" s="49" t="s">
        <v>368</v>
      </c>
      <c r="T269" s="49" t="s">
        <v>429</v>
      </c>
    </row>
    <row r="270" spans="1:20" x14ac:dyDescent="0.25">
      <c r="A270" t="s">
        <v>283</v>
      </c>
      <c r="B270" t="s">
        <v>431</v>
      </c>
      <c r="C270" t="s">
        <v>56</v>
      </c>
      <c r="D270" t="s">
        <v>36</v>
      </c>
      <c r="E270" s="49"/>
      <c r="F270" s="60">
        <v>45203</v>
      </c>
      <c r="G270" t="s">
        <v>213</v>
      </c>
      <c r="H270">
        <v>3600</v>
      </c>
      <c r="I270" s="49">
        <v>163240.17000000001</v>
      </c>
      <c r="K270" s="115">
        <v>162404</v>
      </c>
      <c r="L270" s="49">
        <v>45.34449166666667</v>
      </c>
      <c r="M270" s="49">
        <v>45.112222222222222</v>
      </c>
      <c r="N270" s="49">
        <v>836.17000000001281</v>
      </c>
      <c r="O270" s="47">
        <v>5.122329877505106E-3</v>
      </c>
      <c r="P270" s="72">
        <f t="shared" si="4"/>
        <v>138886.18505352928</v>
      </c>
      <c r="Q270" s="49" t="str">
        <f>TEXT(Table1[[#This Row],[Closing Date]],"yyyy")</f>
        <v>2023</v>
      </c>
      <c r="R270" s="49" t="str">
        <f>TEXT(Table1[[#This Row],[Closing Date]],"mmmm")</f>
        <v>October</v>
      </c>
      <c r="S270" s="49" t="s">
        <v>368</v>
      </c>
      <c r="T270" s="49" t="s">
        <v>429</v>
      </c>
    </row>
    <row r="271" spans="1:20" x14ac:dyDescent="0.25">
      <c r="A271" t="s">
        <v>283</v>
      </c>
      <c r="B271" t="s">
        <v>431</v>
      </c>
      <c r="C271" t="s">
        <v>56</v>
      </c>
      <c r="D271" t="s">
        <v>36</v>
      </c>
      <c r="E271" s="49"/>
      <c r="F271" s="60">
        <v>45203</v>
      </c>
      <c r="G271" t="s">
        <v>214</v>
      </c>
      <c r="H271">
        <v>2200</v>
      </c>
      <c r="I271" s="49">
        <v>161247.39000000001</v>
      </c>
      <c r="K271" s="115">
        <v>159079.51</v>
      </c>
      <c r="L271" s="49">
        <v>73.294268181818182</v>
      </c>
      <c r="M271" s="49">
        <v>72.308868181818184</v>
      </c>
      <c r="N271" s="49">
        <v>2167.8800000000047</v>
      </c>
      <c r="O271" s="47">
        <v>1.3444434666508428E-2</v>
      </c>
      <c r="P271" s="72">
        <f t="shared" si="4"/>
        <v>141054.06505352928</v>
      </c>
      <c r="Q271" s="49" t="str">
        <f>TEXT(Table1[[#This Row],[Closing Date]],"yyyy")</f>
        <v>2023</v>
      </c>
      <c r="R271" s="49" t="str">
        <f>TEXT(Table1[[#This Row],[Closing Date]],"mmmm")</f>
        <v>October</v>
      </c>
      <c r="S271" s="49" t="s">
        <v>368</v>
      </c>
      <c r="T271" s="49" t="s">
        <v>429</v>
      </c>
    </row>
    <row r="272" spans="1:20" x14ac:dyDescent="0.25">
      <c r="A272" t="s">
        <v>283</v>
      </c>
      <c r="B272" t="s">
        <v>431</v>
      </c>
      <c r="C272" t="s">
        <v>56</v>
      </c>
      <c r="D272" t="s">
        <v>36</v>
      </c>
      <c r="E272" s="49"/>
      <c r="F272" s="60">
        <v>45203</v>
      </c>
      <c r="G272" t="s">
        <v>212</v>
      </c>
      <c r="H272">
        <v>4400</v>
      </c>
      <c r="I272" s="49">
        <v>133111.14000000001</v>
      </c>
      <c r="K272" s="115">
        <v>126492.72</v>
      </c>
      <c r="L272" s="49">
        <v>30.252531818181822</v>
      </c>
      <c r="M272" s="49">
        <v>28.748345454545454</v>
      </c>
      <c r="N272" s="49">
        <v>6618.4200000000128</v>
      </c>
      <c r="O272" s="47">
        <v>4.9721007573070235E-2</v>
      </c>
      <c r="P272" s="72">
        <f t="shared" si="4"/>
        <v>147672.48505352929</v>
      </c>
      <c r="Q272" s="49" t="str">
        <f>TEXT(Table1[[#This Row],[Closing Date]],"yyyy")</f>
        <v>2023</v>
      </c>
      <c r="R272" s="49" t="str">
        <f>TEXT(Table1[[#This Row],[Closing Date]],"mmmm")</f>
        <v>October</v>
      </c>
      <c r="S272" s="49" t="s">
        <v>368</v>
      </c>
      <c r="T272" s="49" t="s">
        <v>429</v>
      </c>
    </row>
    <row r="273" spans="1:20" x14ac:dyDescent="0.25">
      <c r="A273" t="s">
        <v>283</v>
      </c>
      <c r="B273" t="s">
        <v>434</v>
      </c>
      <c r="C273" t="s">
        <v>51</v>
      </c>
      <c r="D273" t="s">
        <v>38</v>
      </c>
      <c r="E273" s="49"/>
      <c r="F273" s="60">
        <v>45203</v>
      </c>
      <c r="G273" t="s">
        <v>52</v>
      </c>
      <c r="H273">
        <v>6</v>
      </c>
      <c r="I273" s="49">
        <v>473624.22</v>
      </c>
      <c r="K273" s="115">
        <v>520425.78</v>
      </c>
      <c r="L273" s="49">
        <v>157.87473999999997</v>
      </c>
      <c r="M273" s="49">
        <v>86.73763000000001</v>
      </c>
      <c r="N273" s="49">
        <v>46801.560000000056</v>
      </c>
      <c r="O273" s="47">
        <v>9.881580802603393E-2</v>
      </c>
      <c r="P273" s="72">
        <f t="shared" si="4"/>
        <v>194474.04505352935</v>
      </c>
      <c r="Q273" s="49" t="str">
        <f>TEXT(Table1[[#This Row],[Closing Date]],"yyyy")</f>
        <v>2023</v>
      </c>
      <c r="R273" s="49" t="str">
        <f>TEXT(Table1[[#This Row],[Closing Date]],"mmmm")</f>
        <v>October</v>
      </c>
      <c r="S273" s="49" t="s">
        <v>368</v>
      </c>
      <c r="T273" s="49" t="s">
        <v>429</v>
      </c>
    </row>
    <row r="274" spans="1:20" x14ac:dyDescent="0.25">
      <c r="A274" t="s">
        <v>283</v>
      </c>
      <c r="B274" t="s">
        <v>431</v>
      </c>
      <c r="C274" t="s">
        <v>51</v>
      </c>
      <c r="D274" t="s">
        <v>38</v>
      </c>
      <c r="E274" s="49"/>
      <c r="F274" s="60">
        <v>45204</v>
      </c>
      <c r="G274" t="s">
        <v>95</v>
      </c>
      <c r="H274">
        <v>18</v>
      </c>
      <c r="I274" s="49">
        <v>1890579.96</v>
      </c>
      <c r="K274" s="115">
        <v>1914320.04</v>
      </c>
      <c r="L274" s="49">
        <v>105.03222</v>
      </c>
      <c r="M274" s="49">
        <v>106.35111333333333</v>
      </c>
      <c r="N274" s="49">
        <v>23740.080000000075</v>
      </c>
      <c r="O274" s="47">
        <v>1.2557035672799617E-2</v>
      </c>
      <c r="P274" s="72">
        <f t="shared" si="4"/>
        <v>218214.12505352942</v>
      </c>
      <c r="Q274" s="49" t="str">
        <f>TEXT(Table1[[#This Row],[Closing Date]],"yyyy")</f>
        <v>2023</v>
      </c>
      <c r="R274" s="49" t="str">
        <f>TEXT(Table1[[#This Row],[Closing Date]],"mmmm")</f>
        <v>October</v>
      </c>
      <c r="S274" s="49" t="s">
        <v>368</v>
      </c>
      <c r="T274" s="49" t="s">
        <v>429</v>
      </c>
    </row>
    <row r="275" spans="1:20" x14ac:dyDescent="0.25">
      <c r="A275" t="s">
        <v>276</v>
      </c>
      <c r="B275" t="s">
        <v>430</v>
      </c>
      <c r="C275" t="s">
        <v>149</v>
      </c>
      <c r="D275" t="s">
        <v>38</v>
      </c>
      <c r="E275" s="49"/>
      <c r="F275" s="60">
        <v>45205</v>
      </c>
      <c r="G275" t="s">
        <v>57</v>
      </c>
      <c r="H275">
        <v>25</v>
      </c>
      <c r="I275" s="49">
        <v>6007.01</v>
      </c>
      <c r="J275" s="106">
        <v>100</v>
      </c>
      <c r="K275" s="115">
        <v>12473.33</v>
      </c>
      <c r="L275" s="49">
        <v>2.4028040000000002</v>
      </c>
      <c r="M275" s="49">
        <v>4.9893320000000001</v>
      </c>
      <c r="N275" s="49">
        <v>6466.32</v>
      </c>
      <c r="O275" s="47">
        <v>1.0764623331740748</v>
      </c>
      <c r="P275" s="72">
        <f t="shared" si="4"/>
        <v>224680.44505352943</v>
      </c>
      <c r="Q275" s="49" t="str">
        <f>TEXT(Table1[[#This Row],[Closing Date]],"yyyy")</f>
        <v>2023</v>
      </c>
      <c r="R275" s="49" t="str">
        <f>TEXT(Table1[[#This Row],[Closing Date]],"mmmm")</f>
        <v>October</v>
      </c>
      <c r="S275" s="49" t="s">
        <v>368</v>
      </c>
      <c r="T275" s="49" t="s">
        <v>429</v>
      </c>
    </row>
    <row r="276" spans="1:20" x14ac:dyDescent="0.25">
      <c r="A276" t="s">
        <v>283</v>
      </c>
      <c r="B276" t="s">
        <v>431</v>
      </c>
      <c r="C276" t="s">
        <v>35</v>
      </c>
      <c r="D276" t="s">
        <v>38</v>
      </c>
      <c r="E276" s="49"/>
      <c r="F276" s="60">
        <v>45205</v>
      </c>
      <c r="G276" t="s">
        <v>181</v>
      </c>
      <c r="H276">
        <v>900000</v>
      </c>
      <c r="I276" s="49">
        <v>3969979.9800000004</v>
      </c>
      <c r="K276" s="115">
        <v>3902142.41</v>
      </c>
      <c r="L276" s="49">
        <v>4.4110888666666668</v>
      </c>
      <c r="M276" s="49">
        <v>4.3357137888888895</v>
      </c>
      <c r="N276" s="49">
        <v>-15626</v>
      </c>
      <c r="O276" s="47">
        <v>-4.0044668692652864E-3</v>
      </c>
      <c r="P276" s="72">
        <f t="shared" si="4"/>
        <v>209054.44505352943</v>
      </c>
      <c r="Q276" s="49" t="str">
        <f>TEXT(Table1[[#This Row],[Closing Date]],"yyyy")</f>
        <v>2023</v>
      </c>
      <c r="R276" s="49" t="str">
        <f>TEXT(Table1[[#This Row],[Closing Date]],"mmmm")</f>
        <v>October</v>
      </c>
      <c r="S276" s="49" t="s">
        <v>368</v>
      </c>
      <c r="T276" s="49" t="s">
        <v>429</v>
      </c>
    </row>
    <row r="277" spans="1:20" x14ac:dyDescent="0.25">
      <c r="A277" t="s">
        <v>335</v>
      </c>
      <c r="B277" t="s">
        <v>432</v>
      </c>
      <c r="C277" t="s">
        <v>51</v>
      </c>
      <c r="D277" t="s">
        <v>36</v>
      </c>
      <c r="E277" s="49"/>
      <c r="F277" s="60">
        <v>45205</v>
      </c>
      <c r="G277" t="s">
        <v>130</v>
      </c>
      <c r="H277">
        <v>5</v>
      </c>
      <c r="I277" s="49">
        <v>1087250</v>
      </c>
      <c r="K277" s="115">
        <v>1089272</v>
      </c>
      <c r="L277" s="49">
        <v>4349</v>
      </c>
      <c r="M277" s="49">
        <v>4357.0879999999997</v>
      </c>
      <c r="N277" s="49">
        <v>-2022</v>
      </c>
      <c r="O277" s="47">
        <v>1.8597378707748305E-3</v>
      </c>
      <c r="P277" s="72">
        <f t="shared" si="4"/>
        <v>207032.44505352943</v>
      </c>
      <c r="Q277" s="49" t="str">
        <f>TEXT(Table1[[#This Row],[Closing Date]],"yyyy")</f>
        <v>2023</v>
      </c>
      <c r="R277" s="49" t="str">
        <f>TEXT(Table1[[#This Row],[Closing Date]],"mmmm")</f>
        <v>October</v>
      </c>
      <c r="S277" s="49" t="s">
        <v>368</v>
      </c>
      <c r="T277" s="49" t="s">
        <v>429</v>
      </c>
    </row>
    <row r="278" spans="1:20" x14ac:dyDescent="0.25">
      <c r="A278" t="s">
        <v>283</v>
      </c>
      <c r="B278" t="s">
        <v>431</v>
      </c>
      <c r="C278" t="s">
        <v>56</v>
      </c>
      <c r="D278" t="s">
        <v>38</v>
      </c>
      <c r="E278" s="49"/>
      <c r="F278" s="60">
        <v>45208</v>
      </c>
      <c r="G278" t="s">
        <v>273</v>
      </c>
      <c r="H278">
        <v>742</v>
      </c>
      <c r="I278" s="49">
        <v>189395.5</v>
      </c>
      <c r="K278" s="115">
        <v>174344.64</v>
      </c>
      <c r="L278" s="49">
        <v>255.25</v>
      </c>
      <c r="M278" s="49">
        <v>234.9658221024259</v>
      </c>
      <c r="N278" s="49">
        <v>-15050.859999999986</v>
      </c>
      <c r="O278" s="47">
        <v>-7.9467885984619416E-2</v>
      </c>
      <c r="P278" s="72">
        <f t="shared" si="4"/>
        <v>191981.58505352944</v>
      </c>
      <c r="Q278" s="49" t="str">
        <f>TEXT(Table1[[#This Row],[Closing Date]],"yyyy")</f>
        <v>2023</v>
      </c>
      <c r="R278" s="49" t="str">
        <f>TEXT(Table1[[#This Row],[Closing Date]],"mmmm")</f>
        <v>October</v>
      </c>
      <c r="S278" s="49" t="s">
        <v>368</v>
      </c>
      <c r="T278" s="49" t="s">
        <v>285</v>
      </c>
    </row>
    <row r="279" spans="1:20" x14ac:dyDescent="0.25">
      <c r="A279" t="s">
        <v>283</v>
      </c>
      <c r="B279" t="s">
        <v>431</v>
      </c>
      <c r="C279" t="s">
        <v>56</v>
      </c>
      <c r="D279" t="s">
        <v>38</v>
      </c>
      <c r="E279" s="49"/>
      <c r="F279" s="60">
        <v>45209</v>
      </c>
      <c r="G279" t="s">
        <v>203</v>
      </c>
      <c r="H279">
        <v>9000</v>
      </c>
      <c r="I279" s="49">
        <v>130427.72</v>
      </c>
      <c r="K279" s="115">
        <v>143952.54</v>
      </c>
      <c r="L279" s="49">
        <v>14.49196888888889</v>
      </c>
      <c r="M279" s="49">
        <v>15.994726666666667</v>
      </c>
      <c r="N279" s="49">
        <v>13524.820000000007</v>
      </c>
      <c r="O279" s="47">
        <v>0.10369590145407745</v>
      </c>
      <c r="P279" s="72">
        <f t="shared" si="4"/>
        <v>205506.40505352945</v>
      </c>
      <c r="Q279" s="49" t="str">
        <f>TEXT(Table1[[#This Row],[Closing Date]],"yyyy")</f>
        <v>2023</v>
      </c>
      <c r="R279" s="49" t="str">
        <f>TEXT(Table1[[#This Row],[Closing Date]],"mmmm")</f>
        <v>October</v>
      </c>
      <c r="S279" s="49" t="s">
        <v>368</v>
      </c>
      <c r="T279" s="49" t="s">
        <v>429</v>
      </c>
    </row>
    <row r="280" spans="1:20" x14ac:dyDescent="0.25">
      <c r="A280" t="s">
        <v>283</v>
      </c>
      <c r="B280" t="s">
        <v>431</v>
      </c>
      <c r="C280" t="s">
        <v>35</v>
      </c>
      <c r="D280" t="s">
        <v>36</v>
      </c>
      <c r="E280" s="49"/>
      <c r="F280" s="60">
        <v>45211</v>
      </c>
      <c r="G280" t="s">
        <v>185</v>
      </c>
      <c r="H280">
        <v>8500000</v>
      </c>
      <c r="I280" s="49">
        <v>69520660.920000002</v>
      </c>
      <c r="K280" s="115">
        <v>70445959.920000002</v>
      </c>
      <c r="L280" s="49">
        <v>8.1789012847058817</v>
      </c>
      <c r="M280" s="49">
        <v>8.2877599905882349</v>
      </c>
      <c r="N280" s="49">
        <v>-6195</v>
      </c>
      <c r="O280" s="47">
        <v>-7.2882352941176472E-4</v>
      </c>
      <c r="P280" s="72">
        <f t="shared" si="4"/>
        <v>199311.40505352945</v>
      </c>
      <c r="Q280" s="49" t="str">
        <f>TEXT(Table1[[#This Row],[Closing Date]],"yyyy")</f>
        <v>2023</v>
      </c>
      <c r="R280" s="49" t="str">
        <f>TEXT(Table1[[#This Row],[Closing Date]],"mmmm")</f>
        <v>October</v>
      </c>
      <c r="S280" s="49" t="s">
        <v>368</v>
      </c>
      <c r="T280" s="49" t="s">
        <v>429</v>
      </c>
    </row>
    <row r="281" spans="1:20" x14ac:dyDescent="0.25">
      <c r="A281" t="s">
        <v>283</v>
      </c>
      <c r="B281" t="s">
        <v>431</v>
      </c>
      <c r="C281" t="s">
        <v>35</v>
      </c>
      <c r="D281" t="s">
        <v>38</v>
      </c>
      <c r="E281" s="49"/>
      <c r="F281" s="60">
        <v>45211</v>
      </c>
      <c r="G281" t="s">
        <v>176</v>
      </c>
      <c r="H281">
        <v>1340000</v>
      </c>
      <c r="I281" s="49">
        <v>1815180.8599999999</v>
      </c>
      <c r="K281" s="115">
        <v>1828572.6600000001</v>
      </c>
      <c r="L281" s="49">
        <v>1.354612582089552</v>
      </c>
      <c r="M281" s="49">
        <v>1.3646064626865673</v>
      </c>
      <c r="N281" s="49">
        <v>3311.4</v>
      </c>
      <c r="O281" s="47">
        <v>1.8109206554581211E-3</v>
      </c>
      <c r="P281" s="72">
        <f t="shared" si="4"/>
        <v>202622.80505352945</v>
      </c>
      <c r="Q281" s="49" t="str">
        <f>TEXT(Table1[[#This Row],[Closing Date]],"yyyy")</f>
        <v>2023</v>
      </c>
      <c r="R281" s="49" t="str">
        <f>TEXT(Table1[[#This Row],[Closing Date]],"mmmm")</f>
        <v>October</v>
      </c>
      <c r="S281" s="49" t="s">
        <v>368</v>
      </c>
      <c r="T281" s="49" t="s">
        <v>429</v>
      </c>
    </row>
    <row r="282" spans="1:20" x14ac:dyDescent="0.25">
      <c r="A282" t="s">
        <v>283</v>
      </c>
      <c r="B282" t="s">
        <v>431</v>
      </c>
      <c r="C282" t="s">
        <v>56</v>
      </c>
      <c r="D282" t="s">
        <v>38</v>
      </c>
      <c r="E282" s="49"/>
      <c r="F282" s="60">
        <v>45211</v>
      </c>
      <c r="G282" t="s">
        <v>215</v>
      </c>
      <c r="H282">
        <v>4000</v>
      </c>
      <c r="I282" s="49">
        <v>73420</v>
      </c>
      <c r="K282" s="115">
        <v>82699.75</v>
      </c>
      <c r="L282" s="49">
        <v>18.355</v>
      </c>
      <c r="M282" s="49">
        <v>20.674937499999999</v>
      </c>
      <c r="N282" s="49">
        <v>9279.75</v>
      </c>
      <c r="O282" s="47">
        <v>0.12639267229637702</v>
      </c>
      <c r="P282" s="72">
        <f t="shared" si="4"/>
        <v>211902.55505352945</v>
      </c>
      <c r="Q282" s="49" t="str">
        <f>TEXT(Table1[[#This Row],[Closing Date]],"yyyy")</f>
        <v>2023</v>
      </c>
      <c r="R282" s="49" t="str">
        <f>TEXT(Table1[[#This Row],[Closing Date]],"mmmm")</f>
        <v>October</v>
      </c>
      <c r="S282" s="49" t="s">
        <v>368</v>
      </c>
      <c r="T282" s="49" t="s">
        <v>429</v>
      </c>
    </row>
    <row r="283" spans="1:20" x14ac:dyDescent="0.25">
      <c r="A283" t="s">
        <v>283</v>
      </c>
      <c r="B283" t="s">
        <v>431</v>
      </c>
      <c r="C283" t="s">
        <v>56</v>
      </c>
      <c r="D283" t="s">
        <v>38</v>
      </c>
      <c r="E283" s="49"/>
      <c r="F283" s="60">
        <v>45211</v>
      </c>
      <c r="G283" t="s">
        <v>216</v>
      </c>
      <c r="H283">
        <v>3333</v>
      </c>
      <c r="I283" s="49">
        <v>127337.26</v>
      </c>
      <c r="K283" s="115">
        <v>140663.76</v>
      </c>
      <c r="L283" s="49">
        <v>38.204998499849985</v>
      </c>
      <c r="M283" s="49">
        <v>42.203348334833485</v>
      </c>
      <c r="N283" s="49">
        <v>13326.500000000015</v>
      </c>
      <c r="O283" s="47">
        <v>0.10465514963962641</v>
      </c>
      <c r="P283" s="72">
        <f t="shared" si="4"/>
        <v>225229.05505352945</v>
      </c>
      <c r="Q283" s="49" t="str">
        <f>TEXT(Table1[[#This Row],[Closing Date]],"yyyy")</f>
        <v>2023</v>
      </c>
      <c r="R283" s="49" t="str">
        <f>TEXT(Table1[[#This Row],[Closing Date]],"mmmm")</f>
        <v>October</v>
      </c>
      <c r="S283" s="49" t="s">
        <v>368</v>
      </c>
      <c r="T283" s="49" t="s">
        <v>429</v>
      </c>
    </row>
    <row r="284" spans="1:20" x14ac:dyDescent="0.25">
      <c r="A284" t="s">
        <v>283</v>
      </c>
      <c r="B284" t="s">
        <v>433</v>
      </c>
      <c r="C284" t="s">
        <v>56</v>
      </c>
      <c r="D284" t="s">
        <v>38</v>
      </c>
      <c r="E284" s="49"/>
      <c r="F284" s="60">
        <v>45211</v>
      </c>
      <c r="G284" t="s">
        <v>272</v>
      </c>
      <c r="H284">
        <v>8200</v>
      </c>
      <c r="I284" s="49">
        <v>204179.89</v>
      </c>
      <c r="K284" s="115">
        <v>194516.94</v>
      </c>
      <c r="L284" s="49">
        <v>24.899986585365856</v>
      </c>
      <c r="M284" s="49">
        <v>23.721578048780486</v>
      </c>
      <c r="N284" s="49">
        <v>-9662.9500000000116</v>
      </c>
      <c r="O284" s="47">
        <v>-4.7325669535819667E-2</v>
      </c>
      <c r="P284" s="72">
        <f t="shared" si="4"/>
        <v>215566.10505352943</v>
      </c>
      <c r="Q284" s="49" t="str">
        <f>TEXT(Table1[[#This Row],[Closing Date]],"yyyy")</f>
        <v>2023</v>
      </c>
      <c r="R284" s="49" t="str">
        <f>TEXT(Table1[[#This Row],[Closing Date]],"mmmm")</f>
        <v>October</v>
      </c>
      <c r="S284" s="49" t="s">
        <v>368</v>
      </c>
      <c r="T284" s="49" t="s">
        <v>285</v>
      </c>
    </row>
    <row r="285" spans="1:20" x14ac:dyDescent="0.25">
      <c r="A285" t="s">
        <v>283</v>
      </c>
      <c r="B285" t="s">
        <v>431</v>
      </c>
      <c r="C285" t="s">
        <v>56</v>
      </c>
      <c r="D285" t="s">
        <v>38</v>
      </c>
      <c r="E285" s="49"/>
      <c r="F285" s="60">
        <v>45215</v>
      </c>
      <c r="G285" t="s">
        <v>217</v>
      </c>
      <c r="H285">
        <v>1500</v>
      </c>
      <c r="I285" s="49">
        <v>270007.5</v>
      </c>
      <c r="K285" s="115">
        <v>278922.81</v>
      </c>
      <c r="L285" s="49">
        <v>180.005</v>
      </c>
      <c r="M285" s="49">
        <v>185.94854000000001</v>
      </c>
      <c r="N285" s="49">
        <v>8915.3099999999977</v>
      </c>
      <c r="O285" s="47">
        <v>3.3018749479181125E-2</v>
      </c>
      <c r="P285" s="72">
        <f t="shared" si="4"/>
        <v>224481.41505352943</v>
      </c>
      <c r="Q285" s="49" t="str">
        <f>TEXT(Table1[[#This Row],[Closing Date]],"yyyy")</f>
        <v>2023</v>
      </c>
      <c r="R285" s="49" t="str">
        <f>TEXT(Table1[[#This Row],[Closing Date]],"mmmm")</f>
        <v>October</v>
      </c>
      <c r="S285" s="49" t="s">
        <v>368</v>
      </c>
      <c r="T285" s="49" t="s">
        <v>429</v>
      </c>
    </row>
    <row r="286" spans="1:20" x14ac:dyDescent="0.25">
      <c r="A286" t="s">
        <v>283</v>
      </c>
      <c r="B286" t="s">
        <v>430</v>
      </c>
      <c r="C286" t="s">
        <v>51</v>
      </c>
      <c r="D286" t="s">
        <v>38</v>
      </c>
      <c r="E286" s="49"/>
      <c r="F286" s="60">
        <v>45217</v>
      </c>
      <c r="G286" t="s">
        <v>140</v>
      </c>
      <c r="H286">
        <v>2</v>
      </c>
      <c r="I286" s="49">
        <v>366806</v>
      </c>
      <c r="K286" s="115">
        <v>388195.16</v>
      </c>
      <c r="L286" s="49">
        <v>1834.03</v>
      </c>
      <c r="M286" s="49">
        <v>1940.9757999999999</v>
      </c>
      <c r="N286" s="49">
        <v>21389.159999999974</v>
      </c>
      <c r="O286" s="47">
        <v>5.8311914199876705E-2</v>
      </c>
      <c r="P286" s="72">
        <f t="shared" si="4"/>
        <v>245870.57505352941</v>
      </c>
      <c r="Q286" s="49" t="str">
        <f>TEXT(Table1[[#This Row],[Closing Date]],"yyyy")</f>
        <v>2023</v>
      </c>
      <c r="R286" s="49" t="str">
        <f>TEXT(Table1[[#This Row],[Closing Date]],"mmmm")</f>
        <v>October</v>
      </c>
      <c r="S286" s="49" t="s">
        <v>368</v>
      </c>
      <c r="T286" s="49" t="s">
        <v>429</v>
      </c>
    </row>
    <row r="287" spans="1:20" x14ac:dyDescent="0.25">
      <c r="A287" t="s">
        <v>283</v>
      </c>
      <c r="B287" t="s">
        <v>431</v>
      </c>
      <c r="C287" t="s">
        <v>56</v>
      </c>
      <c r="D287" t="s">
        <v>38</v>
      </c>
      <c r="E287" s="49"/>
      <c r="F287" s="60">
        <v>45217</v>
      </c>
      <c r="G287" t="s">
        <v>219</v>
      </c>
      <c r="H287">
        <v>3000</v>
      </c>
      <c r="I287" s="49">
        <v>116115</v>
      </c>
      <c r="K287" s="115">
        <v>113922.64</v>
      </c>
      <c r="L287" s="49">
        <v>38.704999999999998</v>
      </c>
      <c r="M287" s="49">
        <v>37.974213333333331</v>
      </c>
      <c r="N287" s="49">
        <v>-2192.3600000000006</v>
      </c>
      <c r="O287" s="47">
        <v>-1.8880937002109983E-2</v>
      </c>
      <c r="P287" s="72">
        <f t="shared" si="4"/>
        <v>243678.21505352942</v>
      </c>
      <c r="Q287" s="49" t="str">
        <f>TEXT(Table1[[#This Row],[Closing Date]],"yyyy")</f>
        <v>2023</v>
      </c>
      <c r="R287" s="49" t="str">
        <f>TEXT(Table1[[#This Row],[Closing Date]],"mmmm")</f>
        <v>October</v>
      </c>
      <c r="S287" s="49" t="s">
        <v>368</v>
      </c>
      <c r="T287" s="49" t="s">
        <v>429</v>
      </c>
    </row>
    <row r="288" spans="1:20" x14ac:dyDescent="0.25">
      <c r="A288" t="s">
        <v>276</v>
      </c>
      <c r="B288" t="s">
        <v>434</v>
      </c>
      <c r="C288" t="s">
        <v>152</v>
      </c>
      <c r="D288" t="s">
        <v>38</v>
      </c>
      <c r="E288" s="49"/>
      <c r="F288" s="60">
        <v>45217</v>
      </c>
      <c r="G288" t="s">
        <v>278</v>
      </c>
      <c r="H288">
        <v>100</v>
      </c>
      <c r="I288" s="49">
        <v>20065</v>
      </c>
      <c r="J288" s="106">
        <v>100</v>
      </c>
      <c r="K288" s="115">
        <v>57434.54</v>
      </c>
      <c r="L288" s="49">
        <v>2.0065</v>
      </c>
      <c r="M288" s="49">
        <v>5.7434540000000007</v>
      </c>
      <c r="N288" s="49">
        <v>37369.54</v>
      </c>
      <c r="O288" s="47">
        <v>1.8624241216047845</v>
      </c>
      <c r="P288" s="72">
        <f t="shared" si="4"/>
        <v>281047.7550535294</v>
      </c>
      <c r="Q288" s="49" t="str">
        <f>TEXT(Table1[[#This Row],[Closing Date]],"yyyy")</f>
        <v>2023</v>
      </c>
      <c r="R288" s="49" t="str">
        <f>TEXT(Table1[[#This Row],[Closing Date]],"mmmm")</f>
        <v>October</v>
      </c>
      <c r="S288" s="49" t="s">
        <v>368</v>
      </c>
      <c r="T288" s="49" t="s">
        <v>285</v>
      </c>
    </row>
    <row r="289" spans="1:20" x14ac:dyDescent="0.25">
      <c r="A289" t="s">
        <v>276</v>
      </c>
      <c r="B289" t="s">
        <v>433</v>
      </c>
      <c r="C289" t="s">
        <v>149</v>
      </c>
      <c r="D289" t="s">
        <v>38</v>
      </c>
      <c r="E289" s="49"/>
      <c r="F289" s="60">
        <v>45218</v>
      </c>
      <c r="G289" t="s">
        <v>190</v>
      </c>
      <c r="H289">
        <v>160</v>
      </c>
      <c r="I289" s="49">
        <v>11431.4</v>
      </c>
      <c r="J289" s="106">
        <v>100</v>
      </c>
      <c r="K289" s="115">
        <v>0</v>
      </c>
      <c r="L289" s="49">
        <v>0.71446249999999989</v>
      </c>
      <c r="M289" s="49">
        <v>0</v>
      </c>
      <c r="N289" s="49">
        <v>-11431.4</v>
      </c>
      <c r="O289" s="47">
        <v>-1</v>
      </c>
      <c r="P289" s="72">
        <f t="shared" si="4"/>
        <v>269616.35505352938</v>
      </c>
      <c r="Q289" s="49" t="str">
        <f>TEXT(Table1[[#This Row],[Closing Date]],"yyyy")</f>
        <v>2023</v>
      </c>
      <c r="R289" s="49" t="str">
        <f>TEXT(Table1[[#This Row],[Closing Date]],"mmmm")</f>
        <v>October</v>
      </c>
      <c r="S289" s="49" t="s">
        <v>368</v>
      </c>
      <c r="T289" s="49" t="s">
        <v>429</v>
      </c>
    </row>
    <row r="290" spans="1:20" x14ac:dyDescent="0.25">
      <c r="A290" t="s">
        <v>276</v>
      </c>
      <c r="B290" t="s">
        <v>431</v>
      </c>
      <c r="C290" t="s">
        <v>152</v>
      </c>
      <c r="D290" t="s">
        <v>38</v>
      </c>
      <c r="E290" s="49"/>
      <c r="F290" s="60">
        <v>45219</v>
      </c>
      <c r="G290" t="s">
        <v>172</v>
      </c>
      <c r="H290">
        <v>200</v>
      </c>
      <c r="I290" s="49">
        <v>8734</v>
      </c>
      <c r="J290" s="106">
        <v>100</v>
      </c>
      <c r="K290" s="115">
        <v>0</v>
      </c>
      <c r="L290" s="49">
        <v>0.43670000000000003</v>
      </c>
      <c r="M290" s="49"/>
      <c r="N290" s="49">
        <v>-8734</v>
      </c>
      <c r="O290" s="47">
        <v>-1</v>
      </c>
      <c r="P290" s="72">
        <f t="shared" si="4"/>
        <v>260882.35505352938</v>
      </c>
      <c r="Q290" s="49" t="str">
        <f>TEXT(Table1[[#This Row],[Closing Date]],"yyyy")</f>
        <v>2023</v>
      </c>
      <c r="R290" s="49" t="str">
        <f>TEXT(Table1[[#This Row],[Closing Date]],"mmmm")</f>
        <v>October</v>
      </c>
      <c r="S290" s="49" t="s">
        <v>368</v>
      </c>
      <c r="T290" s="49" t="s">
        <v>429</v>
      </c>
    </row>
    <row r="291" spans="1:20" x14ac:dyDescent="0.25">
      <c r="A291" t="s">
        <v>283</v>
      </c>
      <c r="B291" t="s">
        <v>431</v>
      </c>
      <c r="C291" t="s">
        <v>51</v>
      </c>
      <c r="D291" t="s">
        <v>38</v>
      </c>
      <c r="E291" s="49"/>
      <c r="F291" s="60">
        <v>45219</v>
      </c>
      <c r="G291" t="s">
        <v>87</v>
      </c>
      <c r="H291">
        <v>5</v>
      </c>
      <c r="I291" s="49">
        <v>172011.85</v>
      </c>
      <c r="K291" s="115">
        <v>163038.15</v>
      </c>
      <c r="L291" s="49">
        <v>3.4402370000000002</v>
      </c>
      <c r="M291" s="49">
        <v>0</v>
      </c>
      <c r="N291" s="49">
        <v>-8973.7000000000116</v>
      </c>
      <c r="O291" s="47">
        <v>-5.2169080211625023E-2</v>
      </c>
      <c r="P291" s="72">
        <f t="shared" si="4"/>
        <v>251908.65505352936</v>
      </c>
      <c r="Q291" s="49" t="str">
        <f>TEXT(Table1[[#This Row],[Closing Date]],"yyyy")</f>
        <v>2023</v>
      </c>
      <c r="R291" s="49" t="str">
        <f>TEXT(Table1[[#This Row],[Closing Date]],"mmmm")</f>
        <v>October</v>
      </c>
      <c r="S291" s="49" t="s">
        <v>368</v>
      </c>
      <c r="T291" s="49" t="s">
        <v>429</v>
      </c>
    </row>
    <row r="292" spans="1:20" x14ac:dyDescent="0.25">
      <c r="A292" t="s">
        <v>283</v>
      </c>
      <c r="B292" t="s">
        <v>431</v>
      </c>
      <c r="C292" t="s">
        <v>56</v>
      </c>
      <c r="D292" t="s">
        <v>36</v>
      </c>
      <c r="E292" s="49"/>
      <c r="F292" s="60">
        <v>45219</v>
      </c>
      <c r="G292" t="s">
        <v>206</v>
      </c>
      <c r="H292">
        <v>2500</v>
      </c>
      <c r="I292" s="49">
        <v>110250</v>
      </c>
      <c r="K292" s="115">
        <v>110838.97</v>
      </c>
      <c r="L292" s="49">
        <v>44.1</v>
      </c>
      <c r="M292" s="49">
        <v>44.335588000000001</v>
      </c>
      <c r="N292" s="49">
        <v>-588.97000000000116</v>
      </c>
      <c r="O292" s="47">
        <v>-5.3421315192743873E-3</v>
      </c>
      <c r="P292" s="72">
        <f t="shared" si="4"/>
        <v>251319.68505352936</v>
      </c>
      <c r="Q292" s="49" t="str">
        <f>TEXT(Table1[[#This Row],[Closing Date]],"yyyy")</f>
        <v>2023</v>
      </c>
      <c r="R292" s="49" t="str">
        <f>TEXT(Table1[[#This Row],[Closing Date]],"mmmm")</f>
        <v>October</v>
      </c>
      <c r="S292" s="49" t="s">
        <v>368</v>
      </c>
      <c r="T292" s="49" t="s">
        <v>429</v>
      </c>
    </row>
    <row r="293" spans="1:20" x14ac:dyDescent="0.25">
      <c r="A293" t="s">
        <v>283</v>
      </c>
      <c r="B293" t="s">
        <v>431</v>
      </c>
      <c r="C293" t="s">
        <v>56</v>
      </c>
      <c r="D293" t="s">
        <v>38</v>
      </c>
      <c r="E293" s="49"/>
      <c r="F293" s="60">
        <v>45219</v>
      </c>
      <c r="G293" t="s">
        <v>218</v>
      </c>
      <c r="H293">
        <v>10000</v>
      </c>
      <c r="I293" s="49">
        <v>674050</v>
      </c>
      <c r="K293" s="115">
        <v>676750</v>
      </c>
      <c r="L293" s="49">
        <v>67.405000000000001</v>
      </c>
      <c r="M293" s="49">
        <v>67.674999999999997</v>
      </c>
      <c r="N293" s="49">
        <v>2700</v>
      </c>
      <c r="O293" s="47">
        <v>4.0056375639789333E-3</v>
      </c>
      <c r="P293" s="72">
        <f t="shared" si="4"/>
        <v>254019.68505352936</v>
      </c>
      <c r="Q293" s="49" t="str">
        <f>TEXT(Table1[[#This Row],[Closing Date]],"yyyy")</f>
        <v>2023</v>
      </c>
      <c r="R293" s="49" t="str">
        <f>TEXT(Table1[[#This Row],[Closing Date]],"mmmm")</f>
        <v>October</v>
      </c>
      <c r="S293" s="49" t="s">
        <v>368</v>
      </c>
      <c r="T293" s="49" t="s">
        <v>429</v>
      </c>
    </row>
    <row r="294" spans="1:20" x14ac:dyDescent="0.25">
      <c r="A294" t="s">
        <v>283</v>
      </c>
      <c r="B294" t="s">
        <v>431</v>
      </c>
      <c r="C294" t="s">
        <v>35</v>
      </c>
      <c r="D294" t="s">
        <v>38</v>
      </c>
      <c r="E294" s="49"/>
      <c r="F294" s="60">
        <v>45219</v>
      </c>
      <c r="G294" t="s">
        <v>180</v>
      </c>
      <c r="H294">
        <v>1000000</v>
      </c>
      <c r="I294" s="49">
        <v>23113664.699999999</v>
      </c>
      <c r="K294" s="115">
        <v>23222138.140000001</v>
      </c>
      <c r="L294" s="49">
        <v>23.113664699999998</v>
      </c>
      <c r="M294" s="49">
        <v>23.222138140000002</v>
      </c>
      <c r="N294" s="49">
        <v>4671.1219848079554</v>
      </c>
      <c r="O294" s="47">
        <v>2.0114952191942973E-4</v>
      </c>
      <c r="P294" s="72">
        <f t="shared" si="4"/>
        <v>258690.80703833731</v>
      </c>
      <c r="Q294" s="49" t="str">
        <f>TEXT(Table1[[#This Row],[Closing Date]],"yyyy")</f>
        <v>2023</v>
      </c>
      <c r="R294" s="49" t="str">
        <f>TEXT(Table1[[#This Row],[Closing Date]],"mmmm")</f>
        <v>October</v>
      </c>
      <c r="S294" s="49" t="s">
        <v>368</v>
      </c>
      <c r="T294" s="49" t="s">
        <v>429</v>
      </c>
    </row>
    <row r="295" spans="1:20" x14ac:dyDescent="0.25">
      <c r="A295" t="s">
        <v>283</v>
      </c>
      <c r="B295" t="s">
        <v>431</v>
      </c>
      <c r="C295" t="s">
        <v>56</v>
      </c>
      <c r="D295" t="s">
        <v>36</v>
      </c>
      <c r="E295" s="49"/>
      <c r="F295" s="60">
        <v>45219</v>
      </c>
      <c r="G295" t="s">
        <v>212</v>
      </c>
      <c r="H295">
        <v>6000</v>
      </c>
      <c r="I295" s="49">
        <v>170033.21</v>
      </c>
      <c r="K295" s="115">
        <v>164851.65</v>
      </c>
      <c r="L295" s="49">
        <v>28.33886833333333</v>
      </c>
      <c r="M295" s="49">
        <v>27.475275</v>
      </c>
      <c r="N295" s="49">
        <v>5181.5599999999977</v>
      </c>
      <c r="O295" s="47">
        <v>3.0473811557165789E-2</v>
      </c>
      <c r="P295" s="72">
        <f t="shared" si="4"/>
        <v>263872.36703833728</v>
      </c>
      <c r="Q295" s="49" t="str">
        <f>TEXT(Table1[[#This Row],[Closing Date]],"yyyy")</f>
        <v>2023</v>
      </c>
      <c r="R295" s="49" t="str">
        <f>TEXT(Table1[[#This Row],[Closing Date]],"mmmm")</f>
        <v>October</v>
      </c>
      <c r="S295" s="49" t="s">
        <v>368</v>
      </c>
      <c r="T295" s="49" t="s">
        <v>429</v>
      </c>
    </row>
    <row r="296" spans="1:20" x14ac:dyDescent="0.25">
      <c r="A296" t="s">
        <v>283</v>
      </c>
      <c r="B296" t="s">
        <v>431</v>
      </c>
      <c r="C296" t="s">
        <v>51</v>
      </c>
      <c r="D296" t="s">
        <v>36</v>
      </c>
      <c r="E296" s="49"/>
      <c r="F296" s="60">
        <v>45219</v>
      </c>
      <c r="G296" t="s">
        <v>138</v>
      </c>
      <c r="H296">
        <v>1</v>
      </c>
      <c r="I296" s="49">
        <v>301850</v>
      </c>
      <c r="K296" s="115">
        <v>295340</v>
      </c>
      <c r="L296" s="49">
        <v>15092.5</v>
      </c>
      <c r="M296" s="49">
        <v>0</v>
      </c>
      <c r="N296" s="49">
        <v>6510</v>
      </c>
      <c r="O296" s="47">
        <v>2.1567003478548948E-2</v>
      </c>
      <c r="P296" s="72">
        <f t="shared" si="4"/>
        <v>270382.36703833728</v>
      </c>
      <c r="Q296" s="49" t="str">
        <f>TEXT(Table1[[#This Row],[Closing Date]],"yyyy")</f>
        <v>2023</v>
      </c>
      <c r="R296" s="49" t="str">
        <f>TEXT(Table1[[#This Row],[Closing Date]],"mmmm")</f>
        <v>October</v>
      </c>
      <c r="S296" s="49" t="s">
        <v>368</v>
      </c>
      <c r="T296" s="49" t="s">
        <v>429</v>
      </c>
    </row>
    <row r="297" spans="1:20" x14ac:dyDescent="0.25">
      <c r="A297" t="s">
        <v>283</v>
      </c>
      <c r="B297" t="s">
        <v>431</v>
      </c>
      <c r="C297" t="s">
        <v>51</v>
      </c>
      <c r="D297" t="s">
        <v>38</v>
      </c>
      <c r="E297" s="49"/>
      <c r="F297" s="60">
        <v>45223</v>
      </c>
      <c r="G297" t="s">
        <v>95</v>
      </c>
      <c r="H297">
        <v>12</v>
      </c>
      <c r="I297" s="49">
        <v>1271906.6399999999</v>
      </c>
      <c r="K297" s="115">
        <v>1263480</v>
      </c>
      <c r="L297" s="49">
        <v>105.99221999999999</v>
      </c>
      <c r="M297" s="49">
        <v>105.29</v>
      </c>
      <c r="N297" s="49">
        <v>-8426.6399999998976</v>
      </c>
      <c r="O297" s="47">
        <v>-6.6252032460494886E-3</v>
      </c>
      <c r="P297" s="72">
        <f t="shared" si="4"/>
        <v>261955.72703833738</v>
      </c>
      <c r="Q297" s="49" t="str">
        <f>TEXT(Table1[[#This Row],[Closing Date]],"yyyy")</f>
        <v>2023</v>
      </c>
      <c r="R297" s="49" t="str">
        <f>TEXT(Table1[[#This Row],[Closing Date]],"mmmm")</f>
        <v>October</v>
      </c>
      <c r="S297" s="49" t="s">
        <v>368</v>
      </c>
      <c r="T297" s="49" t="s">
        <v>429</v>
      </c>
    </row>
    <row r="298" spans="1:20" x14ac:dyDescent="0.25">
      <c r="A298" t="s">
        <v>283</v>
      </c>
      <c r="B298" t="s">
        <v>431</v>
      </c>
      <c r="C298" t="s">
        <v>56</v>
      </c>
      <c r="D298" t="s">
        <v>38</v>
      </c>
      <c r="E298" s="49"/>
      <c r="F298" s="60">
        <v>45224</v>
      </c>
      <c r="G298" t="s">
        <v>221</v>
      </c>
      <c r="H298">
        <v>135</v>
      </c>
      <c r="I298" s="49">
        <v>55438.75</v>
      </c>
      <c r="K298" s="115">
        <v>55583.09</v>
      </c>
      <c r="L298" s="49">
        <v>410.65740740740739</v>
      </c>
      <c r="M298" s="49">
        <v>411.72659259259257</v>
      </c>
      <c r="N298" s="49">
        <v>144.33999999999651</v>
      </c>
      <c r="O298" s="47">
        <v>2.603594056503736E-3</v>
      </c>
      <c r="P298" s="72">
        <f t="shared" si="4"/>
        <v>262100.06703833738</v>
      </c>
      <c r="Q298" s="49" t="str">
        <f>TEXT(Table1[[#This Row],[Closing Date]],"yyyy")</f>
        <v>2023</v>
      </c>
      <c r="R298" s="49" t="str">
        <f>TEXT(Table1[[#This Row],[Closing Date]],"mmmm")</f>
        <v>October</v>
      </c>
      <c r="S298" s="49" t="s">
        <v>368</v>
      </c>
      <c r="T298" s="49" t="s">
        <v>429</v>
      </c>
    </row>
    <row r="299" spans="1:20" x14ac:dyDescent="0.25">
      <c r="A299" t="s">
        <v>283</v>
      </c>
      <c r="B299" t="s">
        <v>431</v>
      </c>
      <c r="C299" t="s">
        <v>56</v>
      </c>
      <c r="D299" t="s">
        <v>38</v>
      </c>
      <c r="E299" s="49"/>
      <c r="F299" s="60">
        <v>45224</v>
      </c>
      <c r="G299" t="s">
        <v>220</v>
      </c>
      <c r="H299">
        <v>6500</v>
      </c>
      <c r="I299" s="49">
        <v>116707.5</v>
      </c>
      <c r="K299" s="115">
        <v>119190.6</v>
      </c>
      <c r="L299" s="49">
        <v>17.954999999999998</v>
      </c>
      <c r="M299" s="49">
        <v>18.337015384615384</v>
      </c>
      <c r="N299" s="49">
        <v>2483.1000000000058</v>
      </c>
      <c r="O299" s="47">
        <v>2.1276267592057117E-2</v>
      </c>
      <c r="P299" s="72">
        <f t="shared" si="4"/>
        <v>264583.16703833739</v>
      </c>
      <c r="Q299" s="49" t="str">
        <f>TEXT(Table1[[#This Row],[Closing Date]],"yyyy")</f>
        <v>2023</v>
      </c>
      <c r="R299" s="49" t="str">
        <f>TEXT(Table1[[#This Row],[Closing Date]],"mmmm")</f>
        <v>October</v>
      </c>
      <c r="S299" s="49" t="s">
        <v>368</v>
      </c>
      <c r="T299" s="49" t="s">
        <v>429</v>
      </c>
    </row>
    <row r="300" spans="1:20" x14ac:dyDescent="0.25">
      <c r="A300" t="s">
        <v>283</v>
      </c>
      <c r="B300" t="s">
        <v>431</v>
      </c>
      <c r="C300" t="s">
        <v>51</v>
      </c>
      <c r="D300" t="s">
        <v>38</v>
      </c>
      <c r="E300" s="49"/>
      <c r="F300" s="60">
        <v>45225</v>
      </c>
      <c r="G300" t="s">
        <v>52</v>
      </c>
      <c r="H300">
        <v>4</v>
      </c>
      <c r="I300" s="49">
        <v>341249.48</v>
      </c>
      <c r="K300" s="115">
        <v>333640</v>
      </c>
      <c r="L300" s="49">
        <v>85.312370000000001</v>
      </c>
      <c r="M300" s="49">
        <v>83.41</v>
      </c>
      <c r="N300" s="49">
        <v>-7609.4799999999814</v>
      </c>
      <c r="O300" s="47">
        <v>-2.2298876470082774E-2</v>
      </c>
      <c r="P300" s="72">
        <f t="shared" si="4"/>
        <v>256973.6870383374</v>
      </c>
      <c r="Q300" s="49" t="str">
        <f>TEXT(Table1[[#This Row],[Closing Date]],"yyyy")</f>
        <v>2023</v>
      </c>
      <c r="R300" s="49" t="str">
        <f>TEXT(Table1[[#This Row],[Closing Date]],"mmmm")</f>
        <v>October</v>
      </c>
      <c r="S300" s="49" t="s">
        <v>368</v>
      </c>
      <c r="T300" s="49" t="s">
        <v>429</v>
      </c>
    </row>
    <row r="301" spans="1:20" x14ac:dyDescent="0.25">
      <c r="A301" t="s">
        <v>283</v>
      </c>
      <c r="B301" t="s">
        <v>431</v>
      </c>
      <c r="C301" t="s">
        <v>56</v>
      </c>
      <c r="D301" t="s">
        <v>38</v>
      </c>
      <c r="E301" s="49"/>
      <c r="F301" s="60">
        <v>45225</v>
      </c>
      <c r="G301" t="s">
        <v>218</v>
      </c>
      <c r="H301">
        <v>11000</v>
      </c>
      <c r="I301" s="49">
        <v>744048</v>
      </c>
      <c r="K301" s="115">
        <v>743270</v>
      </c>
      <c r="L301" s="49">
        <v>67.640727272727275</v>
      </c>
      <c r="M301" s="49">
        <v>67.569999999999993</v>
      </c>
      <c r="N301" s="49">
        <v>-778</v>
      </c>
      <c r="O301" s="47">
        <v>-1.04563146463669E-3</v>
      </c>
      <c r="P301" s="72">
        <f t="shared" si="4"/>
        <v>256195.6870383374</v>
      </c>
      <c r="Q301" s="49" t="str">
        <f>TEXT(Table1[[#This Row],[Closing Date]],"yyyy")</f>
        <v>2023</v>
      </c>
      <c r="R301" s="49" t="str">
        <f>TEXT(Table1[[#This Row],[Closing Date]],"mmmm")</f>
        <v>October</v>
      </c>
      <c r="S301" s="49" t="s">
        <v>368</v>
      </c>
      <c r="T301" s="49" t="s">
        <v>429</v>
      </c>
    </row>
    <row r="302" spans="1:20" x14ac:dyDescent="0.25">
      <c r="A302" t="s">
        <v>283</v>
      </c>
      <c r="B302" t="s">
        <v>431</v>
      </c>
      <c r="C302" t="s">
        <v>56</v>
      </c>
      <c r="D302" t="s">
        <v>36</v>
      </c>
      <c r="E302" s="49"/>
      <c r="F302" s="60">
        <v>45225</v>
      </c>
      <c r="G302" t="s">
        <v>222</v>
      </c>
      <c r="H302">
        <v>800</v>
      </c>
      <c r="I302" s="49">
        <v>134649.56</v>
      </c>
      <c r="K302" s="115">
        <v>128868.38</v>
      </c>
      <c r="L302" s="49">
        <v>168.31195</v>
      </c>
      <c r="M302" s="49">
        <v>161.085475</v>
      </c>
      <c r="N302" s="49">
        <v>5781.179999999993</v>
      </c>
      <c r="O302" s="47">
        <v>4.2935008476819331E-2</v>
      </c>
      <c r="P302" s="72">
        <f t="shared" si="4"/>
        <v>261976.8670383374</v>
      </c>
      <c r="Q302" s="49" t="str">
        <f>TEXT(Table1[[#This Row],[Closing Date]],"yyyy")</f>
        <v>2023</v>
      </c>
      <c r="R302" s="49" t="str">
        <f>TEXT(Table1[[#This Row],[Closing Date]],"mmmm")</f>
        <v>October</v>
      </c>
      <c r="S302" s="49" t="s">
        <v>368</v>
      </c>
      <c r="T302" s="49" t="s">
        <v>429</v>
      </c>
    </row>
    <row r="303" spans="1:20" x14ac:dyDescent="0.25">
      <c r="A303" t="s">
        <v>283</v>
      </c>
      <c r="B303" t="s">
        <v>433</v>
      </c>
      <c r="C303" t="s">
        <v>35</v>
      </c>
      <c r="D303" t="s">
        <v>38</v>
      </c>
      <c r="E303" s="49"/>
      <c r="F303" s="60">
        <v>45225</v>
      </c>
      <c r="G303" t="s">
        <v>195</v>
      </c>
      <c r="H303">
        <v>625000</v>
      </c>
      <c r="I303" s="49">
        <v>11870187.5</v>
      </c>
      <c r="K303" s="115">
        <v>11829718.75</v>
      </c>
      <c r="L303" s="49">
        <v>18.9923</v>
      </c>
      <c r="M303" s="49">
        <v>18.92755</v>
      </c>
      <c r="N303" s="49">
        <v>-2163</v>
      </c>
      <c r="O303" s="47">
        <v>-3.4608E-3</v>
      </c>
      <c r="P303" s="72">
        <f t="shared" si="4"/>
        <v>259813.8670383374</v>
      </c>
      <c r="Q303" s="49" t="str">
        <f>TEXT(Table1[[#This Row],[Closing Date]],"yyyy")</f>
        <v>2023</v>
      </c>
      <c r="R303" s="49" t="str">
        <f>TEXT(Table1[[#This Row],[Closing Date]],"mmmm")</f>
        <v>October</v>
      </c>
      <c r="S303" s="49" t="s">
        <v>368</v>
      </c>
      <c r="T303" s="49" t="s">
        <v>429</v>
      </c>
    </row>
    <row r="304" spans="1:20" x14ac:dyDescent="0.25">
      <c r="A304" t="s">
        <v>283</v>
      </c>
      <c r="B304" t="s">
        <v>434</v>
      </c>
      <c r="C304" t="s">
        <v>51</v>
      </c>
      <c r="D304" t="s">
        <v>38</v>
      </c>
      <c r="E304" s="49"/>
      <c r="F304" s="60">
        <v>45225</v>
      </c>
      <c r="G304" t="s">
        <v>134</v>
      </c>
      <c r="H304">
        <v>200</v>
      </c>
      <c r="I304" s="49">
        <v>904192.8</v>
      </c>
      <c r="K304" s="115">
        <v>979503.2</v>
      </c>
      <c r="L304" s="49">
        <v>4.5209640000000002</v>
      </c>
      <c r="M304" s="49">
        <v>4.8975159999999995</v>
      </c>
      <c r="N304" s="49">
        <v>75310.399999999907</v>
      </c>
      <c r="O304" s="47">
        <v>8.3290200939445544E-2</v>
      </c>
      <c r="P304" s="72">
        <f t="shared" si="4"/>
        <v>335124.2670383373</v>
      </c>
      <c r="Q304" s="49" t="str">
        <f>TEXT(Table1[[#This Row],[Closing Date]],"yyyy")</f>
        <v>2023</v>
      </c>
      <c r="R304" s="49" t="str">
        <f>TEXT(Table1[[#This Row],[Closing Date]],"mmmm")</f>
        <v>October</v>
      </c>
      <c r="S304" s="49" t="s">
        <v>368</v>
      </c>
      <c r="T304" s="49" t="s">
        <v>429</v>
      </c>
    </row>
    <row r="305" spans="1:20" x14ac:dyDescent="0.25">
      <c r="A305" t="s">
        <v>283</v>
      </c>
      <c r="B305" t="s">
        <v>431</v>
      </c>
      <c r="C305" t="s">
        <v>35</v>
      </c>
      <c r="D305" t="s">
        <v>38</v>
      </c>
      <c r="E305" s="49"/>
      <c r="F305" s="60">
        <v>45226</v>
      </c>
      <c r="G305" t="s">
        <v>176</v>
      </c>
      <c r="H305">
        <v>1300000</v>
      </c>
      <c r="I305" s="49">
        <v>1774535.46</v>
      </c>
      <c r="K305" s="115">
        <v>1780967.37</v>
      </c>
      <c r="L305" s="49">
        <v>1.3650272769230769</v>
      </c>
      <c r="M305" s="49">
        <v>1.3699749000000001</v>
      </c>
      <c r="N305" s="49">
        <v>4721</v>
      </c>
      <c r="O305" s="47">
        <v>3.6315384615384617E-3</v>
      </c>
      <c r="P305" s="72">
        <f t="shared" si="4"/>
        <v>339845.2670383373</v>
      </c>
      <c r="Q305" s="49" t="str">
        <f>TEXT(Table1[[#This Row],[Closing Date]],"yyyy")</f>
        <v>2023</v>
      </c>
      <c r="R305" s="49" t="str">
        <f>TEXT(Table1[[#This Row],[Closing Date]],"mmmm")</f>
        <v>October</v>
      </c>
      <c r="S305" s="49" t="s">
        <v>368</v>
      </c>
      <c r="T305" s="49" t="s">
        <v>429</v>
      </c>
    </row>
    <row r="306" spans="1:20" x14ac:dyDescent="0.25">
      <c r="A306" t="s">
        <v>283</v>
      </c>
      <c r="B306" t="s">
        <v>434</v>
      </c>
      <c r="C306" t="s">
        <v>51</v>
      </c>
      <c r="D306" t="s">
        <v>38</v>
      </c>
      <c r="E306" s="49"/>
      <c r="F306" s="60">
        <v>45229</v>
      </c>
      <c r="G306" t="s">
        <v>136</v>
      </c>
      <c r="H306">
        <v>12</v>
      </c>
      <c r="I306" s="49">
        <v>363251.54</v>
      </c>
      <c r="K306" s="115">
        <v>359753.16</v>
      </c>
      <c r="L306" s="49">
        <v>27.027644345238091</v>
      </c>
      <c r="M306" s="49">
        <v>26.767348214285711</v>
      </c>
      <c r="N306" s="49">
        <v>-3498.3800000000047</v>
      </c>
      <c r="O306" s="47">
        <v>-9.6307368717556026E-3</v>
      </c>
      <c r="P306" s="72">
        <f t="shared" si="4"/>
        <v>336346.8870383373</v>
      </c>
      <c r="Q306" s="49" t="str">
        <f>TEXT(Table1[[#This Row],[Closing Date]],"yyyy")</f>
        <v>2023</v>
      </c>
      <c r="R306" s="49" t="str">
        <f>TEXT(Table1[[#This Row],[Closing Date]],"mmmm")</f>
        <v>October</v>
      </c>
      <c r="S306" s="49" t="s">
        <v>368</v>
      </c>
      <c r="T306" s="49" t="s">
        <v>429</v>
      </c>
    </row>
    <row r="307" spans="1:20" x14ac:dyDescent="0.25">
      <c r="A307" t="s">
        <v>283</v>
      </c>
      <c r="B307" t="s">
        <v>434</v>
      </c>
      <c r="C307" t="s">
        <v>51</v>
      </c>
      <c r="D307" t="s">
        <v>38</v>
      </c>
      <c r="E307" s="49"/>
      <c r="F307" s="60">
        <v>45231</v>
      </c>
      <c r="G307" t="s">
        <v>134</v>
      </c>
      <c r="H307">
        <v>160</v>
      </c>
      <c r="I307" s="49">
        <v>777325</v>
      </c>
      <c r="K307" s="115">
        <v>764241</v>
      </c>
      <c r="L307" s="49">
        <v>9.7330000000000005</v>
      </c>
      <c r="M307" s="49">
        <v>4.7765062499999997</v>
      </c>
      <c r="N307" s="49">
        <v>-13084</v>
      </c>
      <c r="O307" s="47">
        <v>-1.6832084391985334E-2</v>
      </c>
      <c r="P307" s="72">
        <f t="shared" si="4"/>
        <v>323262.8870383373</v>
      </c>
      <c r="Q307" s="49" t="str">
        <f>TEXT(Table1[[#This Row],[Closing Date]],"yyyy")</f>
        <v>2023</v>
      </c>
      <c r="R307" s="49" t="str">
        <f>TEXT(Table1[[#This Row],[Closing Date]],"mmmm")</f>
        <v>November</v>
      </c>
      <c r="S307" s="49" t="s">
        <v>368</v>
      </c>
      <c r="T307" s="49" t="s">
        <v>429</v>
      </c>
    </row>
    <row r="308" spans="1:20" x14ac:dyDescent="0.25">
      <c r="A308" t="s">
        <v>283</v>
      </c>
      <c r="B308" t="s">
        <v>431</v>
      </c>
      <c r="C308" t="s">
        <v>56</v>
      </c>
      <c r="D308" t="s">
        <v>36</v>
      </c>
      <c r="E308" s="49"/>
      <c r="F308" s="60">
        <v>45232</v>
      </c>
      <c r="G308" t="s">
        <v>206</v>
      </c>
      <c r="H308">
        <v>3000</v>
      </c>
      <c r="I308" s="49">
        <v>124775</v>
      </c>
      <c r="K308" s="115">
        <v>120765</v>
      </c>
      <c r="L308" s="49">
        <v>41.591666666666669</v>
      </c>
      <c r="M308" s="49">
        <v>40.255000000000003</v>
      </c>
      <c r="N308" s="49">
        <v>4010</v>
      </c>
      <c r="O308" s="47">
        <v>3.2137848126627927E-2</v>
      </c>
      <c r="P308" s="72">
        <f t="shared" si="4"/>
        <v>327272.8870383373</v>
      </c>
      <c r="Q308" s="49" t="str">
        <f>TEXT(Table1[[#This Row],[Closing Date]],"yyyy")</f>
        <v>2023</v>
      </c>
      <c r="R308" s="49" t="str">
        <f>TEXT(Table1[[#This Row],[Closing Date]],"mmmm")</f>
        <v>November</v>
      </c>
      <c r="S308" s="49" t="s">
        <v>368</v>
      </c>
      <c r="T308" s="49" t="s">
        <v>429</v>
      </c>
    </row>
    <row r="309" spans="1:20" x14ac:dyDescent="0.25">
      <c r="A309" t="s">
        <v>283</v>
      </c>
      <c r="B309" t="s">
        <v>431</v>
      </c>
      <c r="C309" t="s">
        <v>35</v>
      </c>
      <c r="D309" t="s">
        <v>38</v>
      </c>
      <c r="E309" s="49"/>
      <c r="F309" s="60">
        <v>45232</v>
      </c>
      <c r="G309" t="s">
        <v>182</v>
      </c>
      <c r="H309">
        <v>2000000</v>
      </c>
      <c r="I309" s="49">
        <v>2710150.73</v>
      </c>
      <c r="K309" s="115">
        <v>2747185.23</v>
      </c>
      <c r="L309" s="49">
        <v>1.355075365</v>
      </c>
      <c r="M309" s="49">
        <v>1.373592615</v>
      </c>
      <c r="N309" s="49">
        <v>26938</v>
      </c>
      <c r="O309" s="47">
        <v>1.3468999999999998E-2</v>
      </c>
      <c r="P309" s="72">
        <f t="shared" si="4"/>
        <v>354210.8870383373</v>
      </c>
      <c r="Q309" s="49" t="str">
        <f>TEXT(Table1[[#This Row],[Closing Date]],"yyyy")</f>
        <v>2023</v>
      </c>
      <c r="R309" s="49" t="str">
        <f>TEXT(Table1[[#This Row],[Closing Date]],"mmmm")</f>
        <v>November</v>
      </c>
      <c r="S309" s="49" t="s">
        <v>368</v>
      </c>
      <c r="T309" s="49" t="s">
        <v>429</v>
      </c>
    </row>
    <row r="310" spans="1:20" x14ac:dyDescent="0.25">
      <c r="A310" t="s">
        <v>283</v>
      </c>
      <c r="B310" t="s">
        <v>431</v>
      </c>
      <c r="C310" t="s">
        <v>35</v>
      </c>
      <c r="D310" t="s">
        <v>38</v>
      </c>
      <c r="E310" s="49"/>
      <c r="F310" s="60">
        <v>45233</v>
      </c>
      <c r="G310" t="s">
        <v>186</v>
      </c>
      <c r="H310">
        <v>450000</v>
      </c>
      <c r="I310" s="49">
        <v>7969532.8600000003</v>
      </c>
      <c r="K310" s="115">
        <v>7805140.04</v>
      </c>
      <c r="L310" s="49">
        <v>17.710073022222222</v>
      </c>
      <c r="M310" s="49">
        <v>17.344755644444444</v>
      </c>
      <c r="N310" s="49">
        <v>-9468</v>
      </c>
      <c r="O310" s="47">
        <v>-2.104E-2</v>
      </c>
      <c r="P310" s="72">
        <f t="shared" si="4"/>
        <v>344742.8870383373</v>
      </c>
      <c r="Q310" s="49" t="str">
        <f>TEXT(Table1[[#This Row],[Closing Date]],"yyyy")</f>
        <v>2023</v>
      </c>
      <c r="R310" s="49" t="str">
        <f>TEXT(Table1[[#This Row],[Closing Date]],"mmmm")</f>
        <v>November</v>
      </c>
      <c r="S310" s="49" t="s">
        <v>368</v>
      </c>
      <c r="T310" s="49" t="s">
        <v>429</v>
      </c>
    </row>
    <row r="311" spans="1:20" x14ac:dyDescent="0.25">
      <c r="A311" t="s">
        <v>283</v>
      </c>
      <c r="B311" t="s">
        <v>431</v>
      </c>
      <c r="C311" t="s">
        <v>56</v>
      </c>
      <c r="D311" t="s">
        <v>38</v>
      </c>
      <c r="E311" s="49"/>
      <c r="F311" s="60">
        <v>45238</v>
      </c>
      <c r="G311" t="s">
        <v>217</v>
      </c>
      <c r="H311">
        <v>980</v>
      </c>
      <c r="I311" s="49">
        <v>173121.9</v>
      </c>
      <c r="K311" s="115">
        <v>188847.77000000002</v>
      </c>
      <c r="L311" s="49">
        <v>176.655</v>
      </c>
      <c r="M311" s="49">
        <v>192.701806122449</v>
      </c>
      <c r="N311" s="49">
        <v>15725.870000000024</v>
      </c>
      <c r="O311" s="47">
        <v>9.0836976719872092E-2</v>
      </c>
      <c r="P311" s="72">
        <f t="shared" si="4"/>
        <v>360468.75703833729</v>
      </c>
      <c r="Q311" s="49" t="str">
        <f>TEXT(Table1[[#This Row],[Closing Date]],"yyyy")</f>
        <v>2023</v>
      </c>
      <c r="R311" s="49" t="str">
        <f>TEXT(Table1[[#This Row],[Closing Date]],"mmmm")</f>
        <v>November</v>
      </c>
      <c r="S311" s="49" t="s">
        <v>368</v>
      </c>
      <c r="T311" s="49" t="s">
        <v>429</v>
      </c>
    </row>
    <row r="312" spans="1:20" x14ac:dyDescent="0.25">
      <c r="A312" t="s">
        <v>283</v>
      </c>
      <c r="B312" t="s">
        <v>431</v>
      </c>
      <c r="C312" t="s">
        <v>51</v>
      </c>
      <c r="D312" t="s">
        <v>36</v>
      </c>
      <c r="E312" s="49"/>
      <c r="F312" s="60">
        <v>45239</v>
      </c>
      <c r="G312" t="s">
        <v>88</v>
      </c>
      <c r="H312">
        <v>2</v>
      </c>
      <c r="I312" s="49">
        <v>321893.96000000002</v>
      </c>
      <c r="K312" s="115">
        <v>328481.03999999998</v>
      </c>
      <c r="L312" s="49">
        <v>32189.396000000001</v>
      </c>
      <c r="M312" s="49">
        <v>0</v>
      </c>
      <c r="N312" s="49">
        <v>-6587.0799999999581</v>
      </c>
      <c r="O312" s="47">
        <v>-2.0463509163079537E-2</v>
      </c>
      <c r="P312" s="72">
        <f t="shared" si="4"/>
        <v>353881.67703833734</v>
      </c>
      <c r="Q312" s="49" t="str">
        <f>TEXT(Table1[[#This Row],[Closing Date]],"yyyy")</f>
        <v>2023</v>
      </c>
      <c r="R312" s="49" t="str">
        <f>TEXT(Table1[[#This Row],[Closing Date]],"mmmm")</f>
        <v>November</v>
      </c>
      <c r="S312" s="49" t="s">
        <v>368</v>
      </c>
      <c r="T312" s="49" t="s">
        <v>429</v>
      </c>
    </row>
    <row r="313" spans="1:20" x14ac:dyDescent="0.25">
      <c r="A313" t="s">
        <v>283</v>
      </c>
      <c r="B313" t="s">
        <v>431</v>
      </c>
      <c r="C313" t="s">
        <v>56</v>
      </c>
      <c r="D313" t="s">
        <v>38</v>
      </c>
      <c r="E313" s="49"/>
      <c r="F313" s="60">
        <v>45239</v>
      </c>
      <c r="G313" t="s">
        <v>204</v>
      </c>
      <c r="H313">
        <v>1900</v>
      </c>
      <c r="I313" s="49">
        <v>63659.5</v>
      </c>
      <c r="K313" s="115">
        <v>58722.65</v>
      </c>
      <c r="L313" s="49">
        <v>33.505000000000003</v>
      </c>
      <c r="M313" s="49">
        <v>30.906657894736842</v>
      </c>
      <c r="N313" s="49">
        <v>-4936.8499999999985</v>
      </c>
      <c r="O313" s="47">
        <v>-7.755087614574413E-2</v>
      </c>
      <c r="P313" s="72">
        <f t="shared" si="4"/>
        <v>348944.82703833736</v>
      </c>
      <c r="Q313" s="49" t="str">
        <f>TEXT(Table1[[#This Row],[Closing Date]],"yyyy")</f>
        <v>2023</v>
      </c>
      <c r="R313" s="49" t="str">
        <f>TEXT(Table1[[#This Row],[Closing Date]],"mmmm")</f>
        <v>November</v>
      </c>
      <c r="S313" s="49" t="s">
        <v>368</v>
      </c>
      <c r="T313" s="49" t="s">
        <v>429</v>
      </c>
    </row>
    <row r="314" spans="1:20" x14ac:dyDescent="0.25">
      <c r="A314" t="s">
        <v>283</v>
      </c>
      <c r="B314" t="s">
        <v>434</v>
      </c>
      <c r="C314" t="s">
        <v>35</v>
      </c>
      <c r="D314" t="s">
        <v>38</v>
      </c>
      <c r="E314" s="49"/>
      <c r="F314" s="60">
        <v>45239</v>
      </c>
      <c r="G314" t="s">
        <v>195</v>
      </c>
      <c r="H314">
        <v>670000</v>
      </c>
      <c r="I314" s="49">
        <v>12352060.130000001</v>
      </c>
      <c r="K314" s="115">
        <v>12313439.91</v>
      </c>
      <c r="L314" s="49">
        <v>18.435910641791047</v>
      </c>
      <c r="M314" s="49">
        <v>18.378268522388058</v>
      </c>
      <c r="N314" s="49">
        <v>-2088</v>
      </c>
      <c r="O314" s="47">
        <v>-3.1164179104477613E-3</v>
      </c>
      <c r="P314" s="72">
        <f t="shared" si="4"/>
        <v>346856.82703833736</v>
      </c>
      <c r="Q314" s="49" t="str">
        <f>TEXT(Table1[[#This Row],[Closing Date]],"yyyy")</f>
        <v>2023</v>
      </c>
      <c r="R314" s="49" t="str">
        <f>TEXT(Table1[[#This Row],[Closing Date]],"mmmm")</f>
        <v>November</v>
      </c>
      <c r="S314" s="49" t="s">
        <v>368</v>
      </c>
      <c r="T314" s="49" t="s">
        <v>429</v>
      </c>
    </row>
    <row r="315" spans="1:20" x14ac:dyDescent="0.25">
      <c r="A315" t="s">
        <v>283</v>
      </c>
      <c r="B315" t="s">
        <v>433</v>
      </c>
      <c r="C315" t="s">
        <v>35</v>
      </c>
      <c r="D315" t="s">
        <v>38</v>
      </c>
      <c r="E315" s="49"/>
      <c r="F315" s="60">
        <v>45244</v>
      </c>
      <c r="G315" t="s">
        <v>196</v>
      </c>
      <c r="H315">
        <v>750000</v>
      </c>
      <c r="I315" s="49">
        <v>9005075.6099999994</v>
      </c>
      <c r="K315" s="115">
        <v>9275812.0899999999</v>
      </c>
      <c r="L315" s="49">
        <v>12.006767479999999</v>
      </c>
      <c r="M315" s="49">
        <v>12.367749453333333</v>
      </c>
      <c r="N315" s="49">
        <v>24443</v>
      </c>
      <c r="O315" s="47">
        <v>3.2590666666666671E-2</v>
      </c>
      <c r="P315" s="72">
        <f t="shared" si="4"/>
        <v>371299.82703833736</v>
      </c>
      <c r="Q315" s="49" t="str">
        <f>TEXT(Table1[[#This Row],[Closing Date]],"yyyy")</f>
        <v>2023</v>
      </c>
      <c r="R315" s="49" t="str">
        <f>TEXT(Table1[[#This Row],[Closing Date]],"mmmm")</f>
        <v>November</v>
      </c>
      <c r="S315" s="49" t="s">
        <v>368</v>
      </c>
      <c r="T315" s="49" t="s">
        <v>429</v>
      </c>
    </row>
    <row r="316" spans="1:20" x14ac:dyDescent="0.25">
      <c r="A316" t="s">
        <v>276</v>
      </c>
      <c r="B316" t="s">
        <v>430</v>
      </c>
      <c r="C316" t="s">
        <v>147</v>
      </c>
      <c r="D316" t="s">
        <v>38</v>
      </c>
      <c r="E316" s="49"/>
      <c r="F316" s="60">
        <v>45245</v>
      </c>
      <c r="G316" t="s">
        <v>154</v>
      </c>
      <c r="H316">
        <v>6</v>
      </c>
      <c r="I316" s="49">
        <v>9567.16</v>
      </c>
      <c r="J316" s="106">
        <v>100</v>
      </c>
      <c r="K316" s="115">
        <v>9674.31</v>
      </c>
      <c r="L316" s="49">
        <v>15.945266666666667</v>
      </c>
      <c r="M316" s="49">
        <v>16.123850000000001</v>
      </c>
      <c r="N316" s="49">
        <v>107.14999999999964</v>
      </c>
      <c r="O316" s="47">
        <v>1.1199770882895277E-2</v>
      </c>
      <c r="P316" s="72">
        <f t="shared" si="4"/>
        <v>371406.97703833738</v>
      </c>
      <c r="Q316" s="49" t="str">
        <f>TEXT(Table1[[#This Row],[Closing Date]],"yyyy")</f>
        <v>2023</v>
      </c>
      <c r="R316" s="49" t="str">
        <f>TEXT(Table1[[#This Row],[Closing Date]],"mmmm")</f>
        <v>November</v>
      </c>
      <c r="S316" s="49" t="s">
        <v>368</v>
      </c>
      <c r="T316" s="49" t="s">
        <v>429</v>
      </c>
    </row>
    <row r="317" spans="1:20" x14ac:dyDescent="0.25">
      <c r="A317" t="s">
        <v>283</v>
      </c>
      <c r="B317" t="s">
        <v>431</v>
      </c>
      <c r="C317" t="s">
        <v>35</v>
      </c>
      <c r="D317" t="s">
        <v>36</v>
      </c>
      <c r="E317" s="49"/>
      <c r="F317" s="60">
        <v>45245</v>
      </c>
      <c r="G317" t="s">
        <v>61</v>
      </c>
      <c r="H317">
        <v>600000</v>
      </c>
      <c r="I317" s="49">
        <v>735675.29</v>
      </c>
      <c r="K317" s="115">
        <v>745809.33</v>
      </c>
      <c r="L317" s="49">
        <v>1.2261254833333335</v>
      </c>
      <c r="M317" s="49">
        <v>1.24301555</v>
      </c>
      <c r="N317" s="49">
        <v>-10134</v>
      </c>
      <c r="O317" s="47">
        <v>-1.6890000000000002E-2</v>
      </c>
      <c r="P317" s="72">
        <f t="shared" si="4"/>
        <v>361272.97703833738</v>
      </c>
      <c r="Q317" s="49" t="str">
        <f>TEXT(Table1[[#This Row],[Closing Date]],"yyyy")</f>
        <v>2023</v>
      </c>
      <c r="R317" s="49" t="str">
        <f>TEXT(Table1[[#This Row],[Closing Date]],"mmmm")</f>
        <v>November</v>
      </c>
      <c r="S317" s="49" t="s">
        <v>368</v>
      </c>
      <c r="T317" s="49" t="s">
        <v>429</v>
      </c>
    </row>
    <row r="318" spans="1:20" x14ac:dyDescent="0.25">
      <c r="A318" t="s">
        <v>283</v>
      </c>
      <c r="B318" t="s">
        <v>431</v>
      </c>
      <c r="C318" t="s">
        <v>35</v>
      </c>
      <c r="D318" t="s">
        <v>38</v>
      </c>
      <c r="E318" s="49"/>
      <c r="F318" s="60">
        <v>45245</v>
      </c>
      <c r="G318" t="s">
        <v>92</v>
      </c>
      <c r="H318">
        <v>750000</v>
      </c>
      <c r="I318" s="49">
        <v>8913964.3100000005</v>
      </c>
      <c r="K318" s="115">
        <v>8825114.1600000001</v>
      </c>
      <c r="L318" s="49">
        <v>11.885285746666668</v>
      </c>
      <c r="M318" s="49">
        <v>11.766818880000001</v>
      </c>
      <c r="N318" s="49">
        <v>-8274</v>
      </c>
      <c r="O318" s="47">
        <v>-1.1032E-2</v>
      </c>
      <c r="P318" s="72">
        <f t="shared" si="4"/>
        <v>352998.97703833738</v>
      </c>
      <c r="Q318" s="49" t="str">
        <f>TEXT(Table1[[#This Row],[Closing Date]],"yyyy")</f>
        <v>2023</v>
      </c>
      <c r="R318" s="49" t="str">
        <f>TEXT(Table1[[#This Row],[Closing Date]],"mmmm")</f>
        <v>November</v>
      </c>
      <c r="S318" s="49" t="s">
        <v>368</v>
      </c>
      <c r="T318" s="49" t="s">
        <v>429</v>
      </c>
    </row>
    <row r="319" spans="1:20" x14ac:dyDescent="0.25">
      <c r="A319" t="s">
        <v>283</v>
      </c>
      <c r="B319" t="s">
        <v>431</v>
      </c>
      <c r="C319" t="s">
        <v>56</v>
      </c>
      <c r="D319" t="s">
        <v>38</v>
      </c>
      <c r="E319" s="49"/>
      <c r="F319" s="60">
        <v>45246</v>
      </c>
      <c r="G319" t="s">
        <v>201</v>
      </c>
      <c r="H319">
        <v>3600</v>
      </c>
      <c r="I319" s="49">
        <v>259212</v>
      </c>
      <c r="K319" s="115">
        <v>260157.37</v>
      </c>
      <c r="L319" s="49">
        <v>72.00333333333333</v>
      </c>
      <c r="M319" s="49">
        <v>72.265936111111117</v>
      </c>
      <c r="N319" s="49">
        <v>945.36999999999534</v>
      </c>
      <c r="O319" s="47">
        <v>3.6470919556193205E-3</v>
      </c>
      <c r="P319" s="72">
        <f t="shared" si="4"/>
        <v>353944.34703833738</v>
      </c>
      <c r="Q319" s="49" t="str">
        <f>TEXT(Table1[[#This Row],[Closing Date]],"yyyy")</f>
        <v>2023</v>
      </c>
      <c r="R319" s="49" t="str">
        <f>TEXT(Table1[[#This Row],[Closing Date]],"mmmm")</f>
        <v>November</v>
      </c>
      <c r="S319" s="49" t="s">
        <v>368</v>
      </c>
      <c r="T319" s="49" t="s">
        <v>429</v>
      </c>
    </row>
    <row r="320" spans="1:20" x14ac:dyDescent="0.25">
      <c r="A320" t="s">
        <v>283</v>
      </c>
      <c r="B320" t="s">
        <v>434</v>
      </c>
      <c r="C320" t="s">
        <v>51</v>
      </c>
      <c r="D320" t="s">
        <v>38</v>
      </c>
      <c r="E320" s="49"/>
      <c r="F320" s="60">
        <v>45246</v>
      </c>
      <c r="G320" t="s">
        <v>52</v>
      </c>
      <c r="H320">
        <v>7</v>
      </c>
      <c r="I320" s="49">
        <v>542476.59</v>
      </c>
      <c r="K320" s="115">
        <v>529950</v>
      </c>
      <c r="L320" s="49">
        <v>154.90974</v>
      </c>
      <c r="M320" s="49">
        <v>0</v>
      </c>
      <c r="N320" s="49">
        <v>-12526.589999999967</v>
      </c>
      <c r="O320" s="47">
        <v>-2.3091484924722683E-2</v>
      </c>
      <c r="P320" s="72">
        <f t="shared" si="4"/>
        <v>341417.75703833741</v>
      </c>
      <c r="Q320" s="49" t="str">
        <f>TEXT(Table1[[#This Row],[Closing Date]],"yyyy")</f>
        <v>2023</v>
      </c>
      <c r="R320" s="49" t="str">
        <f>TEXT(Table1[[#This Row],[Closing Date]],"mmmm")</f>
        <v>November</v>
      </c>
      <c r="S320" s="49" t="s">
        <v>368</v>
      </c>
      <c r="T320" s="49" t="s">
        <v>429</v>
      </c>
    </row>
    <row r="321" spans="1:20" x14ac:dyDescent="0.25">
      <c r="A321" t="s">
        <v>283</v>
      </c>
      <c r="B321" t="s">
        <v>431</v>
      </c>
      <c r="C321" t="s">
        <v>35</v>
      </c>
      <c r="D321" t="s">
        <v>38</v>
      </c>
      <c r="E321" s="49"/>
      <c r="F321" s="60">
        <v>45247</v>
      </c>
      <c r="G321" t="s">
        <v>118</v>
      </c>
      <c r="H321">
        <v>2500000</v>
      </c>
      <c r="I321" s="49">
        <v>368877342.65999997</v>
      </c>
      <c r="K321" s="115">
        <v>374944992.81999999</v>
      </c>
      <c r="L321" s="49">
        <v>147.55093706399998</v>
      </c>
      <c r="M321" s="49">
        <v>149.977997128</v>
      </c>
      <c r="N321" s="49">
        <v>40456.935525159322</v>
      </c>
      <c r="O321" s="47">
        <v>1.0790098894474769E-4</v>
      </c>
      <c r="P321" s="72">
        <f t="shared" si="4"/>
        <v>381874.69256349676</v>
      </c>
      <c r="Q321" s="49" t="str">
        <f>TEXT(Table1[[#This Row],[Closing Date]],"yyyy")</f>
        <v>2023</v>
      </c>
      <c r="R321" s="49" t="str">
        <f>TEXT(Table1[[#This Row],[Closing Date]],"mmmm")</f>
        <v>November</v>
      </c>
      <c r="S321" s="49" t="s">
        <v>368</v>
      </c>
      <c r="T321" s="49" t="s">
        <v>429</v>
      </c>
    </row>
    <row r="322" spans="1:20" x14ac:dyDescent="0.25">
      <c r="A322" t="s">
        <v>283</v>
      </c>
      <c r="B322" t="s">
        <v>434</v>
      </c>
      <c r="C322" t="s">
        <v>51</v>
      </c>
      <c r="D322" t="s">
        <v>36</v>
      </c>
      <c r="E322" s="49"/>
      <c r="F322" s="60">
        <v>45247</v>
      </c>
      <c r="G322" t="s">
        <v>140</v>
      </c>
      <c r="H322">
        <v>3</v>
      </c>
      <c r="I322" s="49">
        <v>589192.74</v>
      </c>
      <c r="K322" s="115">
        <v>598507.26</v>
      </c>
      <c r="L322" s="49">
        <v>1963.9757999999999</v>
      </c>
      <c r="M322" s="49">
        <v>0</v>
      </c>
      <c r="N322" s="49">
        <v>-9314.5200000000186</v>
      </c>
      <c r="O322" s="47">
        <v>-1.58089524321023E-2</v>
      </c>
      <c r="P322" s="72">
        <f t="shared" si="4"/>
        <v>372560.17256349674</v>
      </c>
      <c r="Q322" s="49" t="str">
        <f>TEXT(Table1[[#This Row],[Closing Date]],"yyyy")</f>
        <v>2023</v>
      </c>
      <c r="R322" s="49" t="str">
        <f>TEXT(Table1[[#This Row],[Closing Date]],"mmmm")</f>
        <v>November</v>
      </c>
      <c r="S322" s="49" t="s">
        <v>368</v>
      </c>
      <c r="T322" s="49" t="s">
        <v>429</v>
      </c>
    </row>
    <row r="323" spans="1:20" x14ac:dyDescent="0.25">
      <c r="A323" t="s">
        <v>276</v>
      </c>
      <c r="B323" t="s">
        <v>430</v>
      </c>
      <c r="C323" t="s">
        <v>149</v>
      </c>
      <c r="D323" t="s">
        <v>38</v>
      </c>
      <c r="E323" s="49"/>
      <c r="F323" s="60">
        <v>45250</v>
      </c>
      <c r="G323" t="s">
        <v>150</v>
      </c>
      <c r="H323">
        <v>30</v>
      </c>
      <c r="I323" s="49">
        <v>5420.38</v>
      </c>
      <c r="J323" s="106">
        <v>100</v>
      </c>
      <c r="K323" s="115">
        <v>9784.32</v>
      </c>
      <c r="L323" s="49">
        <v>1.8067933333333335</v>
      </c>
      <c r="M323" s="49">
        <v>3.2614399999999999</v>
      </c>
      <c r="N323" s="49">
        <v>4363.9399999999996</v>
      </c>
      <c r="O323" s="47">
        <v>0.80509853552702926</v>
      </c>
      <c r="P323" s="72">
        <f t="shared" ref="P323:P386" si="5">N323+P322</f>
        <v>376924.11256349675</v>
      </c>
      <c r="Q323" s="49" t="str">
        <f>TEXT(Table1[[#This Row],[Closing Date]],"yyyy")</f>
        <v>2023</v>
      </c>
      <c r="R323" s="49" t="str">
        <f>TEXT(Table1[[#This Row],[Closing Date]],"mmmm")</f>
        <v>November</v>
      </c>
      <c r="S323" s="49" t="s">
        <v>368</v>
      </c>
      <c r="T323" s="49" t="s">
        <v>429</v>
      </c>
    </row>
    <row r="324" spans="1:20" x14ac:dyDescent="0.25">
      <c r="A324" t="s">
        <v>276</v>
      </c>
      <c r="B324" t="s">
        <v>431</v>
      </c>
      <c r="C324" t="s">
        <v>152</v>
      </c>
      <c r="D324" t="s">
        <v>38</v>
      </c>
      <c r="E324" s="49"/>
      <c r="F324" s="60">
        <v>45250</v>
      </c>
      <c r="G324" t="s">
        <v>173</v>
      </c>
      <c r="H324">
        <v>20</v>
      </c>
      <c r="I324" s="49">
        <v>2910.5</v>
      </c>
      <c r="J324" s="106">
        <v>100</v>
      </c>
      <c r="K324" s="115">
        <v>0</v>
      </c>
      <c r="L324" s="49">
        <v>1.4552500000000002</v>
      </c>
      <c r="M324" s="49"/>
      <c r="N324" s="49">
        <v>-2910.5</v>
      </c>
      <c r="O324" s="47">
        <v>-1</v>
      </c>
      <c r="P324" s="72">
        <f t="shared" si="5"/>
        <v>374013.61256349675</v>
      </c>
      <c r="Q324" s="49" t="str">
        <f>TEXT(Table1[[#This Row],[Closing Date]],"yyyy")</f>
        <v>2023</v>
      </c>
      <c r="R324" s="49" t="str">
        <f>TEXT(Table1[[#This Row],[Closing Date]],"mmmm")</f>
        <v>November</v>
      </c>
      <c r="S324" s="49" t="s">
        <v>368</v>
      </c>
      <c r="T324" s="49" t="s">
        <v>429</v>
      </c>
    </row>
    <row r="325" spans="1:20" x14ac:dyDescent="0.25">
      <c r="A325" t="s">
        <v>283</v>
      </c>
      <c r="B325" t="s">
        <v>431</v>
      </c>
      <c r="C325" t="s">
        <v>56</v>
      </c>
      <c r="D325" t="s">
        <v>38</v>
      </c>
      <c r="E325" s="49"/>
      <c r="F325" s="60">
        <v>45250</v>
      </c>
      <c r="G325" t="s">
        <v>50</v>
      </c>
      <c r="H325">
        <v>950</v>
      </c>
      <c r="I325" s="49">
        <v>432067.84000000003</v>
      </c>
      <c r="K325" s="115">
        <v>466333.89</v>
      </c>
      <c r="L325" s="49">
        <v>454.80825263157897</v>
      </c>
      <c r="M325" s="49">
        <v>490.87777894736843</v>
      </c>
      <c r="N325" s="49">
        <v>34266.049999999988</v>
      </c>
      <c r="O325" s="47">
        <v>7.9307106032237867E-2</v>
      </c>
      <c r="P325" s="72">
        <f t="shared" si="5"/>
        <v>408279.66256349673</v>
      </c>
      <c r="Q325" s="49" t="str">
        <f>TEXT(Table1[[#This Row],[Closing Date]],"yyyy")</f>
        <v>2023</v>
      </c>
      <c r="R325" s="49" t="str">
        <f>TEXT(Table1[[#This Row],[Closing Date]],"mmmm")</f>
        <v>November</v>
      </c>
      <c r="S325" s="49" t="s">
        <v>368</v>
      </c>
      <c r="T325" s="49" t="s">
        <v>429</v>
      </c>
    </row>
    <row r="326" spans="1:20" x14ac:dyDescent="0.25">
      <c r="A326" t="s">
        <v>283</v>
      </c>
      <c r="B326" t="s">
        <v>431</v>
      </c>
      <c r="C326" t="s">
        <v>56</v>
      </c>
      <c r="D326" t="s">
        <v>38</v>
      </c>
      <c r="E326" s="49"/>
      <c r="F326" s="60">
        <v>45251</v>
      </c>
      <c r="G326" t="s">
        <v>216</v>
      </c>
      <c r="H326">
        <v>3500</v>
      </c>
      <c r="I326" s="49">
        <v>148004.74</v>
      </c>
      <c r="K326" s="115">
        <v>155267.64000000001</v>
      </c>
      <c r="L326" s="49">
        <v>42.28706857142857</v>
      </c>
      <c r="M326" s="49">
        <v>44.362182857142862</v>
      </c>
      <c r="N326" s="49">
        <v>7262.9000000000233</v>
      </c>
      <c r="O326" s="47">
        <v>4.9072077015911951E-2</v>
      </c>
      <c r="P326" s="72">
        <f t="shared" si="5"/>
        <v>415542.56256349676</v>
      </c>
      <c r="Q326" s="49" t="str">
        <f>TEXT(Table1[[#This Row],[Closing Date]],"yyyy")</f>
        <v>2023</v>
      </c>
      <c r="R326" s="49" t="str">
        <f>TEXT(Table1[[#This Row],[Closing Date]],"mmmm")</f>
        <v>November</v>
      </c>
      <c r="S326" s="49" t="s">
        <v>368</v>
      </c>
      <c r="T326" s="49" t="s">
        <v>429</v>
      </c>
    </row>
    <row r="327" spans="1:20" x14ac:dyDescent="0.25">
      <c r="A327" t="s">
        <v>283</v>
      </c>
      <c r="B327" t="s">
        <v>431</v>
      </c>
      <c r="C327" t="s">
        <v>56</v>
      </c>
      <c r="D327" t="s">
        <v>38</v>
      </c>
      <c r="E327" s="49"/>
      <c r="F327" s="60">
        <v>45254</v>
      </c>
      <c r="G327" t="s">
        <v>225</v>
      </c>
      <c r="H327">
        <v>15000</v>
      </c>
      <c r="I327" s="49">
        <v>293144.83</v>
      </c>
      <c r="K327" s="115">
        <v>288516.14</v>
      </c>
      <c r="L327" s="49">
        <v>19.542988666666666</v>
      </c>
      <c r="M327" s="49">
        <v>19.234409333333335</v>
      </c>
      <c r="N327" s="49">
        <v>-4628.6900000000023</v>
      </c>
      <c r="O327" s="47">
        <v>-1.5789771902168639E-2</v>
      </c>
      <c r="P327" s="72">
        <f t="shared" si="5"/>
        <v>410913.87256349676</v>
      </c>
      <c r="Q327" s="49" t="str">
        <f>TEXT(Table1[[#This Row],[Closing Date]],"yyyy")</f>
        <v>2023</v>
      </c>
      <c r="R327" s="49" t="str">
        <f>TEXT(Table1[[#This Row],[Closing Date]],"mmmm")</f>
        <v>November</v>
      </c>
      <c r="S327" s="49" t="s">
        <v>368</v>
      </c>
      <c r="T327" s="49" t="s">
        <v>429</v>
      </c>
    </row>
    <row r="328" spans="1:20" x14ac:dyDescent="0.25">
      <c r="A328" t="s">
        <v>283</v>
      </c>
      <c r="B328" t="s">
        <v>431</v>
      </c>
      <c r="C328" t="s">
        <v>51</v>
      </c>
      <c r="D328" t="s">
        <v>38</v>
      </c>
      <c r="E328" s="49"/>
      <c r="F328" s="60">
        <v>45254</v>
      </c>
      <c r="G328" t="s">
        <v>95</v>
      </c>
      <c r="H328">
        <v>10</v>
      </c>
      <c r="I328" s="49">
        <v>1035500</v>
      </c>
      <c r="K328" s="115">
        <v>1032927.8</v>
      </c>
      <c r="L328" s="49">
        <v>103.55</v>
      </c>
      <c r="M328" s="49">
        <v>0</v>
      </c>
      <c r="N328" s="49">
        <v>-2572.1999999999534</v>
      </c>
      <c r="O328" s="47">
        <v>-2.4840173829067634E-3</v>
      </c>
      <c r="P328" s="72">
        <f t="shared" si="5"/>
        <v>408341.6725634968</v>
      </c>
      <c r="Q328" s="49" t="str">
        <f>TEXT(Table1[[#This Row],[Closing Date]],"yyyy")</f>
        <v>2023</v>
      </c>
      <c r="R328" s="49" t="str">
        <f>TEXT(Table1[[#This Row],[Closing Date]],"mmmm")</f>
        <v>November</v>
      </c>
      <c r="S328" s="49" t="s">
        <v>368</v>
      </c>
      <c r="T328" s="49" t="s">
        <v>429</v>
      </c>
    </row>
    <row r="329" spans="1:20" x14ac:dyDescent="0.25">
      <c r="A329" t="s">
        <v>283</v>
      </c>
      <c r="B329" t="s">
        <v>431</v>
      </c>
      <c r="C329" t="s">
        <v>56</v>
      </c>
      <c r="D329" t="s">
        <v>38</v>
      </c>
      <c r="E329" s="49"/>
      <c r="F329" s="60">
        <v>45254</v>
      </c>
      <c r="G329" t="s">
        <v>207</v>
      </c>
      <c r="H329">
        <v>1700</v>
      </c>
      <c r="I329" s="49">
        <v>44616.05</v>
      </c>
      <c r="K329" s="115">
        <v>42231.92</v>
      </c>
      <c r="L329" s="49">
        <v>26.24473529411765</v>
      </c>
      <c r="M329" s="49">
        <v>24.842305882352939</v>
      </c>
      <c r="N329" s="49">
        <v>-2384.1300000000047</v>
      </c>
      <c r="O329" s="47">
        <v>-5.3436599609333515E-2</v>
      </c>
      <c r="P329" s="72">
        <f t="shared" si="5"/>
        <v>405957.5425634968</v>
      </c>
      <c r="Q329" s="49" t="str">
        <f>TEXT(Table1[[#This Row],[Closing Date]],"yyyy")</f>
        <v>2023</v>
      </c>
      <c r="R329" s="49" t="str">
        <f>TEXT(Table1[[#This Row],[Closing Date]],"mmmm")</f>
        <v>November</v>
      </c>
      <c r="S329" s="49" t="s">
        <v>368</v>
      </c>
      <c r="T329" s="49" t="s">
        <v>429</v>
      </c>
    </row>
    <row r="330" spans="1:20" x14ac:dyDescent="0.25">
      <c r="A330" t="s">
        <v>276</v>
      </c>
      <c r="B330" t="s">
        <v>433</v>
      </c>
      <c r="C330" t="s">
        <v>149</v>
      </c>
      <c r="D330" t="s">
        <v>38</v>
      </c>
      <c r="E330" s="49"/>
      <c r="F330" s="60">
        <v>45254</v>
      </c>
      <c r="G330" t="s">
        <v>48</v>
      </c>
      <c r="H330">
        <v>20</v>
      </c>
      <c r="I330" s="49">
        <v>6435.78</v>
      </c>
      <c r="J330" s="106">
        <v>100</v>
      </c>
      <c r="K330" s="115">
        <v>0</v>
      </c>
      <c r="L330" s="49">
        <v>3.2178899999999997</v>
      </c>
      <c r="M330" s="49"/>
      <c r="N330" s="49">
        <v>-6435.78</v>
      </c>
      <c r="O330" s="47">
        <v>-1</v>
      </c>
      <c r="P330" s="72">
        <f t="shared" si="5"/>
        <v>399521.76256349677</v>
      </c>
      <c r="Q330" s="49" t="str">
        <f>TEXT(Table1[[#This Row],[Closing Date]],"yyyy")</f>
        <v>2023</v>
      </c>
      <c r="R330" s="49" t="str">
        <f>TEXT(Table1[[#This Row],[Closing Date]],"mmmm")</f>
        <v>November</v>
      </c>
      <c r="S330" s="49" t="s">
        <v>368</v>
      </c>
      <c r="T330" s="49" t="s">
        <v>429</v>
      </c>
    </row>
    <row r="331" spans="1:20" x14ac:dyDescent="0.25">
      <c r="A331" t="s">
        <v>283</v>
      </c>
      <c r="B331" t="s">
        <v>431</v>
      </c>
      <c r="C331" t="s">
        <v>56</v>
      </c>
      <c r="D331" t="s">
        <v>38</v>
      </c>
      <c r="E331" s="49"/>
      <c r="F331" s="60">
        <v>45257</v>
      </c>
      <c r="G331" t="s">
        <v>173</v>
      </c>
      <c r="H331">
        <v>4200</v>
      </c>
      <c r="I331" s="49">
        <v>99050</v>
      </c>
      <c r="K331" s="115">
        <v>123131.4</v>
      </c>
      <c r="L331" s="49">
        <v>23.583333333333332</v>
      </c>
      <c r="M331" s="49">
        <v>29.317</v>
      </c>
      <c r="N331" s="49">
        <v>24081.399999999994</v>
      </c>
      <c r="O331" s="47">
        <v>0.24312367491166073</v>
      </c>
      <c r="P331" s="72">
        <f t="shared" si="5"/>
        <v>423603.16256349673</v>
      </c>
      <c r="Q331" s="49" t="str">
        <f>TEXT(Table1[[#This Row],[Closing Date]],"yyyy")</f>
        <v>2023</v>
      </c>
      <c r="R331" s="49" t="str">
        <f>TEXT(Table1[[#This Row],[Closing Date]],"mmmm")</f>
        <v>November</v>
      </c>
      <c r="S331" s="49" t="s">
        <v>368</v>
      </c>
      <c r="T331" s="49" t="s">
        <v>429</v>
      </c>
    </row>
    <row r="332" spans="1:20" x14ac:dyDescent="0.25">
      <c r="A332" t="s">
        <v>283</v>
      </c>
      <c r="B332" t="s">
        <v>431</v>
      </c>
      <c r="C332" t="s">
        <v>56</v>
      </c>
      <c r="D332" t="s">
        <v>38</v>
      </c>
      <c r="E332" s="49"/>
      <c r="F332" s="60">
        <v>45258</v>
      </c>
      <c r="G332" t="s">
        <v>223</v>
      </c>
      <c r="H332">
        <v>990</v>
      </c>
      <c r="I332" s="49">
        <v>127912.95</v>
      </c>
      <c r="K332" s="115">
        <v>128035.09</v>
      </c>
      <c r="L332" s="49">
        <v>129.20499999999998</v>
      </c>
      <c r="M332" s="49">
        <v>129.32837373737374</v>
      </c>
      <c r="N332" s="49">
        <v>122.13999999999942</v>
      </c>
      <c r="O332" s="47">
        <v>9.548681349308215E-4</v>
      </c>
      <c r="P332" s="72">
        <f t="shared" si="5"/>
        <v>423725.30256349675</v>
      </c>
      <c r="Q332" s="49" t="str">
        <f>TEXT(Table1[[#This Row],[Closing Date]],"yyyy")</f>
        <v>2023</v>
      </c>
      <c r="R332" s="49" t="str">
        <f>TEXT(Table1[[#This Row],[Closing Date]],"mmmm")</f>
        <v>November</v>
      </c>
      <c r="S332" s="49" t="s">
        <v>368</v>
      </c>
      <c r="T332" s="49" t="s">
        <v>429</v>
      </c>
    </row>
    <row r="333" spans="1:20" x14ac:dyDescent="0.25">
      <c r="A333" t="s">
        <v>283</v>
      </c>
      <c r="B333" t="s">
        <v>431</v>
      </c>
      <c r="C333" t="s">
        <v>56</v>
      </c>
      <c r="D333" t="s">
        <v>38</v>
      </c>
      <c r="E333" s="49"/>
      <c r="F333" s="60">
        <v>45258</v>
      </c>
      <c r="G333" t="s">
        <v>212</v>
      </c>
      <c r="H333">
        <v>6500</v>
      </c>
      <c r="I333" s="49">
        <v>228091.5</v>
      </c>
      <c r="K333" s="115">
        <v>249427.75</v>
      </c>
      <c r="L333" s="49">
        <v>35.091000000000001</v>
      </c>
      <c r="M333" s="49">
        <v>38.3735</v>
      </c>
      <c r="N333" s="49">
        <v>21336.25</v>
      </c>
      <c r="O333" s="47">
        <v>9.3542503775896957E-2</v>
      </c>
      <c r="P333" s="72">
        <f t="shared" si="5"/>
        <v>445061.55256349675</v>
      </c>
      <c r="Q333" s="49" t="str">
        <f>TEXT(Table1[[#This Row],[Closing Date]],"yyyy")</f>
        <v>2023</v>
      </c>
      <c r="R333" s="49" t="str">
        <f>TEXT(Table1[[#This Row],[Closing Date]],"mmmm")</f>
        <v>November</v>
      </c>
      <c r="S333" s="49" t="s">
        <v>368</v>
      </c>
      <c r="T333" s="49" t="s">
        <v>429</v>
      </c>
    </row>
    <row r="334" spans="1:20" x14ac:dyDescent="0.25">
      <c r="A334" t="s">
        <v>283</v>
      </c>
      <c r="B334" t="s">
        <v>431</v>
      </c>
      <c r="C334" t="s">
        <v>56</v>
      </c>
      <c r="D334" t="s">
        <v>38</v>
      </c>
      <c r="E334" s="49"/>
      <c r="F334" s="60">
        <v>45259</v>
      </c>
      <c r="G334" t="s">
        <v>226</v>
      </c>
      <c r="H334">
        <v>600</v>
      </c>
      <c r="I334" s="49">
        <v>62750.57</v>
      </c>
      <c r="K334" s="115">
        <v>69358.36</v>
      </c>
      <c r="L334" s="49">
        <v>104.58428333333333</v>
      </c>
      <c r="M334" s="49">
        <v>115.59726666666667</v>
      </c>
      <c r="N334" s="49">
        <v>6607.7900000000009</v>
      </c>
      <c r="O334" s="47">
        <v>0.10530246976242608</v>
      </c>
      <c r="P334" s="72">
        <f t="shared" si="5"/>
        <v>451669.34256349673</v>
      </c>
      <c r="Q334" s="49" t="str">
        <f>TEXT(Table1[[#This Row],[Closing Date]],"yyyy")</f>
        <v>2023</v>
      </c>
      <c r="R334" s="49" t="str">
        <f>TEXT(Table1[[#This Row],[Closing Date]],"mmmm")</f>
        <v>November</v>
      </c>
      <c r="S334" s="49" t="s">
        <v>368</v>
      </c>
      <c r="T334" s="49" t="s">
        <v>429</v>
      </c>
    </row>
    <row r="335" spans="1:20" x14ac:dyDescent="0.25">
      <c r="A335" t="s">
        <v>283</v>
      </c>
      <c r="B335" t="s">
        <v>431</v>
      </c>
      <c r="C335" t="s">
        <v>56</v>
      </c>
      <c r="D335" t="s">
        <v>38</v>
      </c>
      <c r="E335" s="49"/>
      <c r="F335" s="60">
        <v>45260</v>
      </c>
      <c r="G335" t="s">
        <v>224</v>
      </c>
      <c r="H335">
        <v>500</v>
      </c>
      <c r="I335" s="49">
        <v>164562.32</v>
      </c>
      <c r="K335" s="115">
        <v>165124.35999999999</v>
      </c>
      <c r="L335" s="49">
        <v>329.12464</v>
      </c>
      <c r="M335" s="49">
        <v>330.24871999999999</v>
      </c>
      <c r="N335" s="49">
        <v>562.03999999997905</v>
      </c>
      <c r="O335" s="47">
        <v>3.4153626419460969E-3</v>
      </c>
      <c r="P335" s="72">
        <f t="shared" si="5"/>
        <v>452231.38256349671</v>
      </c>
      <c r="Q335" s="49" t="str">
        <f>TEXT(Table1[[#This Row],[Closing Date]],"yyyy")</f>
        <v>2023</v>
      </c>
      <c r="R335" s="49" t="str">
        <f>TEXT(Table1[[#This Row],[Closing Date]],"mmmm")</f>
        <v>November</v>
      </c>
      <c r="S335" s="49" t="s">
        <v>368</v>
      </c>
      <c r="T335" s="49" t="s">
        <v>429</v>
      </c>
    </row>
    <row r="336" spans="1:20" x14ac:dyDescent="0.25">
      <c r="A336" t="s">
        <v>283</v>
      </c>
      <c r="B336" t="s">
        <v>431</v>
      </c>
      <c r="C336" t="s">
        <v>56</v>
      </c>
      <c r="D336" t="s">
        <v>38</v>
      </c>
      <c r="E336" s="49"/>
      <c r="F336" s="60">
        <v>45260</v>
      </c>
      <c r="G336" t="s">
        <v>79</v>
      </c>
      <c r="H336">
        <v>680</v>
      </c>
      <c r="I336" s="49">
        <v>161166.79999999999</v>
      </c>
      <c r="K336" s="115">
        <v>163226.79999999999</v>
      </c>
      <c r="L336" s="49">
        <v>237.01</v>
      </c>
      <c r="M336" s="49">
        <v>240.03941176470587</v>
      </c>
      <c r="N336" s="49">
        <v>2060</v>
      </c>
      <c r="O336" s="47">
        <v>1.2781788805138528E-2</v>
      </c>
      <c r="P336" s="72">
        <f t="shared" si="5"/>
        <v>454291.38256349671</v>
      </c>
      <c r="Q336" s="49" t="str">
        <f>TEXT(Table1[[#This Row],[Closing Date]],"yyyy")</f>
        <v>2023</v>
      </c>
      <c r="R336" s="49" t="str">
        <f>TEXT(Table1[[#This Row],[Closing Date]],"mmmm")</f>
        <v>November</v>
      </c>
      <c r="S336" s="49" t="s">
        <v>368</v>
      </c>
      <c r="T336" s="49" t="s">
        <v>429</v>
      </c>
    </row>
    <row r="337" spans="1:20" x14ac:dyDescent="0.25">
      <c r="A337" t="s">
        <v>283</v>
      </c>
      <c r="B337" t="s">
        <v>431</v>
      </c>
      <c r="C337" t="s">
        <v>51</v>
      </c>
      <c r="D337" t="s">
        <v>38</v>
      </c>
      <c r="E337" s="49"/>
      <c r="F337" s="60">
        <v>45261</v>
      </c>
      <c r="G337" t="s">
        <v>137</v>
      </c>
      <c r="H337">
        <v>6</v>
      </c>
      <c r="I337" s="49">
        <v>540853.19999999995</v>
      </c>
      <c r="K337" s="115">
        <v>557836.80000000005</v>
      </c>
      <c r="L337" s="49">
        <v>1802.8439999999998</v>
      </c>
      <c r="M337" s="49">
        <v>1859.4560000000001</v>
      </c>
      <c r="N337" s="49">
        <v>16983.600000000093</v>
      </c>
      <c r="O337" s="47">
        <v>3.1401496746252207E-2</v>
      </c>
      <c r="P337" s="72">
        <f t="shared" si="5"/>
        <v>471274.9825634968</v>
      </c>
      <c r="Q337" s="49" t="str">
        <f>TEXT(Table1[[#This Row],[Closing Date]],"yyyy")</f>
        <v>2023</v>
      </c>
      <c r="R337" s="49" t="str">
        <f>TEXT(Table1[[#This Row],[Closing Date]],"mmmm")</f>
        <v>December</v>
      </c>
      <c r="S337" s="49" t="s">
        <v>368</v>
      </c>
      <c r="T337" s="49" t="s">
        <v>429</v>
      </c>
    </row>
    <row r="338" spans="1:20" x14ac:dyDescent="0.25">
      <c r="A338" t="s">
        <v>283</v>
      </c>
      <c r="B338" t="s">
        <v>431</v>
      </c>
      <c r="C338" t="s">
        <v>56</v>
      </c>
      <c r="D338" t="s">
        <v>36</v>
      </c>
      <c r="E338" s="49"/>
      <c r="F338" s="60">
        <v>45264</v>
      </c>
      <c r="G338" t="s">
        <v>208</v>
      </c>
      <c r="H338">
        <v>2600</v>
      </c>
      <c r="I338" s="49">
        <v>96605.61</v>
      </c>
      <c r="K338" s="115">
        <v>98111</v>
      </c>
      <c r="L338" s="49">
        <v>37.156003846153844</v>
      </c>
      <c r="M338" s="49">
        <v>37.734999999999999</v>
      </c>
      <c r="N338" s="49">
        <v>-1505.3899999999994</v>
      </c>
      <c r="O338" s="47">
        <v>-1.558284244569233E-2</v>
      </c>
      <c r="P338" s="72">
        <f t="shared" si="5"/>
        <v>469769.59256349679</v>
      </c>
      <c r="Q338" s="49" t="str">
        <f>TEXT(Table1[[#This Row],[Closing Date]],"yyyy")</f>
        <v>2023</v>
      </c>
      <c r="R338" s="49" t="str">
        <f>TEXT(Table1[[#This Row],[Closing Date]],"mmmm")</f>
        <v>December</v>
      </c>
      <c r="S338" s="49" t="s">
        <v>368</v>
      </c>
      <c r="T338" s="49" t="s">
        <v>429</v>
      </c>
    </row>
    <row r="339" spans="1:20" x14ac:dyDescent="0.25">
      <c r="A339" t="s">
        <v>283</v>
      </c>
      <c r="B339" t="s">
        <v>431</v>
      </c>
      <c r="C339" t="s">
        <v>56</v>
      </c>
      <c r="D339" t="s">
        <v>38</v>
      </c>
      <c r="E339" s="49"/>
      <c r="F339" s="60">
        <v>45264</v>
      </c>
      <c r="G339" t="s">
        <v>79</v>
      </c>
      <c r="H339">
        <v>100</v>
      </c>
      <c r="I339" s="49">
        <v>23888.5</v>
      </c>
      <c r="K339" s="115">
        <v>23603</v>
      </c>
      <c r="L339" s="49">
        <v>238.88499999999999</v>
      </c>
      <c r="M339" s="49">
        <v>236.03</v>
      </c>
      <c r="N339" s="49">
        <v>-285.5</v>
      </c>
      <c r="O339" s="47">
        <v>-1.1951357347677752E-2</v>
      </c>
      <c r="P339" s="72">
        <f t="shared" si="5"/>
        <v>469484.09256349679</v>
      </c>
      <c r="Q339" s="49" t="str">
        <f>TEXT(Table1[[#This Row],[Closing Date]],"yyyy")</f>
        <v>2023</v>
      </c>
      <c r="R339" s="49" t="str">
        <f>TEXT(Table1[[#This Row],[Closing Date]],"mmmm")</f>
        <v>December</v>
      </c>
      <c r="S339" s="49" t="s">
        <v>368</v>
      </c>
      <c r="T339" s="49" t="s">
        <v>429</v>
      </c>
    </row>
    <row r="340" spans="1:20" x14ac:dyDescent="0.25">
      <c r="A340" t="s">
        <v>283</v>
      </c>
      <c r="B340" t="s">
        <v>431</v>
      </c>
      <c r="C340" t="s">
        <v>56</v>
      </c>
      <c r="D340" t="s">
        <v>36</v>
      </c>
      <c r="E340" s="49"/>
      <c r="F340" s="60">
        <v>45265</v>
      </c>
      <c r="G340" t="s">
        <v>174</v>
      </c>
      <c r="H340">
        <v>10000</v>
      </c>
      <c r="I340" s="49">
        <v>137450.18</v>
      </c>
      <c r="K340" s="115">
        <v>145050</v>
      </c>
      <c r="L340" s="49">
        <v>13.745018</v>
      </c>
      <c r="M340" s="49">
        <v>14.505000000000001</v>
      </c>
      <c r="N340" s="49">
        <v>-7599.820000000007</v>
      </c>
      <c r="O340" s="47">
        <v>-5.5291451782747809E-2</v>
      </c>
      <c r="P340" s="72">
        <f t="shared" si="5"/>
        <v>461884.27256349678</v>
      </c>
      <c r="Q340" s="49" t="str">
        <f>TEXT(Table1[[#This Row],[Closing Date]],"yyyy")</f>
        <v>2023</v>
      </c>
      <c r="R340" s="49" t="str">
        <f>TEXT(Table1[[#This Row],[Closing Date]],"mmmm")</f>
        <v>December</v>
      </c>
      <c r="S340" s="49" t="s">
        <v>368</v>
      </c>
      <c r="T340" s="49" t="s">
        <v>429</v>
      </c>
    </row>
    <row r="341" spans="1:20" x14ac:dyDescent="0.25">
      <c r="A341" t="s">
        <v>283</v>
      </c>
      <c r="B341" t="s">
        <v>431</v>
      </c>
      <c r="C341" t="s">
        <v>56</v>
      </c>
      <c r="D341" t="s">
        <v>38</v>
      </c>
      <c r="E341" s="49"/>
      <c r="F341" s="60">
        <v>45265</v>
      </c>
      <c r="G341" t="s">
        <v>230</v>
      </c>
      <c r="H341">
        <v>3900</v>
      </c>
      <c r="I341" s="49">
        <v>127959</v>
      </c>
      <c r="K341" s="115">
        <v>120721.86</v>
      </c>
      <c r="L341" s="49">
        <v>32.81</v>
      </c>
      <c r="M341" s="49">
        <v>30.954323076923078</v>
      </c>
      <c r="N341" s="49">
        <v>-7237.1399999999994</v>
      </c>
      <c r="O341" s="47">
        <v>-5.655827257168311E-2</v>
      </c>
      <c r="P341" s="72">
        <f t="shared" si="5"/>
        <v>454647.13256349677</v>
      </c>
      <c r="Q341" s="49" t="str">
        <f>TEXT(Table1[[#This Row],[Closing Date]],"yyyy")</f>
        <v>2023</v>
      </c>
      <c r="R341" s="49" t="str">
        <f>TEXT(Table1[[#This Row],[Closing Date]],"mmmm")</f>
        <v>December</v>
      </c>
      <c r="S341" s="49" t="s">
        <v>368</v>
      </c>
      <c r="T341" s="49" t="s">
        <v>429</v>
      </c>
    </row>
    <row r="342" spans="1:20" x14ac:dyDescent="0.25">
      <c r="A342" t="s">
        <v>283</v>
      </c>
      <c r="B342" t="s">
        <v>431</v>
      </c>
      <c r="C342" t="s">
        <v>56</v>
      </c>
      <c r="D342" t="s">
        <v>38</v>
      </c>
      <c r="E342" s="49"/>
      <c r="F342" s="60">
        <v>45265</v>
      </c>
      <c r="G342" t="s">
        <v>227</v>
      </c>
      <c r="H342">
        <v>1560</v>
      </c>
      <c r="I342" s="49">
        <v>147864.95999999999</v>
      </c>
      <c r="K342" s="115">
        <v>149231.34</v>
      </c>
      <c r="L342" s="49">
        <v>94.785230769230765</v>
      </c>
      <c r="M342" s="49">
        <v>95.661115384615385</v>
      </c>
      <c r="N342" s="49">
        <v>1366.3800000000047</v>
      </c>
      <c r="O342" s="47">
        <v>9.2407288379884236E-3</v>
      </c>
      <c r="P342" s="72">
        <f t="shared" si="5"/>
        <v>456013.51256349677</v>
      </c>
      <c r="Q342" s="49" t="str">
        <f>TEXT(Table1[[#This Row],[Closing Date]],"yyyy")</f>
        <v>2023</v>
      </c>
      <c r="R342" s="49" t="str">
        <f>TEXT(Table1[[#This Row],[Closing Date]],"mmmm")</f>
        <v>December</v>
      </c>
      <c r="S342" s="49" t="s">
        <v>368</v>
      </c>
      <c r="T342" s="49" t="s">
        <v>429</v>
      </c>
    </row>
    <row r="343" spans="1:20" x14ac:dyDescent="0.25">
      <c r="A343" t="s">
        <v>283</v>
      </c>
      <c r="B343" t="s">
        <v>430</v>
      </c>
      <c r="C343" t="s">
        <v>56</v>
      </c>
      <c r="D343" t="s">
        <v>38</v>
      </c>
      <c r="E343" s="49"/>
      <c r="F343" s="60">
        <v>45266</v>
      </c>
      <c r="G343" t="s">
        <v>50</v>
      </c>
      <c r="H343">
        <v>450</v>
      </c>
      <c r="I343" s="49">
        <v>207423.95</v>
      </c>
      <c r="K343" s="115">
        <v>204912.55</v>
      </c>
      <c r="L343" s="49">
        <v>460.94211111111116</v>
      </c>
      <c r="M343" s="49">
        <v>455.36122222222218</v>
      </c>
      <c r="N343" s="49">
        <v>-2511.4000000000233</v>
      </c>
      <c r="O343" s="47">
        <v>-1.2107570027472831E-2</v>
      </c>
      <c r="P343" s="72">
        <f t="shared" si="5"/>
        <v>453502.11256349675</v>
      </c>
      <c r="Q343" s="49" t="str">
        <f>TEXT(Table1[[#This Row],[Closing Date]],"yyyy")</f>
        <v>2023</v>
      </c>
      <c r="R343" s="49" t="str">
        <f>TEXT(Table1[[#This Row],[Closing Date]],"mmmm")</f>
        <v>December</v>
      </c>
      <c r="S343" s="49" t="s">
        <v>368</v>
      </c>
      <c r="T343" s="49" t="s">
        <v>429</v>
      </c>
    </row>
    <row r="344" spans="1:20" x14ac:dyDescent="0.25">
      <c r="A344" t="s">
        <v>283</v>
      </c>
      <c r="B344" t="s">
        <v>431</v>
      </c>
      <c r="C344" t="s">
        <v>56</v>
      </c>
      <c r="D344" t="s">
        <v>38</v>
      </c>
      <c r="E344" s="49"/>
      <c r="F344" s="60">
        <v>45267</v>
      </c>
      <c r="G344" t="s">
        <v>229</v>
      </c>
      <c r="H344">
        <v>5000</v>
      </c>
      <c r="I344" s="49">
        <v>122876.73999999999</v>
      </c>
      <c r="K344" s="115">
        <v>115424.35</v>
      </c>
      <c r="L344" s="49">
        <v>24.575347999999998</v>
      </c>
      <c r="M344" s="49">
        <v>23.084870000000002</v>
      </c>
      <c r="N344" s="49">
        <v>-7452.3899999999849</v>
      </c>
      <c r="O344" s="47">
        <v>-6.0649314101269169E-2</v>
      </c>
      <c r="P344" s="72">
        <f t="shared" si="5"/>
        <v>446049.72256349679</v>
      </c>
      <c r="Q344" s="49" t="str">
        <f>TEXT(Table1[[#This Row],[Closing Date]],"yyyy")</f>
        <v>2023</v>
      </c>
      <c r="R344" s="49" t="str">
        <f>TEXT(Table1[[#This Row],[Closing Date]],"mmmm")</f>
        <v>December</v>
      </c>
      <c r="S344" s="49" t="s">
        <v>368</v>
      </c>
      <c r="T344" s="49" t="s">
        <v>429</v>
      </c>
    </row>
    <row r="345" spans="1:20" x14ac:dyDescent="0.25">
      <c r="A345" t="s">
        <v>283</v>
      </c>
      <c r="B345" t="s">
        <v>431</v>
      </c>
      <c r="C345" t="s">
        <v>56</v>
      </c>
      <c r="D345" t="s">
        <v>38</v>
      </c>
      <c r="E345" s="49"/>
      <c r="F345" s="60">
        <v>45268</v>
      </c>
      <c r="G345" t="s">
        <v>228</v>
      </c>
      <c r="H345">
        <v>4000</v>
      </c>
      <c r="I345" s="49">
        <v>137577.45000000001</v>
      </c>
      <c r="K345" s="115">
        <v>129708.36</v>
      </c>
      <c r="L345" s="49">
        <v>34.3943625</v>
      </c>
      <c r="M345" s="49">
        <v>32.42709</v>
      </c>
      <c r="N345" s="49">
        <v>-7869.0900000000111</v>
      </c>
      <c r="O345" s="47">
        <v>-5.719752764715446E-2</v>
      </c>
      <c r="P345" s="72">
        <f t="shared" si="5"/>
        <v>438180.63256349677</v>
      </c>
      <c r="Q345" s="49" t="str">
        <f>TEXT(Table1[[#This Row],[Closing Date]],"yyyy")</f>
        <v>2023</v>
      </c>
      <c r="R345" s="49" t="str">
        <f>TEXT(Table1[[#This Row],[Closing Date]],"mmmm")</f>
        <v>December</v>
      </c>
      <c r="S345" s="49" t="s">
        <v>368</v>
      </c>
      <c r="T345" s="49" t="s">
        <v>429</v>
      </c>
    </row>
    <row r="346" spans="1:20" x14ac:dyDescent="0.25">
      <c r="A346" t="s">
        <v>276</v>
      </c>
      <c r="B346" t="s">
        <v>431</v>
      </c>
      <c r="C346" t="s">
        <v>152</v>
      </c>
      <c r="D346" t="s">
        <v>38</v>
      </c>
      <c r="E346" s="49"/>
      <c r="F346" s="60">
        <v>45273</v>
      </c>
      <c r="G346" t="s">
        <v>52</v>
      </c>
      <c r="H346">
        <v>270</v>
      </c>
      <c r="I346" s="49">
        <v>78064.740000000005</v>
      </c>
      <c r="J346" s="106">
        <v>100</v>
      </c>
      <c r="K346" s="115">
        <v>71447.86</v>
      </c>
      <c r="L346" s="49">
        <v>4.5047700000000006</v>
      </c>
      <c r="M346" s="49">
        <v>3.2476299999999996</v>
      </c>
      <c r="N346" s="49">
        <v>-6616.8800000000047</v>
      </c>
      <c r="O346" s="47">
        <v>-0.27906863169484808</v>
      </c>
      <c r="P346" s="72">
        <f t="shared" si="5"/>
        <v>431563.75256349676</v>
      </c>
      <c r="Q346" s="49" t="str">
        <f>TEXT(Table1[[#This Row],[Closing Date]],"yyyy")</f>
        <v>2023</v>
      </c>
      <c r="R346" s="49" t="str">
        <f>TEXT(Table1[[#This Row],[Closing Date]],"mmmm")</f>
        <v>December</v>
      </c>
      <c r="S346" s="49" t="s">
        <v>368</v>
      </c>
      <c r="T346" s="49" t="s">
        <v>429</v>
      </c>
    </row>
    <row r="347" spans="1:20" x14ac:dyDescent="0.25">
      <c r="A347" t="s">
        <v>276</v>
      </c>
      <c r="B347" t="s">
        <v>431</v>
      </c>
      <c r="C347" t="s">
        <v>149</v>
      </c>
      <c r="D347" t="s">
        <v>38</v>
      </c>
      <c r="E347" s="49"/>
      <c r="F347" s="60">
        <v>45273</v>
      </c>
      <c r="G347" t="s">
        <v>140</v>
      </c>
      <c r="H347">
        <v>4</v>
      </c>
      <c r="I347" s="49">
        <v>7369.48</v>
      </c>
      <c r="J347" s="106">
        <v>100</v>
      </c>
      <c r="K347" s="115">
        <v>12490.52</v>
      </c>
      <c r="L347" s="49">
        <v>18.4237</v>
      </c>
      <c r="M347" s="49">
        <v>31.226300000000002</v>
      </c>
      <c r="N347" s="49">
        <v>5121.0400000000009</v>
      </c>
      <c r="O347" s="47">
        <v>0.69489841888437187</v>
      </c>
      <c r="P347" s="72">
        <f t="shared" si="5"/>
        <v>436684.79256349674</v>
      </c>
      <c r="Q347" s="49" t="str">
        <f>TEXT(Table1[[#This Row],[Closing Date]],"yyyy")</f>
        <v>2023</v>
      </c>
      <c r="R347" s="49" t="str">
        <f>TEXT(Table1[[#This Row],[Closing Date]],"mmmm")</f>
        <v>December</v>
      </c>
      <c r="S347" s="49" t="s">
        <v>368</v>
      </c>
      <c r="T347" s="49" t="s">
        <v>429</v>
      </c>
    </row>
    <row r="348" spans="1:20" x14ac:dyDescent="0.25">
      <c r="A348" t="s">
        <v>283</v>
      </c>
      <c r="B348" t="s">
        <v>434</v>
      </c>
      <c r="C348" t="s">
        <v>35</v>
      </c>
      <c r="D348" t="s">
        <v>38</v>
      </c>
      <c r="E348" s="49"/>
      <c r="F348" s="60">
        <v>45273</v>
      </c>
      <c r="G348" t="s">
        <v>195</v>
      </c>
      <c r="H348">
        <v>270000</v>
      </c>
      <c r="I348" s="49">
        <v>5124513.5999999996</v>
      </c>
      <c r="K348" s="115">
        <v>5075478.17</v>
      </c>
      <c r="L348" s="49">
        <v>18.979679999999998</v>
      </c>
      <c r="M348" s="49">
        <v>18.798067296296296</v>
      </c>
      <c r="N348" s="49">
        <v>-2608</v>
      </c>
      <c r="O348" s="47">
        <v>-9.6592592592592598E-3</v>
      </c>
      <c r="P348" s="72">
        <f t="shared" si="5"/>
        <v>434076.79256349674</v>
      </c>
      <c r="Q348" s="49" t="str">
        <f>TEXT(Table1[[#This Row],[Closing Date]],"yyyy")</f>
        <v>2023</v>
      </c>
      <c r="R348" s="49" t="str">
        <f>TEXT(Table1[[#This Row],[Closing Date]],"mmmm")</f>
        <v>December</v>
      </c>
      <c r="S348" s="49" t="s">
        <v>368</v>
      </c>
      <c r="T348" s="49" t="s">
        <v>429</v>
      </c>
    </row>
    <row r="349" spans="1:20" x14ac:dyDescent="0.25">
      <c r="A349" t="s">
        <v>283</v>
      </c>
      <c r="B349" t="s">
        <v>431</v>
      </c>
      <c r="C349" t="s">
        <v>56</v>
      </c>
      <c r="D349" t="s">
        <v>38</v>
      </c>
      <c r="E349" s="49"/>
      <c r="F349" s="60">
        <v>45274</v>
      </c>
      <c r="G349" t="s">
        <v>232</v>
      </c>
      <c r="H349">
        <v>4800</v>
      </c>
      <c r="I349" s="49">
        <v>166416</v>
      </c>
      <c r="K349" s="115">
        <v>182373.84</v>
      </c>
      <c r="L349" s="49">
        <v>34.67</v>
      </c>
      <c r="M349" s="49">
        <v>37.994549999999997</v>
      </c>
      <c r="N349" s="49">
        <v>15957.839999999997</v>
      </c>
      <c r="O349" s="47">
        <v>9.5891260455725394E-2</v>
      </c>
      <c r="P349" s="72">
        <f t="shared" si="5"/>
        <v>450034.63256349671</v>
      </c>
      <c r="Q349" s="49" t="str">
        <f>TEXT(Table1[[#This Row],[Closing Date]],"yyyy")</f>
        <v>2023</v>
      </c>
      <c r="R349" s="49" t="str">
        <f>TEXT(Table1[[#This Row],[Closing Date]],"mmmm")</f>
        <v>December</v>
      </c>
      <c r="S349" s="49" t="s">
        <v>368</v>
      </c>
      <c r="T349" s="49" t="s">
        <v>429</v>
      </c>
    </row>
    <row r="350" spans="1:20" x14ac:dyDescent="0.25">
      <c r="A350" t="s">
        <v>283</v>
      </c>
      <c r="B350" t="s">
        <v>431</v>
      </c>
      <c r="C350" t="s">
        <v>56</v>
      </c>
      <c r="D350" t="s">
        <v>38</v>
      </c>
      <c r="E350" s="49"/>
      <c r="F350" s="60">
        <v>45274</v>
      </c>
      <c r="G350" t="s">
        <v>204</v>
      </c>
      <c r="H350">
        <v>3900</v>
      </c>
      <c r="I350" s="49">
        <v>155451.78</v>
      </c>
      <c r="K350" s="115">
        <v>176290.04</v>
      </c>
      <c r="L350" s="49">
        <v>39.859430769230769</v>
      </c>
      <c r="M350" s="49">
        <v>45.20257435897436</v>
      </c>
      <c r="N350" s="49">
        <v>20838.260000000009</v>
      </c>
      <c r="O350" s="47">
        <v>0.13404967122280625</v>
      </c>
      <c r="P350" s="72">
        <f t="shared" si="5"/>
        <v>470872.89256349672</v>
      </c>
      <c r="Q350" s="49" t="str">
        <f>TEXT(Table1[[#This Row],[Closing Date]],"yyyy")</f>
        <v>2023</v>
      </c>
      <c r="R350" s="49" t="str">
        <f>TEXT(Table1[[#This Row],[Closing Date]],"mmmm")</f>
        <v>December</v>
      </c>
      <c r="S350" s="49" t="s">
        <v>368</v>
      </c>
      <c r="T350" s="49" t="s">
        <v>429</v>
      </c>
    </row>
    <row r="351" spans="1:20" x14ac:dyDescent="0.25">
      <c r="A351" t="s">
        <v>283</v>
      </c>
      <c r="B351" t="s">
        <v>431</v>
      </c>
      <c r="C351" t="s">
        <v>56</v>
      </c>
      <c r="D351" t="s">
        <v>38</v>
      </c>
      <c r="E351" s="49"/>
      <c r="F351" s="60">
        <v>45274</v>
      </c>
      <c r="G351" t="s">
        <v>231</v>
      </c>
      <c r="H351">
        <v>6650</v>
      </c>
      <c r="I351" s="49">
        <v>238850</v>
      </c>
      <c r="K351" s="115">
        <v>288811.5</v>
      </c>
      <c r="L351" s="49">
        <v>35.917293233082709</v>
      </c>
      <c r="M351" s="49">
        <v>43.430300751879699</v>
      </c>
      <c r="N351" s="49">
        <v>49961.5</v>
      </c>
      <c r="O351" s="47">
        <v>0.20917521456981369</v>
      </c>
      <c r="P351" s="72">
        <f t="shared" si="5"/>
        <v>520834.39256349672</v>
      </c>
      <c r="Q351" s="49" t="str">
        <f>TEXT(Table1[[#This Row],[Closing Date]],"yyyy")</f>
        <v>2023</v>
      </c>
      <c r="R351" s="49" t="str">
        <f>TEXT(Table1[[#This Row],[Closing Date]],"mmmm")</f>
        <v>December</v>
      </c>
      <c r="S351" s="49" t="s">
        <v>368</v>
      </c>
      <c r="T351" s="49" t="s">
        <v>429</v>
      </c>
    </row>
    <row r="352" spans="1:20" x14ac:dyDescent="0.25">
      <c r="A352" t="s">
        <v>283</v>
      </c>
      <c r="B352" t="s">
        <v>433</v>
      </c>
      <c r="C352" t="s">
        <v>56</v>
      </c>
      <c r="D352" t="s">
        <v>38</v>
      </c>
      <c r="E352" s="49"/>
      <c r="F352" s="60">
        <v>45274</v>
      </c>
      <c r="G352" t="s">
        <v>275</v>
      </c>
      <c r="H352">
        <v>2400</v>
      </c>
      <c r="I352" s="49">
        <v>148042.25</v>
      </c>
      <c r="K352" s="115">
        <v>147925.35999999999</v>
      </c>
      <c r="L352" s="49">
        <v>61.684270833333336</v>
      </c>
      <c r="M352" s="49">
        <v>61.635566666666662</v>
      </c>
      <c r="N352" s="49">
        <v>-116.89000000001397</v>
      </c>
      <c r="O352" s="47">
        <v>-7.8957189586090432E-4</v>
      </c>
      <c r="P352" s="72">
        <f t="shared" si="5"/>
        <v>520717.5025634967</v>
      </c>
      <c r="Q352" s="49" t="str">
        <f>TEXT(Table1[[#This Row],[Closing Date]],"yyyy")</f>
        <v>2023</v>
      </c>
      <c r="R352" s="49" t="str">
        <f>TEXT(Table1[[#This Row],[Closing Date]],"mmmm")</f>
        <v>December</v>
      </c>
      <c r="S352" s="49" t="s">
        <v>368</v>
      </c>
      <c r="T352" s="49" t="s">
        <v>429</v>
      </c>
    </row>
    <row r="353" spans="1:20" x14ac:dyDescent="0.25">
      <c r="A353" t="s">
        <v>276</v>
      </c>
      <c r="B353" t="s">
        <v>430</v>
      </c>
      <c r="C353" t="s">
        <v>156</v>
      </c>
      <c r="D353" t="s">
        <v>36</v>
      </c>
      <c r="E353" s="49"/>
      <c r="F353" s="60">
        <v>45275</v>
      </c>
      <c r="G353" t="s">
        <v>155</v>
      </c>
      <c r="H353">
        <v>20</v>
      </c>
      <c r="I353" s="49">
        <v>-4672.33</v>
      </c>
      <c r="J353" s="106">
        <v>100</v>
      </c>
      <c r="K353" s="115">
        <v>-12498.03</v>
      </c>
      <c r="L353" s="49">
        <v>-2.3361649999999998</v>
      </c>
      <c r="M353" s="49">
        <v>-6.2490150000000009</v>
      </c>
      <c r="N353" s="49">
        <v>-7825.7000000000007</v>
      </c>
      <c r="O353" s="47">
        <v>-1.6749030997382468</v>
      </c>
      <c r="P353" s="72">
        <f t="shared" si="5"/>
        <v>512891.80256349669</v>
      </c>
      <c r="Q353" s="49" t="str">
        <f>TEXT(Table1[[#This Row],[Closing Date]],"yyyy")</f>
        <v>2023</v>
      </c>
      <c r="R353" s="49" t="str">
        <f>TEXT(Table1[[#This Row],[Closing Date]],"mmmm")</f>
        <v>December</v>
      </c>
      <c r="S353" s="49" t="s">
        <v>368</v>
      </c>
      <c r="T353" s="49" t="s">
        <v>429</v>
      </c>
    </row>
    <row r="354" spans="1:20" x14ac:dyDescent="0.25">
      <c r="A354" t="s">
        <v>276</v>
      </c>
      <c r="B354" t="s">
        <v>430</v>
      </c>
      <c r="C354" t="s">
        <v>156</v>
      </c>
      <c r="D354" t="s">
        <v>38</v>
      </c>
      <c r="E354" s="49"/>
      <c r="F354" s="60">
        <v>45275</v>
      </c>
      <c r="G354" t="s">
        <v>157</v>
      </c>
      <c r="H354">
        <v>12</v>
      </c>
      <c r="I354" s="49">
        <v>-4327.34</v>
      </c>
      <c r="J354" s="106">
        <v>100</v>
      </c>
      <c r="K354" s="115">
        <v>-2650.64</v>
      </c>
      <c r="L354" s="49">
        <v>-3.6061166666666669</v>
      </c>
      <c r="M354" s="49">
        <v>-2.2088666666666668</v>
      </c>
      <c r="N354" s="49">
        <v>1676.7000000000003</v>
      </c>
      <c r="O354" s="47">
        <v>0.38746666543419284</v>
      </c>
      <c r="P354" s="72">
        <f t="shared" si="5"/>
        <v>514568.5025634967</v>
      </c>
      <c r="Q354" s="49" t="str">
        <f>TEXT(Table1[[#This Row],[Closing Date]],"yyyy")</f>
        <v>2023</v>
      </c>
      <c r="R354" s="49" t="str">
        <f>TEXT(Table1[[#This Row],[Closing Date]],"mmmm")</f>
        <v>December</v>
      </c>
      <c r="S354" s="49" t="s">
        <v>368</v>
      </c>
      <c r="T354" s="49" t="s">
        <v>429</v>
      </c>
    </row>
    <row r="355" spans="1:20" x14ac:dyDescent="0.25">
      <c r="A355" t="s">
        <v>283</v>
      </c>
      <c r="B355" t="s">
        <v>431</v>
      </c>
      <c r="C355" t="s">
        <v>56</v>
      </c>
      <c r="D355" t="s">
        <v>38</v>
      </c>
      <c r="E355" s="49"/>
      <c r="F355" s="60">
        <v>45276</v>
      </c>
      <c r="G355" t="s">
        <v>207</v>
      </c>
      <c r="H355">
        <v>3200</v>
      </c>
      <c r="I355" s="49">
        <v>85616</v>
      </c>
      <c r="K355" s="115">
        <v>89184.47</v>
      </c>
      <c r="L355" s="49">
        <v>26.754999999999999</v>
      </c>
      <c r="M355" s="49">
        <v>27.870146875</v>
      </c>
      <c r="N355" s="49">
        <v>3568.4700000000012</v>
      </c>
      <c r="O355" s="47">
        <v>4.167994300130818E-2</v>
      </c>
      <c r="P355" s="72">
        <f t="shared" si="5"/>
        <v>518136.97256349667</v>
      </c>
      <c r="Q355" s="49" t="str">
        <f>TEXT(Table1[[#This Row],[Closing Date]],"yyyy")</f>
        <v>2023</v>
      </c>
      <c r="R355" s="49" t="str">
        <f>TEXT(Table1[[#This Row],[Closing Date]],"mmmm")</f>
        <v>December</v>
      </c>
      <c r="S355" s="49" t="s">
        <v>368</v>
      </c>
      <c r="T355" s="49" t="s">
        <v>429</v>
      </c>
    </row>
    <row r="356" spans="1:20" x14ac:dyDescent="0.25">
      <c r="A356" t="s">
        <v>283</v>
      </c>
      <c r="B356" t="s">
        <v>431</v>
      </c>
      <c r="C356" t="s">
        <v>56</v>
      </c>
      <c r="D356" t="s">
        <v>38</v>
      </c>
      <c r="E356" s="49"/>
      <c r="F356" s="60">
        <v>45279</v>
      </c>
      <c r="G356" t="s">
        <v>233</v>
      </c>
      <c r="H356">
        <v>1000</v>
      </c>
      <c r="I356" s="49">
        <v>146449.5</v>
      </c>
      <c r="K356" s="115">
        <v>146442.18</v>
      </c>
      <c r="L356" s="49">
        <v>146.4495</v>
      </c>
      <c r="M356" s="49">
        <v>146.44217999999998</v>
      </c>
      <c r="N356" s="49">
        <v>-7.3200000000069849</v>
      </c>
      <c r="O356" s="47">
        <v>-4.9983099976490085E-5</v>
      </c>
      <c r="P356" s="72">
        <f t="shared" si="5"/>
        <v>518129.65256349667</v>
      </c>
      <c r="Q356" s="49" t="str">
        <f>TEXT(Table1[[#This Row],[Closing Date]],"yyyy")</f>
        <v>2023</v>
      </c>
      <c r="R356" s="49" t="str">
        <f>TEXT(Table1[[#This Row],[Closing Date]],"mmmm")</f>
        <v>December</v>
      </c>
      <c r="S356" s="49" t="s">
        <v>368</v>
      </c>
      <c r="T356" s="49" t="s">
        <v>429</v>
      </c>
    </row>
    <row r="357" spans="1:20" x14ac:dyDescent="0.25">
      <c r="A357" t="s">
        <v>283</v>
      </c>
      <c r="B357" t="s">
        <v>431</v>
      </c>
      <c r="C357" t="s">
        <v>56</v>
      </c>
      <c r="D357" t="s">
        <v>38</v>
      </c>
      <c r="E357" s="49"/>
      <c r="F357" s="60">
        <v>45281</v>
      </c>
      <c r="G357" t="s">
        <v>174</v>
      </c>
      <c r="H357">
        <v>8400</v>
      </c>
      <c r="I357" s="49">
        <v>140308.29</v>
      </c>
      <c r="K357" s="115">
        <v>142787.29</v>
      </c>
      <c r="L357" s="49">
        <v>16.703367857142858</v>
      </c>
      <c r="M357" s="49">
        <v>16.998486904761904</v>
      </c>
      <c r="N357" s="49">
        <v>-2479</v>
      </c>
      <c r="O357" s="47">
        <v>-1.7668236139147586E-2</v>
      </c>
      <c r="P357" s="72">
        <f t="shared" si="5"/>
        <v>515650.65256349667</v>
      </c>
      <c r="Q357" s="49" t="str">
        <f>TEXT(Table1[[#This Row],[Closing Date]],"yyyy")</f>
        <v>2023</v>
      </c>
      <c r="R357" s="49" t="str">
        <f>TEXT(Table1[[#This Row],[Closing Date]],"mmmm")</f>
        <v>December</v>
      </c>
      <c r="S357" s="49" t="s">
        <v>368</v>
      </c>
      <c r="T357" s="49" t="s">
        <v>429</v>
      </c>
    </row>
    <row r="358" spans="1:20" x14ac:dyDescent="0.25">
      <c r="A358" t="s">
        <v>283</v>
      </c>
      <c r="B358" t="s">
        <v>434</v>
      </c>
      <c r="C358" t="s">
        <v>56</v>
      </c>
      <c r="D358" t="s">
        <v>38</v>
      </c>
      <c r="E358" s="49"/>
      <c r="F358" s="60">
        <v>45281</v>
      </c>
      <c r="G358" t="s">
        <v>234</v>
      </c>
      <c r="H358">
        <v>1400</v>
      </c>
      <c r="I358" s="49">
        <v>292937.15000000002</v>
      </c>
      <c r="K358" s="115">
        <v>303089.15000000002</v>
      </c>
      <c r="L358" s="49">
        <v>209.24082142857145</v>
      </c>
      <c r="M358" s="49">
        <v>216.49225000000001</v>
      </c>
      <c r="N358" s="49">
        <v>-10152</v>
      </c>
      <c r="O358" s="47">
        <v>-3.4655898031369523E-2</v>
      </c>
      <c r="P358" s="72">
        <f t="shared" si="5"/>
        <v>505498.65256349667</v>
      </c>
      <c r="Q358" s="49" t="str">
        <f>TEXT(Table1[[#This Row],[Closing Date]],"yyyy")</f>
        <v>2023</v>
      </c>
      <c r="R358" s="49" t="str">
        <f>TEXT(Table1[[#This Row],[Closing Date]],"mmmm")</f>
        <v>December</v>
      </c>
      <c r="S358" s="49" t="s">
        <v>368</v>
      </c>
      <c r="T358" s="49" t="s">
        <v>429</v>
      </c>
    </row>
    <row r="359" spans="1:20" x14ac:dyDescent="0.25">
      <c r="A359" t="s">
        <v>283</v>
      </c>
      <c r="B359" t="s">
        <v>431</v>
      </c>
      <c r="C359" t="s">
        <v>56</v>
      </c>
      <c r="D359" t="s">
        <v>38</v>
      </c>
      <c r="E359" s="49"/>
      <c r="F359" s="60">
        <v>45282</v>
      </c>
      <c r="G359" t="s">
        <v>119</v>
      </c>
      <c r="H359">
        <v>500</v>
      </c>
      <c r="I359" s="49">
        <v>157097.5</v>
      </c>
      <c r="K359" s="115">
        <v>148832.34</v>
      </c>
      <c r="L359" s="49">
        <v>314.19499999999999</v>
      </c>
      <c r="M359" s="49">
        <v>297.66467999999998</v>
      </c>
      <c r="N359" s="49">
        <v>-8265.1600000000035</v>
      </c>
      <c r="O359" s="47">
        <v>-5.2611658365028111E-2</v>
      </c>
      <c r="P359" s="72">
        <f t="shared" si="5"/>
        <v>497233.49256349669</v>
      </c>
      <c r="Q359" s="49" t="str">
        <f>TEXT(Table1[[#This Row],[Closing Date]],"yyyy")</f>
        <v>2023</v>
      </c>
      <c r="R359" s="49" t="str">
        <f>TEXT(Table1[[#This Row],[Closing Date]],"mmmm")</f>
        <v>December</v>
      </c>
      <c r="S359" s="49" t="s">
        <v>368</v>
      </c>
      <c r="T359" s="49" t="s">
        <v>429</v>
      </c>
    </row>
    <row r="360" spans="1:20" x14ac:dyDescent="0.25">
      <c r="A360" t="s">
        <v>283</v>
      </c>
      <c r="B360" t="s">
        <v>431</v>
      </c>
      <c r="C360" t="s">
        <v>56</v>
      </c>
      <c r="D360" t="s">
        <v>38</v>
      </c>
      <c r="E360" s="49"/>
      <c r="F360" s="60">
        <v>45282</v>
      </c>
      <c r="G360" t="s">
        <v>79</v>
      </c>
      <c r="H360">
        <v>1950</v>
      </c>
      <c r="I360" s="49">
        <v>495094.9</v>
      </c>
      <c r="K360" s="115">
        <v>492283.8</v>
      </c>
      <c r="L360" s="49">
        <v>253.89482051282053</v>
      </c>
      <c r="M360" s="49">
        <v>252.45323076923077</v>
      </c>
      <c r="N360" s="49">
        <v>-2811.1000000000349</v>
      </c>
      <c r="O360" s="47">
        <v>-5.6779013478022791E-3</v>
      </c>
      <c r="P360" s="72">
        <f t="shared" si="5"/>
        <v>494422.39256349666</v>
      </c>
      <c r="Q360" s="49" t="str">
        <f>TEXT(Table1[[#This Row],[Closing Date]],"yyyy")</f>
        <v>2023</v>
      </c>
      <c r="R360" s="49" t="str">
        <f>TEXT(Table1[[#This Row],[Closing Date]],"mmmm")</f>
        <v>December</v>
      </c>
      <c r="S360" s="49" t="s">
        <v>368</v>
      </c>
      <c r="T360" s="49" t="s">
        <v>429</v>
      </c>
    </row>
    <row r="361" spans="1:20" x14ac:dyDescent="0.25">
      <c r="A361" t="s">
        <v>283</v>
      </c>
      <c r="B361" t="s">
        <v>430</v>
      </c>
      <c r="C361" t="s">
        <v>51</v>
      </c>
      <c r="D361" t="s">
        <v>38</v>
      </c>
      <c r="E361" s="49"/>
      <c r="F361" s="60">
        <v>45287</v>
      </c>
      <c r="G361" t="s">
        <v>134</v>
      </c>
      <c r="H361">
        <v>100</v>
      </c>
      <c r="I361" s="49">
        <v>389557</v>
      </c>
      <c r="K361" s="115">
        <v>382142</v>
      </c>
      <c r="L361" s="49">
        <v>3.8955700000000002</v>
      </c>
      <c r="M361" s="49">
        <v>38.214199999999998</v>
      </c>
      <c r="N361" s="49">
        <v>-7415</v>
      </c>
      <c r="O361" s="47">
        <v>-1.9034441686325749E-2</v>
      </c>
      <c r="P361" s="72">
        <f t="shared" si="5"/>
        <v>487007.39256349666</v>
      </c>
      <c r="Q361" s="49" t="str">
        <f>TEXT(Table1[[#This Row],[Closing Date]],"yyyy")</f>
        <v>2023</v>
      </c>
      <c r="R361" s="49" t="str">
        <f>TEXT(Table1[[#This Row],[Closing Date]],"mmmm")</f>
        <v>December</v>
      </c>
      <c r="S361" s="49" t="s">
        <v>368</v>
      </c>
      <c r="T361" s="49" t="s">
        <v>429</v>
      </c>
    </row>
    <row r="362" spans="1:20" x14ac:dyDescent="0.25">
      <c r="A362" t="s">
        <v>283</v>
      </c>
      <c r="B362" t="s">
        <v>431</v>
      </c>
      <c r="C362" t="s">
        <v>56</v>
      </c>
      <c r="D362" t="s">
        <v>38</v>
      </c>
      <c r="E362" s="49"/>
      <c r="F362" s="60">
        <v>45289</v>
      </c>
      <c r="G362" t="s">
        <v>235</v>
      </c>
      <c r="H362">
        <v>25000</v>
      </c>
      <c r="I362" s="49">
        <v>541504</v>
      </c>
      <c r="K362" s="115">
        <v>524120.48</v>
      </c>
      <c r="L362" s="49">
        <v>21.660160000000001</v>
      </c>
      <c r="M362" s="49">
        <v>20.964819200000001</v>
      </c>
      <c r="N362" s="49">
        <v>-17383.520000000019</v>
      </c>
      <c r="O362" s="47">
        <v>-3.2102292873182871E-2</v>
      </c>
      <c r="P362" s="72">
        <f t="shared" si="5"/>
        <v>469623.87256349664</v>
      </c>
      <c r="Q362" s="49" t="str">
        <f>TEXT(Table1[[#This Row],[Closing Date]],"yyyy")</f>
        <v>2023</v>
      </c>
      <c r="R362" s="49" t="str">
        <f>TEXT(Table1[[#This Row],[Closing Date]],"mmmm")</f>
        <v>December</v>
      </c>
      <c r="S362" s="49" t="s">
        <v>368</v>
      </c>
      <c r="T362" s="49" t="s">
        <v>429</v>
      </c>
    </row>
    <row r="363" spans="1:20" x14ac:dyDescent="0.25">
      <c r="A363" t="s">
        <v>283</v>
      </c>
      <c r="B363" t="s">
        <v>431</v>
      </c>
      <c r="C363" t="s">
        <v>56</v>
      </c>
      <c r="D363" t="s">
        <v>38</v>
      </c>
      <c r="E363" s="49"/>
      <c r="F363" s="60">
        <v>45289</v>
      </c>
      <c r="G363" t="s">
        <v>146</v>
      </c>
      <c r="H363">
        <v>1000</v>
      </c>
      <c r="I363" s="49">
        <v>154579.20000000001</v>
      </c>
      <c r="K363" s="115">
        <v>152718.63</v>
      </c>
      <c r="L363" s="49">
        <v>154.57920000000001</v>
      </c>
      <c r="M363" s="49">
        <v>152.71863000000002</v>
      </c>
      <c r="N363" s="49">
        <v>-1860.570000000007</v>
      </c>
      <c r="O363" s="47">
        <v>-1.2036354179605063E-2</v>
      </c>
      <c r="P363" s="72">
        <f t="shared" si="5"/>
        <v>467763.30256349663</v>
      </c>
      <c r="Q363" s="49" t="str">
        <f>TEXT(Table1[[#This Row],[Closing Date]],"yyyy")</f>
        <v>2023</v>
      </c>
      <c r="R363" s="49" t="str">
        <f>TEXT(Table1[[#This Row],[Closing Date]],"mmmm")</f>
        <v>December</v>
      </c>
      <c r="S363" s="49" t="s">
        <v>368</v>
      </c>
      <c r="T363" s="49" t="s">
        <v>429</v>
      </c>
    </row>
    <row r="364" spans="1:20" x14ac:dyDescent="0.25">
      <c r="A364" t="s">
        <v>283</v>
      </c>
      <c r="B364" t="s">
        <v>431</v>
      </c>
      <c r="C364" t="s">
        <v>56</v>
      </c>
      <c r="D364" t="s">
        <v>38</v>
      </c>
      <c r="E364" s="49"/>
      <c r="F364" s="60">
        <v>45289</v>
      </c>
      <c r="G364" t="s">
        <v>231</v>
      </c>
      <c r="H364">
        <v>4500</v>
      </c>
      <c r="I364" s="49">
        <v>201982</v>
      </c>
      <c r="K364" s="115">
        <v>200402.69</v>
      </c>
      <c r="L364" s="49">
        <v>44.884888888888888</v>
      </c>
      <c r="M364" s="49">
        <v>44.533931111111109</v>
      </c>
      <c r="N364" s="49">
        <v>-1579.3099999999977</v>
      </c>
      <c r="O364" s="47">
        <v>-7.8190630848293304E-3</v>
      </c>
      <c r="P364" s="72">
        <f t="shared" si="5"/>
        <v>466183.99256349663</v>
      </c>
      <c r="Q364" s="49" t="str">
        <f>TEXT(Table1[[#This Row],[Closing Date]],"yyyy")</f>
        <v>2023</v>
      </c>
      <c r="R364" s="49" t="str">
        <f>TEXT(Table1[[#This Row],[Closing Date]],"mmmm")</f>
        <v>December</v>
      </c>
      <c r="S364" s="49" t="s">
        <v>368</v>
      </c>
      <c r="T364" s="49" t="s">
        <v>429</v>
      </c>
    </row>
    <row r="365" spans="1:20" x14ac:dyDescent="0.25">
      <c r="A365" t="s">
        <v>283</v>
      </c>
      <c r="B365" t="s">
        <v>431</v>
      </c>
      <c r="C365" t="s">
        <v>56</v>
      </c>
      <c r="D365" t="s">
        <v>38</v>
      </c>
      <c r="E365" s="49"/>
      <c r="F365" s="60">
        <v>45289</v>
      </c>
      <c r="G365" t="s">
        <v>204</v>
      </c>
      <c r="H365">
        <v>4000</v>
      </c>
      <c r="I365" s="49">
        <v>218020</v>
      </c>
      <c r="K365" s="115">
        <v>217734.71</v>
      </c>
      <c r="L365" s="49">
        <v>54.505000000000003</v>
      </c>
      <c r="M365" s="49">
        <v>54.433677499999995</v>
      </c>
      <c r="N365" s="49">
        <v>-285.29000000000815</v>
      </c>
      <c r="O365" s="47">
        <v>-1.3085496743418408E-3</v>
      </c>
      <c r="P365" s="72">
        <f t="shared" si="5"/>
        <v>465898.70256349666</v>
      </c>
      <c r="Q365" s="49" t="str">
        <f>TEXT(Table1[[#This Row],[Closing Date]],"yyyy")</f>
        <v>2023</v>
      </c>
      <c r="R365" s="49" t="str">
        <f>TEXT(Table1[[#This Row],[Closing Date]],"mmmm")</f>
        <v>December</v>
      </c>
      <c r="S365" s="49" t="s">
        <v>368</v>
      </c>
      <c r="T365" s="49" t="s">
        <v>429</v>
      </c>
    </row>
    <row r="366" spans="1:20" x14ac:dyDescent="0.25">
      <c r="A366" t="s">
        <v>283</v>
      </c>
      <c r="B366" t="s">
        <v>431</v>
      </c>
      <c r="C366" t="s">
        <v>56</v>
      </c>
      <c r="D366" t="s">
        <v>38</v>
      </c>
      <c r="E366" s="49"/>
      <c r="F366" s="60">
        <v>45293</v>
      </c>
      <c r="G366" t="s">
        <v>288</v>
      </c>
      <c r="H366">
        <v>6500</v>
      </c>
      <c r="I366" s="49">
        <v>907237.5</v>
      </c>
      <c r="K366" s="115">
        <v>908141.81</v>
      </c>
      <c r="L366" s="49">
        <v>139.57499999999999</v>
      </c>
      <c r="M366" s="49">
        <v>139.71412461538463</v>
      </c>
      <c r="N366" s="49">
        <v>864.31000000005588</v>
      </c>
      <c r="O366" s="47">
        <v>9.5268328304336616E-4</v>
      </c>
      <c r="P366" s="72">
        <f t="shared" si="5"/>
        <v>466763.01256349671</v>
      </c>
      <c r="Q366" s="49" t="str">
        <f>TEXT(Table1[[#This Row],[Closing Date]],"yyyy")</f>
        <v>2024</v>
      </c>
      <c r="R366" s="49" t="str">
        <f>TEXT(Table1[[#This Row],[Closing Date]],"mmmm")</f>
        <v>January</v>
      </c>
      <c r="S366" s="49" t="s">
        <v>368</v>
      </c>
      <c r="T366" s="49" t="s">
        <v>429</v>
      </c>
    </row>
    <row r="367" spans="1:20" x14ac:dyDescent="0.25">
      <c r="A367" t="s">
        <v>283</v>
      </c>
      <c r="B367" t="s">
        <v>431</v>
      </c>
      <c r="C367" t="s">
        <v>51</v>
      </c>
      <c r="D367" t="s">
        <v>38</v>
      </c>
      <c r="E367" s="49"/>
      <c r="F367" s="60">
        <v>45293</v>
      </c>
      <c r="G367" t="s">
        <v>52</v>
      </c>
      <c r="H367">
        <v>5</v>
      </c>
      <c r="I367" s="49">
        <v>350011.85</v>
      </c>
      <c r="K367" s="115">
        <v>368760.52</v>
      </c>
      <c r="L367" s="49">
        <v>70.002369999999999</v>
      </c>
      <c r="M367" s="49">
        <v>0</v>
      </c>
      <c r="N367" s="49">
        <v>18748.670000000042</v>
      </c>
      <c r="O367" s="47">
        <v>5.3565814985978455E-2</v>
      </c>
      <c r="P367" s="72">
        <f t="shared" si="5"/>
        <v>485511.68256349675</v>
      </c>
      <c r="Q367" s="49" t="str">
        <f>TEXT(Table1[[#This Row],[Closing Date]],"yyyy")</f>
        <v>2024</v>
      </c>
      <c r="R367" s="49" t="str">
        <f>TEXT(Table1[[#This Row],[Closing Date]],"mmmm")</f>
        <v>January</v>
      </c>
      <c r="S367" s="49" t="s">
        <v>368</v>
      </c>
      <c r="T367" s="49" t="s">
        <v>429</v>
      </c>
    </row>
    <row r="368" spans="1:20" x14ac:dyDescent="0.25">
      <c r="A368" t="s">
        <v>283</v>
      </c>
      <c r="B368" t="s">
        <v>431</v>
      </c>
      <c r="C368" t="s">
        <v>56</v>
      </c>
      <c r="D368" t="s">
        <v>38</v>
      </c>
      <c r="E368" s="49"/>
      <c r="F368" s="60">
        <v>45295</v>
      </c>
      <c r="G368" t="s">
        <v>55</v>
      </c>
      <c r="H368">
        <v>2200</v>
      </c>
      <c r="I368" s="49">
        <v>432051.05</v>
      </c>
      <c r="K368" s="115">
        <v>428435.3</v>
      </c>
      <c r="L368" s="49">
        <v>196.38684090909089</v>
      </c>
      <c r="M368" s="49">
        <v>194.74331818181818</v>
      </c>
      <c r="N368" s="49">
        <v>-3615.75</v>
      </c>
      <c r="O368" s="47">
        <v>-8.368802714401458E-3</v>
      </c>
      <c r="P368" s="72">
        <f t="shared" si="5"/>
        <v>481895.93256349675</v>
      </c>
      <c r="Q368" s="49" t="str">
        <f>TEXT(Table1[[#This Row],[Closing Date]],"yyyy")</f>
        <v>2024</v>
      </c>
      <c r="R368" s="49" t="str">
        <f>TEXT(Table1[[#This Row],[Closing Date]],"mmmm")</f>
        <v>January</v>
      </c>
      <c r="S368" s="49" t="s">
        <v>368</v>
      </c>
      <c r="T368" s="49" t="s">
        <v>429</v>
      </c>
    </row>
    <row r="369" spans="1:20" x14ac:dyDescent="0.25">
      <c r="A369" t="s">
        <v>283</v>
      </c>
      <c r="B369" t="s">
        <v>431</v>
      </c>
      <c r="C369" t="s">
        <v>56</v>
      </c>
      <c r="D369" t="s">
        <v>38</v>
      </c>
      <c r="E369" s="49"/>
      <c r="F369" s="60">
        <v>45295</v>
      </c>
      <c r="G369" t="s">
        <v>231</v>
      </c>
      <c r="H369">
        <v>5000</v>
      </c>
      <c r="I369" s="49">
        <v>176750</v>
      </c>
      <c r="K369" s="115">
        <v>175956.91</v>
      </c>
      <c r="L369" s="49">
        <v>35.35</v>
      </c>
      <c r="M369" s="49">
        <v>35.191381999999997</v>
      </c>
      <c r="N369" s="49">
        <v>-833.08999999999651</v>
      </c>
      <c r="O369" s="47">
        <v>-4.7133804809052137E-3</v>
      </c>
      <c r="P369" s="72">
        <f t="shared" si="5"/>
        <v>481062.84256349679</v>
      </c>
      <c r="Q369" s="49" t="str">
        <f>TEXT(Table1[[#This Row],[Closing Date]],"yyyy")</f>
        <v>2024</v>
      </c>
      <c r="R369" s="49" t="str">
        <f>TEXT(Table1[[#This Row],[Closing Date]],"mmmm")</f>
        <v>January</v>
      </c>
      <c r="S369" s="49" t="s">
        <v>368</v>
      </c>
      <c r="T369" s="49" t="s">
        <v>429</v>
      </c>
    </row>
    <row r="370" spans="1:20" x14ac:dyDescent="0.25">
      <c r="A370" t="s">
        <v>283</v>
      </c>
      <c r="B370" t="s">
        <v>431</v>
      </c>
      <c r="C370" t="s">
        <v>56</v>
      </c>
      <c r="D370" t="s">
        <v>38</v>
      </c>
      <c r="E370" s="49"/>
      <c r="F370" s="60">
        <v>45296</v>
      </c>
      <c r="G370" t="s">
        <v>204</v>
      </c>
      <c r="H370">
        <v>4500</v>
      </c>
      <c r="I370" s="49">
        <v>207965.5</v>
      </c>
      <c r="K370" s="115">
        <v>201311.9</v>
      </c>
      <c r="L370" s="49">
        <v>46.214555555555556</v>
      </c>
      <c r="M370" s="49">
        <v>44.735977777777777</v>
      </c>
      <c r="N370" s="49">
        <v>-6653.6000000000058</v>
      </c>
      <c r="O370" s="47">
        <v>-3.1993768197128881E-2</v>
      </c>
      <c r="P370" s="72">
        <f t="shared" si="5"/>
        <v>474409.24256349681</v>
      </c>
      <c r="Q370" s="49" t="str">
        <f>TEXT(Table1[[#This Row],[Closing Date]],"yyyy")</f>
        <v>2024</v>
      </c>
      <c r="R370" s="49" t="str">
        <f>TEXT(Table1[[#This Row],[Closing Date]],"mmmm")</f>
        <v>January</v>
      </c>
      <c r="S370" s="49" t="s">
        <v>368</v>
      </c>
      <c r="T370" s="49" t="s">
        <v>429</v>
      </c>
    </row>
    <row r="371" spans="1:20" x14ac:dyDescent="0.25">
      <c r="A371" t="s">
        <v>283</v>
      </c>
      <c r="B371" t="s">
        <v>430</v>
      </c>
      <c r="C371" t="s">
        <v>51</v>
      </c>
      <c r="D371" t="s">
        <v>38</v>
      </c>
      <c r="E371" s="49"/>
      <c r="F371" s="60">
        <v>45296</v>
      </c>
      <c r="G371" t="s">
        <v>140</v>
      </c>
      <c r="H371">
        <v>5</v>
      </c>
      <c r="I371" s="49">
        <v>1029272.1</v>
      </c>
      <c r="K371" s="115">
        <v>1027307.8999999999</v>
      </c>
      <c r="L371" s="49">
        <v>2048.02</v>
      </c>
      <c r="M371" s="49">
        <v>2093.9757999999997</v>
      </c>
      <c r="N371" s="49">
        <v>-1964.2000000001863</v>
      </c>
      <c r="O371" s="47">
        <v>-1.9083389125190376E-3</v>
      </c>
      <c r="P371" s="72">
        <f t="shared" si="5"/>
        <v>472445.04256349662</v>
      </c>
      <c r="Q371" s="49" t="str">
        <f>TEXT(Table1[[#This Row],[Closing Date]],"yyyy")</f>
        <v>2024</v>
      </c>
      <c r="R371" s="49" t="str">
        <f>TEXT(Table1[[#This Row],[Closing Date]],"mmmm")</f>
        <v>January</v>
      </c>
      <c r="S371" s="49" t="s">
        <v>368</v>
      </c>
      <c r="T371" s="49" t="s">
        <v>429</v>
      </c>
    </row>
    <row r="372" spans="1:20" x14ac:dyDescent="0.25">
      <c r="A372" t="s">
        <v>283</v>
      </c>
      <c r="B372" t="s">
        <v>431</v>
      </c>
      <c r="C372" t="s">
        <v>56</v>
      </c>
      <c r="D372" t="s">
        <v>38</v>
      </c>
      <c r="E372" s="49"/>
      <c r="F372" s="60">
        <v>45299</v>
      </c>
      <c r="G372" t="s">
        <v>215</v>
      </c>
      <c r="H372">
        <v>6000</v>
      </c>
      <c r="I372" s="49">
        <v>153700.95000000001</v>
      </c>
      <c r="K372" s="115">
        <v>167907.66</v>
      </c>
      <c r="L372" s="49">
        <v>25.616825000000002</v>
      </c>
      <c r="M372" s="49">
        <v>27.98461</v>
      </c>
      <c r="N372" s="49">
        <v>14206.709999999992</v>
      </c>
      <c r="O372" s="47">
        <v>9.2430853550352104E-2</v>
      </c>
      <c r="P372" s="72">
        <f t="shared" si="5"/>
        <v>486651.75256349659</v>
      </c>
      <c r="Q372" s="49" t="str">
        <f>TEXT(Table1[[#This Row],[Closing Date]],"yyyy")</f>
        <v>2024</v>
      </c>
      <c r="R372" s="49" t="str">
        <f>TEXT(Table1[[#This Row],[Closing Date]],"mmmm")</f>
        <v>January</v>
      </c>
      <c r="S372" s="49" t="s">
        <v>368</v>
      </c>
      <c r="T372" s="49" t="s">
        <v>429</v>
      </c>
    </row>
    <row r="373" spans="1:20" x14ac:dyDescent="0.25">
      <c r="A373" t="s">
        <v>283</v>
      </c>
      <c r="B373" t="s">
        <v>431</v>
      </c>
      <c r="C373" t="s">
        <v>56</v>
      </c>
      <c r="D373" t="s">
        <v>38</v>
      </c>
      <c r="E373" s="49"/>
      <c r="F373" s="60">
        <v>45300</v>
      </c>
      <c r="G373" t="s">
        <v>238</v>
      </c>
      <c r="H373">
        <v>10000</v>
      </c>
      <c r="I373" s="49">
        <v>170000</v>
      </c>
      <c r="K373" s="115">
        <v>164776.92000000001</v>
      </c>
      <c r="L373" s="49">
        <v>17</v>
      </c>
      <c r="M373" s="49">
        <v>16.477692000000001</v>
      </c>
      <c r="N373" s="49">
        <v>-5326.0599999999868</v>
      </c>
      <c r="O373" s="47">
        <v>-3.1329764705882272E-2</v>
      </c>
      <c r="P373" s="72">
        <f t="shared" si="5"/>
        <v>481325.69256349659</v>
      </c>
      <c r="Q373" s="49" t="str">
        <f>TEXT(Table1[[#This Row],[Closing Date]],"yyyy")</f>
        <v>2024</v>
      </c>
      <c r="R373" s="49" t="str">
        <f>TEXT(Table1[[#This Row],[Closing Date]],"mmmm")</f>
        <v>January</v>
      </c>
      <c r="S373" s="49" t="s">
        <v>368</v>
      </c>
      <c r="T373" s="49" t="s">
        <v>429</v>
      </c>
    </row>
    <row r="374" spans="1:20" x14ac:dyDescent="0.25">
      <c r="A374" t="s">
        <v>283</v>
      </c>
      <c r="B374" t="s">
        <v>431</v>
      </c>
      <c r="C374" t="s">
        <v>56</v>
      </c>
      <c r="D374" t="s">
        <v>38</v>
      </c>
      <c r="E374" s="49"/>
      <c r="F374" s="60">
        <v>45300</v>
      </c>
      <c r="G374" t="s">
        <v>230</v>
      </c>
      <c r="H374">
        <v>3100</v>
      </c>
      <c r="I374" s="49">
        <v>116902.41</v>
      </c>
      <c r="K374" s="115">
        <v>111880</v>
      </c>
      <c r="L374" s="49">
        <v>37.71045483870968</v>
      </c>
      <c r="M374" s="49">
        <v>36.090322580645164</v>
      </c>
      <c r="N374" s="49">
        <v>-5022.4100000000035</v>
      </c>
      <c r="O374" s="47">
        <v>-4.2962416258142185E-2</v>
      </c>
      <c r="P374" s="72">
        <f t="shared" si="5"/>
        <v>476303.28256349661</v>
      </c>
      <c r="Q374" s="49" t="str">
        <f>TEXT(Table1[[#This Row],[Closing Date]],"yyyy")</f>
        <v>2024</v>
      </c>
      <c r="R374" s="49" t="str">
        <f>TEXT(Table1[[#This Row],[Closing Date]],"mmmm")</f>
        <v>January</v>
      </c>
      <c r="S374" s="49" t="s">
        <v>368</v>
      </c>
      <c r="T374" s="49" t="s">
        <v>429</v>
      </c>
    </row>
    <row r="375" spans="1:20" x14ac:dyDescent="0.25">
      <c r="A375" t="s">
        <v>283</v>
      </c>
      <c r="B375" t="s">
        <v>431</v>
      </c>
      <c r="C375" t="s">
        <v>56</v>
      </c>
      <c r="D375" t="s">
        <v>38</v>
      </c>
      <c r="E375" s="49"/>
      <c r="F375" s="60">
        <v>45301</v>
      </c>
      <c r="G375" t="s">
        <v>230</v>
      </c>
      <c r="H375">
        <v>3700</v>
      </c>
      <c r="I375" s="49">
        <v>141775</v>
      </c>
      <c r="K375" s="115">
        <v>121766.07</v>
      </c>
      <c r="L375" s="49">
        <v>38.317567567567565</v>
      </c>
      <c r="M375" s="49">
        <v>32.909748648648652</v>
      </c>
      <c r="N375" s="49">
        <v>-20008.929999999993</v>
      </c>
      <c r="O375" s="47">
        <v>-0.14113158173161694</v>
      </c>
      <c r="P375" s="72">
        <f t="shared" si="5"/>
        <v>456294.35256349662</v>
      </c>
      <c r="Q375" s="49" t="str">
        <f>TEXT(Table1[[#This Row],[Closing Date]],"yyyy")</f>
        <v>2024</v>
      </c>
      <c r="R375" s="49" t="str">
        <f>TEXT(Table1[[#This Row],[Closing Date]],"mmmm")</f>
        <v>January</v>
      </c>
      <c r="S375" s="49" t="s">
        <v>368</v>
      </c>
      <c r="T375" s="49" t="s">
        <v>429</v>
      </c>
    </row>
    <row r="376" spans="1:20" x14ac:dyDescent="0.25">
      <c r="A376" t="s">
        <v>283</v>
      </c>
      <c r="B376" t="s">
        <v>431</v>
      </c>
      <c r="C376" t="s">
        <v>56</v>
      </c>
      <c r="D376" t="s">
        <v>38</v>
      </c>
      <c r="E376" s="49"/>
      <c r="F376" s="60">
        <v>45302</v>
      </c>
      <c r="G376" t="s">
        <v>231</v>
      </c>
      <c r="H376">
        <v>6500</v>
      </c>
      <c r="I376" s="49">
        <v>221487.5</v>
      </c>
      <c r="K376" s="115">
        <v>212054.44</v>
      </c>
      <c r="L376" s="49">
        <v>34.075000000000003</v>
      </c>
      <c r="M376" s="49">
        <v>32.623759999999997</v>
      </c>
      <c r="N376" s="49">
        <v>-9433.0599999999977</v>
      </c>
      <c r="O376" s="47">
        <v>-4.258958180484225E-2</v>
      </c>
      <c r="P376" s="72">
        <f t="shared" si="5"/>
        <v>446861.29256349662</v>
      </c>
      <c r="Q376" s="49" t="str">
        <f>TEXT(Table1[[#This Row],[Closing Date]],"yyyy")</f>
        <v>2024</v>
      </c>
      <c r="R376" s="49" t="str">
        <f>TEXT(Table1[[#This Row],[Closing Date]],"mmmm")</f>
        <v>January</v>
      </c>
      <c r="S376" s="49" t="s">
        <v>368</v>
      </c>
      <c r="T376" s="49" t="s">
        <v>429</v>
      </c>
    </row>
    <row r="377" spans="1:20" x14ac:dyDescent="0.25">
      <c r="A377" t="s">
        <v>283</v>
      </c>
      <c r="B377" t="s">
        <v>431</v>
      </c>
      <c r="C377" t="s">
        <v>56</v>
      </c>
      <c r="D377" t="s">
        <v>38</v>
      </c>
      <c r="E377" s="49"/>
      <c r="F377" s="60">
        <v>45302</v>
      </c>
      <c r="G377" t="s">
        <v>173</v>
      </c>
      <c r="H377">
        <v>3700</v>
      </c>
      <c r="I377" s="49">
        <v>159188.98000000001</v>
      </c>
      <c r="K377" s="115">
        <v>161304.88</v>
      </c>
      <c r="L377" s="49">
        <v>43.024048648648652</v>
      </c>
      <c r="M377" s="49">
        <v>43.595913513513516</v>
      </c>
      <c r="N377" s="49">
        <v>2115.8999999999942</v>
      </c>
      <c r="O377" s="47">
        <v>1.3291749215303685E-2</v>
      </c>
      <c r="P377" s="72">
        <f t="shared" si="5"/>
        <v>448977.19256349665</v>
      </c>
      <c r="Q377" s="49" t="str">
        <f>TEXT(Table1[[#This Row],[Closing Date]],"yyyy")</f>
        <v>2024</v>
      </c>
      <c r="R377" s="49" t="str">
        <f>TEXT(Table1[[#This Row],[Closing Date]],"mmmm")</f>
        <v>January</v>
      </c>
      <c r="S377" s="49" t="s">
        <v>368</v>
      </c>
      <c r="T377" s="49" t="s">
        <v>429</v>
      </c>
    </row>
    <row r="378" spans="1:20" x14ac:dyDescent="0.25">
      <c r="A378" t="s">
        <v>283</v>
      </c>
      <c r="B378" t="s">
        <v>431</v>
      </c>
      <c r="C378" t="s">
        <v>35</v>
      </c>
      <c r="D378" t="s">
        <v>36</v>
      </c>
      <c r="E378" s="49"/>
      <c r="F378" s="60">
        <v>45304</v>
      </c>
      <c r="G378" t="s">
        <v>187</v>
      </c>
      <c r="H378">
        <v>2000000</v>
      </c>
      <c r="I378" s="49">
        <v>1921661.55</v>
      </c>
      <c r="K378" s="115">
        <v>1930888.7</v>
      </c>
      <c r="L378" s="49">
        <v>0.96083077500000003</v>
      </c>
      <c r="M378" s="49">
        <v>0.96544434999999995</v>
      </c>
      <c r="N378" s="49">
        <v>-10161</v>
      </c>
      <c r="O378" s="47">
        <v>-5.0804999999999999E-3</v>
      </c>
      <c r="P378" s="72">
        <f t="shared" si="5"/>
        <v>438816.19256349665</v>
      </c>
      <c r="Q378" s="49" t="str">
        <f>TEXT(Table1[[#This Row],[Closing Date]],"yyyy")</f>
        <v>2024</v>
      </c>
      <c r="R378" s="49" t="str">
        <f>TEXT(Table1[[#This Row],[Closing Date]],"mmmm")</f>
        <v>January</v>
      </c>
      <c r="S378" s="49" t="s">
        <v>368</v>
      </c>
      <c r="T378" s="49" t="s">
        <v>429</v>
      </c>
    </row>
    <row r="379" spans="1:20" x14ac:dyDescent="0.25">
      <c r="A379" t="s">
        <v>283</v>
      </c>
      <c r="B379" t="s">
        <v>431</v>
      </c>
      <c r="C379" t="s">
        <v>56</v>
      </c>
      <c r="D379" t="s">
        <v>38</v>
      </c>
      <c r="E379" s="49"/>
      <c r="F379" s="60">
        <v>45307</v>
      </c>
      <c r="G379" t="s">
        <v>233</v>
      </c>
      <c r="H379">
        <v>1000</v>
      </c>
      <c r="I379" s="49">
        <v>150735</v>
      </c>
      <c r="K379" s="115">
        <v>143131.34</v>
      </c>
      <c r="L379" s="49">
        <v>150.73500000000001</v>
      </c>
      <c r="M379" s="49">
        <v>143.13133999999999</v>
      </c>
      <c r="N379" s="49">
        <v>-7603.6600000000035</v>
      </c>
      <c r="O379" s="47">
        <v>-5.0443891597837284E-2</v>
      </c>
      <c r="P379" s="72">
        <f t="shared" si="5"/>
        <v>431212.53256349661</v>
      </c>
      <c r="Q379" s="49" t="str">
        <f>TEXT(Table1[[#This Row],[Closing Date]],"yyyy")</f>
        <v>2024</v>
      </c>
      <c r="R379" s="49" t="str">
        <f>TEXT(Table1[[#This Row],[Closing Date]],"mmmm")</f>
        <v>January</v>
      </c>
      <c r="S379" s="49" t="s">
        <v>368</v>
      </c>
      <c r="T379" s="49" t="s">
        <v>429</v>
      </c>
    </row>
    <row r="380" spans="1:20" x14ac:dyDescent="0.25">
      <c r="A380" t="s">
        <v>283</v>
      </c>
      <c r="B380" t="s">
        <v>431</v>
      </c>
      <c r="C380" t="s">
        <v>56</v>
      </c>
      <c r="D380" t="s">
        <v>38</v>
      </c>
      <c r="E380" s="49"/>
      <c r="F380" s="60">
        <v>45307</v>
      </c>
      <c r="G380" t="s">
        <v>235</v>
      </c>
      <c r="H380">
        <v>5000</v>
      </c>
      <c r="I380" s="49">
        <v>105775</v>
      </c>
      <c r="K380" s="115">
        <v>99412.05</v>
      </c>
      <c r="L380" s="49">
        <v>21.155000000000001</v>
      </c>
      <c r="M380" s="49">
        <v>19.88241</v>
      </c>
      <c r="N380" s="49">
        <v>-6362.9499999999971</v>
      </c>
      <c r="O380" s="47">
        <v>-6.0155518789884163E-2</v>
      </c>
      <c r="P380" s="72">
        <f t="shared" si="5"/>
        <v>424849.5825634966</v>
      </c>
      <c r="Q380" s="49" t="str">
        <f>TEXT(Table1[[#This Row],[Closing Date]],"yyyy")</f>
        <v>2024</v>
      </c>
      <c r="R380" s="49" t="str">
        <f>TEXT(Table1[[#This Row],[Closing Date]],"mmmm")</f>
        <v>January</v>
      </c>
      <c r="S380" s="49" t="s">
        <v>368</v>
      </c>
      <c r="T380" s="49" t="s">
        <v>429</v>
      </c>
    </row>
    <row r="381" spans="1:20" x14ac:dyDescent="0.25">
      <c r="A381" t="s">
        <v>283</v>
      </c>
      <c r="B381" t="s">
        <v>431</v>
      </c>
      <c r="C381" t="s">
        <v>56</v>
      </c>
      <c r="D381" t="s">
        <v>38</v>
      </c>
      <c r="E381" s="90">
        <v>45301</v>
      </c>
      <c r="F381" s="60">
        <v>45308</v>
      </c>
      <c r="G381" t="s">
        <v>230</v>
      </c>
      <c r="H381">
        <v>3700</v>
      </c>
      <c r="I381" s="49">
        <f>124540+17235</f>
        <v>141775</v>
      </c>
      <c r="J381" s="106">
        <v>1</v>
      </c>
      <c r="K381" s="115">
        <v>121766.07</v>
      </c>
      <c r="L381" s="49">
        <f>Table1[[#This Row],[Open Value]]/Table1[[#This Row],[Shares]]/Table1[[#This Row],[Multiplier]]</f>
        <v>38.317567567567565</v>
      </c>
      <c r="M381" s="49">
        <f>Table1[[#This Row],[Close Value]]/Table1[[#This Row],[Shares]]/Table1[[#This Row],[Multiplier]]</f>
        <v>32.909748648648652</v>
      </c>
      <c r="N381" s="49">
        <f>Table1[[#This Row],[Close Value]]-Table1[[#This Row],[Open Value]]</f>
        <v>-20008.929999999993</v>
      </c>
      <c r="O381" s="47">
        <f>Table1[[#This Row],[PnL]]/Table1[[#This Row],[Open Value]]</f>
        <v>-0.14113158173161694</v>
      </c>
      <c r="P381" s="107">
        <f t="shared" si="5"/>
        <v>404840.65256349661</v>
      </c>
      <c r="Q381" s="49" t="str">
        <f>TEXT(Table1[[#This Row],[Closing Date]],"yyyy")</f>
        <v>2024</v>
      </c>
      <c r="R381" s="49" t="str">
        <f>TEXT(Table1[[#This Row],[Closing Date]],"mmmm")</f>
        <v>January</v>
      </c>
      <c r="S381" s="49"/>
      <c r="T381" s="49" t="s">
        <v>429</v>
      </c>
    </row>
    <row r="382" spans="1:20" x14ac:dyDescent="0.25">
      <c r="A382" t="s">
        <v>283</v>
      </c>
      <c r="B382" t="s">
        <v>430</v>
      </c>
      <c r="C382" t="s">
        <v>70</v>
      </c>
      <c r="D382" t="s">
        <v>36</v>
      </c>
      <c r="E382" s="49"/>
      <c r="F382" s="60">
        <v>45310</v>
      </c>
      <c r="G382" t="s">
        <v>240</v>
      </c>
      <c r="H382">
        <v>3775</v>
      </c>
      <c r="I382" s="49">
        <v>743592.92</v>
      </c>
      <c r="K382" s="115">
        <v>753376.74</v>
      </c>
      <c r="L382" s="49">
        <v>196.97825695364239</v>
      </c>
      <c r="M382" s="49">
        <v>199.56999735099336</v>
      </c>
      <c r="N382" s="49">
        <v>-9783.8199999999488</v>
      </c>
      <c r="O382" s="47">
        <v>-1.3157494829294432E-2</v>
      </c>
      <c r="P382" s="72">
        <f t="shared" si="5"/>
        <v>395056.83256349666</v>
      </c>
      <c r="Q382" s="49" t="str">
        <f>TEXT(Table1[[#This Row],[Closing Date]],"yyyy")</f>
        <v>2024</v>
      </c>
      <c r="R382" s="49" t="str">
        <f>TEXT(Table1[[#This Row],[Closing Date]],"mmmm")</f>
        <v>January</v>
      </c>
      <c r="S382" s="49" t="s">
        <v>368</v>
      </c>
      <c r="T382" s="49" t="s">
        <v>429</v>
      </c>
    </row>
    <row r="383" spans="1:20" x14ac:dyDescent="0.25">
      <c r="A383" t="s">
        <v>276</v>
      </c>
      <c r="B383" t="s">
        <v>431</v>
      </c>
      <c r="C383" t="s">
        <v>149</v>
      </c>
      <c r="D383" t="s">
        <v>38</v>
      </c>
      <c r="E383" s="49"/>
      <c r="F383" s="60">
        <v>45310</v>
      </c>
      <c r="G383" t="s">
        <v>174</v>
      </c>
      <c r="H383">
        <v>130</v>
      </c>
      <c r="I383" s="49">
        <v>19459.599999999999</v>
      </c>
      <c r="J383" s="106">
        <v>100</v>
      </c>
      <c r="K383" s="115">
        <v>24959.73</v>
      </c>
      <c r="L383" s="49">
        <v>1.4968923076923075</v>
      </c>
      <c r="M383" s="49">
        <v>1.9199792307692309</v>
      </c>
      <c r="N383" s="49">
        <v>5500.130000000001</v>
      </c>
      <c r="O383" s="47">
        <v>0.28264352813007487</v>
      </c>
      <c r="P383" s="72">
        <f t="shared" si="5"/>
        <v>400556.96256349667</v>
      </c>
      <c r="Q383" s="49" t="str">
        <f>TEXT(Table1[[#This Row],[Closing Date]],"yyyy")</f>
        <v>2024</v>
      </c>
      <c r="R383" s="49" t="str">
        <f>TEXT(Table1[[#This Row],[Closing Date]],"mmmm")</f>
        <v>January</v>
      </c>
      <c r="S383" s="49" t="s">
        <v>368</v>
      </c>
      <c r="T383" s="49" t="s">
        <v>429</v>
      </c>
    </row>
    <row r="384" spans="1:20" x14ac:dyDescent="0.25">
      <c r="A384" t="s">
        <v>283</v>
      </c>
      <c r="B384" t="s">
        <v>431</v>
      </c>
      <c r="C384" t="s">
        <v>56</v>
      </c>
      <c r="D384" t="s">
        <v>38</v>
      </c>
      <c r="E384" s="49"/>
      <c r="F384" s="60">
        <v>45313</v>
      </c>
      <c r="G384" t="s">
        <v>288</v>
      </c>
      <c r="H384">
        <v>2250</v>
      </c>
      <c r="I384" s="49">
        <v>374400</v>
      </c>
      <c r="K384" s="115">
        <v>380174.36</v>
      </c>
      <c r="L384" s="49">
        <v>166.4</v>
      </c>
      <c r="M384" s="49">
        <v>168.96638222222222</v>
      </c>
      <c r="N384" s="49">
        <v>5734.359999999986</v>
      </c>
      <c r="O384" s="47">
        <v>1.5316132478632441E-2</v>
      </c>
      <c r="P384" s="72">
        <f t="shared" si="5"/>
        <v>406291.32256349665</v>
      </c>
      <c r="Q384" s="49" t="str">
        <f>TEXT(Table1[[#This Row],[Closing Date]],"yyyy")</f>
        <v>2024</v>
      </c>
      <c r="R384" s="49" t="str">
        <f>TEXT(Table1[[#This Row],[Closing Date]],"mmmm")</f>
        <v>January</v>
      </c>
      <c r="S384" s="49" t="s">
        <v>368</v>
      </c>
      <c r="T384" s="49" t="s">
        <v>429</v>
      </c>
    </row>
    <row r="385" spans="1:20" x14ac:dyDescent="0.25">
      <c r="A385" t="s">
        <v>283</v>
      </c>
      <c r="B385" t="s">
        <v>431</v>
      </c>
      <c r="C385" t="s">
        <v>56</v>
      </c>
      <c r="D385" t="s">
        <v>38</v>
      </c>
      <c r="E385" s="49"/>
      <c r="F385" s="60">
        <v>45313</v>
      </c>
      <c r="G385" t="s">
        <v>238</v>
      </c>
      <c r="H385">
        <v>10000</v>
      </c>
      <c r="I385" s="49">
        <v>169286.94</v>
      </c>
      <c r="K385" s="115">
        <v>179464.16</v>
      </c>
      <c r="L385" s="49">
        <v>16.928694</v>
      </c>
      <c r="M385" s="49">
        <v>17.946415999999999</v>
      </c>
      <c r="N385" s="49">
        <v>10177.220000000001</v>
      </c>
      <c r="O385" s="47">
        <v>6.0118163870172152E-2</v>
      </c>
      <c r="P385" s="72">
        <f t="shared" si="5"/>
        <v>416468.54256349662</v>
      </c>
      <c r="Q385" s="49" t="str">
        <f>TEXT(Table1[[#This Row],[Closing Date]],"yyyy")</f>
        <v>2024</v>
      </c>
      <c r="R385" s="49" t="str">
        <f>TEXT(Table1[[#This Row],[Closing Date]],"mmmm")</f>
        <v>January</v>
      </c>
      <c r="S385" s="49" t="s">
        <v>368</v>
      </c>
      <c r="T385" s="49" t="s">
        <v>429</v>
      </c>
    </row>
    <row r="386" spans="1:20" x14ac:dyDescent="0.25">
      <c r="A386" t="s">
        <v>283</v>
      </c>
      <c r="B386" t="s">
        <v>431</v>
      </c>
      <c r="C386" t="s">
        <v>56</v>
      </c>
      <c r="D386" t="s">
        <v>38</v>
      </c>
      <c r="E386" s="49"/>
      <c r="F386" s="60">
        <v>45314</v>
      </c>
      <c r="G386" t="s">
        <v>214</v>
      </c>
      <c r="H386">
        <v>10000</v>
      </c>
      <c r="I386" s="49">
        <v>1038600</v>
      </c>
      <c r="K386" s="115">
        <v>1032613.16</v>
      </c>
      <c r="L386" s="49">
        <v>103.86</v>
      </c>
      <c r="M386" s="49">
        <v>103.26131600000001</v>
      </c>
      <c r="N386" s="49">
        <v>-6026.8399999999674</v>
      </c>
      <c r="O386" s="47">
        <v>-5.8028499903716229E-3</v>
      </c>
      <c r="P386" s="72">
        <f t="shared" si="5"/>
        <v>410441.70256349666</v>
      </c>
      <c r="Q386" s="49" t="str">
        <f>TEXT(Table1[[#This Row],[Closing Date]],"yyyy")</f>
        <v>2024</v>
      </c>
      <c r="R386" s="49" t="str">
        <f>TEXT(Table1[[#This Row],[Closing Date]],"mmmm")</f>
        <v>January</v>
      </c>
      <c r="S386" s="49" t="s">
        <v>368</v>
      </c>
      <c r="T386" s="49" t="s">
        <v>429</v>
      </c>
    </row>
    <row r="387" spans="1:20" x14ac:dyDescent="0.25">
      <c r="A387" t="s">
        <v>283</v>
      </c>
      <c r="B387" t="s">
        <v>431</v>
      </c>
      <c r="C387" t="s">
        <v>56</v>
      </c>
      <c r="D387" t="s">
        <v>38</v>
      </c>
      <c r="E387" s="49"/>
      <c r="F387" s="60">
        <v>45314</v>
      </c>
      <c r="G387" t="s">
        <v>289</v>
      </c>
      <c r="H387">
        <v>4200</v>
      </c>
      <c r="I387" s="49">
        <v>622104</v>
      </c>
      <c r="K387" s="115">
        <v>616453.66</v>
      </c>
      <c r="L387" s="49">
        <v>148.12</v>
      </c>
      <c r="M387" s="49">
        <v>146.77468095238095</v>
      </c>
      <c r="N387" s="49">
        <v>-5690.3399999999674</v>
      </c>
      <c r="O387" s="47">
        <v>-9.1469272018825914E-3</v>
      </c>
      <c r="P387" s="72">
        <f t="shared" ref="P387:P450" si="6">N387+P386</f>
        <v>404751.36256349669</v>
      </c>
      <c r="Q387" s="49" t="str">
        <f>TEXT(Table1[[#This Row],[Closing Date]],"yyyy")</f>
        <v>2024</v>
      </c>
      <c r="R387" s="49" t="str">
        <f>TEXT(Table1[[#This Row],[Closing Date]],"mmmm")</f>
        <v>January</v>
      </c>
      <c r="S387" s="49" t="s">
        <v>368</v>
      </c>
      <c r="T387" s="49" t="s">
        <v>429</v>
      </c>
    </row>
    <row r="388" spans="1:20" x14ac:dyDescent="0.25">
      <c r="A388" t="s">
        <v>283</v>
      </c>
      <c r="B388" t="s">
        <v>431</v>
      </c>
      <c r="C388" t="s">
        <v>56</v>
      </c>
      <c r="D388" t="s">
        <v>38</v>
      </c>
      <c r="E388" s="49"/>
      <c r="F388" s="60">
        <v>45315</v>
      </c>
      <c r="G388" t="s">
        <v>173</v>
      </c>
      <c r="H388">
        <v>3400</v>
      </c>
      <c r="I388" s="49">
        <v>142191.4</v>
      </c>
      <c r="K388" s="115">
        <v>159407.16</v>
      </c>
      <c r="L388" s="49">
        <v>41.820999999999998</v>
      </c>
      <c r="M388" s="49">
        <v>46.884458823529414</v>
      </c>
      <c r="N388" s="49">
        <v>17215.760000000009</v>
      </c>
      <c r="O388" s="47">
        <v>0.12107455162548515</v>
      </c>
      <c r="P388" s="72">
        <f t="shared" si="6"/>
        <v>421967.1225634967</v>
      </c>
      <c r="Q388" s="49" t="str">
        <f>TEXT(Table1[[#This Row],[Closing Date]],"yyyy")</f>
        <v>2024</v>
      </c>
      <c r="R388" s="49" t="str">
        <f>TEXT(Table1[[#This Row],[Closing Date]],"mmmm")</f>
        <v>January</v>
      </c>
      <c r="S388" s="49" t="s">
        <v>368</v>
      </c>
      <c r="T388" s="49" t="s">
        <v>429</v>
      </c>
    </row>
    <row r="389" spans="1:20" x14ac:dyDescent="0.25">
      <c r="A389" t="s">
        <v>283</v>
      </c>
      <c r="B389" t="s">
        <v>431</v>
      </c>
      <c r="C389" t="s">
        <v>56</v>
      </c>
      <c r="D389" t="s">
        <v>38</v>
      </c>
      <c r="E389" s="49"/>
      <c r="F389" s="60">
        <v>45316</v>
      </c>
      <c r="G389" t="s">
        <v>239</v>
      </c>
      <c r="H389">
        <v>5000</v>
      </c>
      <c r="I389" s="49">
        <v>232275</v>
      </c>
      <c r="K389" s="115">
        <v>246848.35</v>
      </c>
      <c r="L389" s="49">
        <v>46.454999999999998</v>
      </c>
      <c r="M389" s="49">
        <v>49.369669999999999</v>
      </c>
      <c r="N389" s="49">
        <v>14573.350000000006</v>
      </c>
      <c r="O389" s="47">
        <v>6.2741793133139628E-2</v>
      </c>
      <c r="P389" s="72">
        <f t="shared" si="6"/>
        <v>436540.47256349667</v>
      </c>
      <c r="Q389" s="49" t="str">
        <f>TEXT(Table1[[#This Row],[Closing Date]],"yyyy")</f>
        <v>2024</v>
      </c>
      <c r="R389" s="49" t="str">
        <f>TEXT(Table1[[#This Row],[Closing Date]],"mmmm")</f>
        <v>January</v>
      </c>
      <c r="S389" s="49" t="s">
        <v>368</v>
      </c>
      <c r="T389" s="49" t="s">
        <v>429</v>
      </c>
    </row>
    <row r="390" spans="1:20" x14ac:dyDescent="0.25">
      <c r="A390" t="s">
        <v>276</v>
      </c>
      <c r="B390" t="s">
        <v>430</v>
      </c>
      <c r="C390" t="s">
        <v>152</v>
      </c>
      <c r="D390" t="s">
        <v>38</v>
      </c>
      <c r="E390" s="49"/>
      <c r="F390" s="60">
        <v>45317</v>
      </c>
      <c r="G390" t="s">
        <v>170</v>
      </c>
      <c r="H390">
        <v>80</v>
      </c>
      <c r="I390" s="49">
        <v>7057.2</v>
      </c>
      <c r="J390" s="106">
        <v>100</v>
      </c>
      <c r="K390" s="115">
        <v>19795.29</v>
      </c>
      <c r="L390" s="49">
        <v>0.88214999999999999</v>
      </c>
      <c r="M390" s="49">
        <v>2.4744112500000002</v>
      </c>
      <c r="N390" s="49">
        <v>12738.09</v>
      </c>
      <c r="O390" s="47">
        <v>1.8049778949158308</v>
      </c>
      <c r="P390" s="72">
        <f t="shared" si="6"/>
        <v>449278.5625634967</v>
      </c>
      <c r="Q390" s="49" t="str">
        <f>TEXT(Table1[[#This Row],[Closing Date]],"yyyy")</f>
        <v>2024</v>
      </c>
      <c r="R390" s="49" t="str">
        <f>TEXT(Table1[[#This Row],[Closing Date]],"mmmm")</f>
        <v>January</v>
      </c>
      <c r="S390" s="49" t="s">
        <v>368</v>
      </c>
      <c r="T390" s="49" t="s">
        <v>429</v>
      </c>
    </row>
    <row r="391" spans="1:20" x14ac:dyDescent="0.25">
      <c r="A391" t="s">
        <v>283</v>
      </c>
      <c r="B391" t="s">
        <v>431</v>
      </c>
      <c r="C391" t="s">
        <v>56</v>
      </c>
      <c r="D391" t="s">
        <v>38</v>
      </c>
      <c r="E391" s="49"/>
      <c r="F391" s="60">
        <v>45320</v>
      </c>
      <c r="G391" t="s">
        <v>79</v>
      </c>
      <c r="H391">
        <v>240</v>
      </c>
      <c r="I391" s="49">
        <v>50054.65</v>
      </c>
      <c r="K391" s="115">
        <v>44734.8</v>
      </c>
      <c r="L391" s="49">
        <v>208.56104166666668</v>
      </c>
      <c r="M391" s="49">
        <v>186.39500000000001</v>
      </c>
      <c r="N391" s="49">
        <v>-5319.8499999999985</v>
      </c>
      <c r="O391" s="47">
        <v>-0.10628083504729327</v>
      </c>
      <c r="P391" s="72">
        <f t="shared" si="6"/>
        <v>443958.71256349672</v>
      </c>
      <c r="Q391" s="49" t="str">
        <f>TEXT(Table1[[#This Row],[Closing Date]],"yyyy")</f>
        <v>2024</v>
      </c>
      <c r="R391" s="49" t="str">
        <f>TEXT(Table1[[#This Row],[Closing Date]],"mmmm")</f>
        <v>January</v>
      </c>
      <c r="S391" s="49" t="s">
        <v>368</v>
      </c>
      <c r="T391" s="49" t="s">
        <v>429</v>
      </c>
    </row>
    <row r="392" spans="1:20" x14ac:dyDescent="0.25">
      <c r="A392" t="s">
        <v>283</v>
      </c>
      <c r="B392" t="s">
        <v>431</v>
      </c>
      <c r="C392" t="s">
        <v>56</v>
      </c>
      <c r="D392" t="s">
        <v>38</v>
      </c>
      <c r="E392" s="49"/>
      <c r="F392" s="60">
        <v>45320</v>
      </c>
      <c r="G392" t="s">
        <v>237</v>
      </c>
      <c r="H392">
        <v>1600</v>
      </c>
      <c r="I392" s="49">
        <v>316032</v>
      </c>
      <c r="K392" s="115">
        <v>328575.46999999997</v>
      </c>
      <c r="L392" s="49">
        <v>197.52</v>
      </c>
      <c r="M392" s="49">
        <v>205.35966874999997</v>
      </c>
      <c r="N392" s="49">
        <v>12543.469999999972</v>
      </c>
      <c r="O392" s="47">
        <v>3.9690506024706272E-2</v>
      </c>
      <c r="P392" s="72">
        <f t="shared" si="6"/>
        <v>456502.1825634967</v>
      </c>
      <c r="Q392" s="49" t="str">
        <f>TEXT(Table1[[#This Row],[Closing Date]],"yyyy")</f>
        <v>2024</v>
      </c>
      <c r="R392" s="49" t="str">
        <f>TEXT(Table1[[#This Row],[Closing Date]],"mmmm")</f>
        <v>January</v>
      </c>
      <c r="S392" s="49" t="s">
        <v>368</v>
      </c>
      <c r="T392" s="49" t="s">
        <v>429</v>
      </c>
    </row>
    <row r="393" spans="1:20" x14ac:dyDescent="0.25">
      <c r="A393" t="s">
        <v>283</v>
      </c>
      <c r="B393" t="s">
        <v>434</v>
      </c>
      <c r="C393" t="s">
        <v>51</v>
      </c>
      <c r="D393" t="s">
        <v>38</v>
      </c>
      <c r="E393" s="49"/>
      <c r="F393" s="60">
        <v>45320</v>
      </c>
      <c r="G393" t="s">
        <v>134</v>
      </c>
      <c r="H393">
        <v>200</v>
      </c>
      <c r="I393" s="49">
        <v>818464</v>
      </c>
      <c r="K393" s="115">
        <v>820086</v>
      </c>
      <c r="L393" s="49">
        <v>4.09232</v>
      </c>
      <c r="M393" s="49"/>
      <c r="N393" s="49">
        <v>1622</v>
      </c>
      <c r="O393" s="47">
        <v>1.9817609571099034E-3</v>
      </c>
      <c r="P393" s="72">
        <f t="shared" si="6"/>
        <v>458124.1825634967</v>
      </c>
      <c r="Q393" s="49" t="str">
        <f>TEXT(Table1[[#This Row],[Closing Date]],"yyyy")</f>
        <v>2024</v>
      </c>
      <c r="R393" s="49" t="str">
        <f>TEXT(Table1[[#This Row],[Closing Date]],"mmmm")</f>
        <v>January</v>
      </c>
      <c r="S393" s="49" t="s">
        <v>368</v>
      </c>
      <c r="T393" s="49" t="s">
        <v>429</v>
      </c>
    </row>
    <row r="394" spans="1:20" x14ac:dyDescent="0.25">
      <c r="A394" t="s">
        <v>283</v>
      </c>
      <c r="B394" t="s">
        <v>431</v>
      </c>
      <c r="C394" t="s">
        <v>51</v>
      </c>
      <c r="D394" t="s">
        <v>38</v>
      </c>
      <c r="E394" s="49"/>
      <c r="F394" s="60">
        <v>45322</v>
      </c>
      <c r="G394" t="s">
        <v>137</v>
      </c>
      <c r="H394">
        <v>7</v>
      </c>
      <c r="I394" s="49">
        <v>699070.4</v>
      </c>
      <c r="K394" s="115">
        <v>685055</v>
      </c>
      <c r="L394" s="49">
        <v>1997.3440000000001</v>
      </c>
      <c r="M394" s="49">
        <v>1957.3</v>
      </c>
      <c r="N394" s="49">
        <v>-14015.400000000023</v>
      </c>
      <c r="O394" s="47">
        <v>-2.0048624573433552E-2</v>
      </c>
      <c r="P394" s="72">
        <f t="shared" si="6"/>
        <v>444108.78256349667</v>
      </c>
      <c r="Q394" s="49" t="str">
        <f>TEXT(Table1[[#This Row],[Closing Date]],"yyyy")</f>
        <v>2024</v>
      </c>
      <c r="R394" s="49" t="str">
        <f>TEXT(Table1[[#This Row],[Closing Date]],"mmmm")</f>
        <v>January</v>
      </c>
      <c r="S394" s="49" t="s">
        <v>368</v>
      </c>
      <c r="T394" s="49" t="s">
        <v>429</v>
      </c>
    </row>
    <row r="395" spans="1:20" x14ac:dyDescent="0.25">
      <c r="A395" t="s">
        <v>283</v>
      </c>
      <c r="B395" t="s">
        <v>431</v>
      </c>
      <c r="C395" t="s">
        <v>35</v>
      </c>
      <c r="D395" t="s">
        <v>38</v>
      </c>
      <c r="E395" s="49"/>
      <c r="F395" s="60">
        <v>45322</v>
      </c>
      <c r="G395" t="s">
        <v>188</v>
      </c>
      <c r="H395">
        <v>2000000</v>
      </c>
      <c r="I395" s="49">
        <v>1775505.44</v>
      </c>
      <c r="K395" s="115">
        <v>1762410.19</v>
      </c>
      <c r="L395" s="49">
        <v>0.88775271999999994</v>
      </c>
      <c r="M395" s="49">
        <v>0.88120509499999999</v>
      </c>
      <c r="N395" s="49">
        <v>-13095.25</v>
      </c>
      <c r="O395" s="47">
        <v>-6.5476249999999996E-3</v>
      </c>
      <c r="P395" s="72">
        <f t="shared" si="6"/>
        <v>431013.53256349667</v>
      </c>
      <c r="Q395" s="49" t="str">
        <f>TEXT(Table1[[#This Row],[Closing Date]],"yyyy")</f>
        <v>2024</v>
      </c>
      <c r="R395" s="49" t="str">
        <f>TEXT(Table1[[#This Row],[Closing Date]],"mmmm")</f>
        <v>January</v>
      </c>
      <c r="S395" s="49" t="s">
        <v>368</v>
      </c>
      <c r="T395" s="49" t="s">
        <v>429</v>
      </c>
    </row>
    <row r="396" spans="1:20" x14ac:dyDescent="0.25">
      <c r="A396" t="s">
        <v>283</v>
      </c>
      <c r="B396" t="s">
        <v>431</v>
      </c>
      <c r="C396" t="s">
        <v>56</v>
      </c>
      <c r="D396" t="s">
        <v>38</v>
      </c>
      <c r="E396" s="49"/>
      <c r="F396" s="60">
        <v>45322</v>
      </c>
      <c r="G396" t="s">
        <v>241</v>
      </c>
      <c r="H396">
        <v>2750</v>
      </c>
      <c r="I396" s="49">
        <v>310653.75</v>
      </c>
      <c r="K396" s="115">
        <v>320565.87</v>
      </c>
      <c r="L396" s="49">
        <v>112.965</v>
      </c>
      <c r="M396" s="49">
        <v>183.18049714285715</v>
      </c>
      <c r="N396" s="49">
        <v>9912.1199999999953</v>
      </c>
      <c r="O396" s="47">
        <v>3.190729228280681E-2</v>
      </c>
      <c r="P396" s="72">
        <f t="shared" si="6"/>
        <v>440925.65256349667</v>
      </c>
      <c r="Q396" s="49" t="str">
        <f>TEXT(Table1[[#This Row],[Closing Date]],"yyyy")</f>
        <v>2024</v>
      </c>
      <c r="R396" s="49" t="str">
        <f>TEXT(Table1[[#This Row],[Closing Date]],"mmmm")</f>
        <v>January</v>
      </c>
      <c r="S396" s="49" t="s">
        <v>368</v>
      </c>
      <c r="T396" s="49" t="s">
        <v>429</v>
      </c>
    </row>
    <row r="397" spans="1:20" x14ac:dyDescent="0.25">
      <c r="A397" t="s">
        <v>283</v>
      </c>
      <c r="B397" t="s">
        <v>431</v>
      </c>
      <c r="C397" t="s">
        <v>56</v>
      </c>
      <c r="D397" t="s">
        <v>38</v>
      </c>
      <c r="E397" s="49"/>
      <c r="F397" s="60">
        <v>45323</v>
      </c>
      <c r="G397" t="s">
        <v>231</v>
      </c>
      <c r="H397">
        <v>3000</v>
      </c>
      <c r="I397" s="49">
        <v>104835</v>
      </c>
      <c r="K397" s="115">
        <v>94427.199999999997</v>
      </c>
      <c r="L397" s="49">
        <v>34.945</v>
      </c>
      <c r="M397" s="49">
        <v>31.475733333333331</v>
      </c>
      <c r="N397" s="49">
        <v>-10407.800000000003</v>
      </c>
      <c r="O397" s="47">
        <v>-9.9277912910764557E-2</v>
      </c>
      <c r="P397" s="72">
        <f t="shared" si="6"/>
        <v>430517.85256349668</v>
      </c>
      <c r="Q397" s="49" t="str">
        <f>TEXT(Table1[[#This Row],[Closing Date]],"yyyy")</f>
        <v>2024</v>
      </c>
      <c r="R397" s="49" t="str">
        <f>TEXT(Table1[[#This Row],[Closing Date]],"mmmm")</f>
        <v>February</v>
      </c>
      <c r="S397" s="49" t="s">
        <v>368</v>
      </c>
      <c r="T397" s="49" t="s">
        <v>429</v>
      </c>
    </row>
    <row r="398" spans="1:20" x14ac:dyDescent="0.25">
      <c r="A398" t="s">
        <v>283</v>
      </c>
      <c r="B398" t="s">
        <v>431</v>
      </c>
      <c r="C398" t="s">
        <v>56</v>
      </c>
      <c r="D398" t="s">
        <v>38</v>
      </c>
      <c r="E398" s="49"/>
      <c r="F398" s="60">
        <v>45323</v>
      </c>
      <c r="G398" t="s">
        <v>173</v>
      </c>
      <c r="H398">
        <v>2500</v>
      </c>
      <c r="I398" s="49">
        <v>107337.5</v>
      </c>
      <c r="K398" s="115">
        <v>98272.37</v>
      </c>
      <c r="L398" s="49">
        <v>42.935000000000002</v>
      </c>
      <c r="M398" s="49">
        <v>39.308948000000001</v>
      </c>
      <c r="N398" s="49">
        <v>-9065.1300000000047</v>
      </c>
      <c r="O398" s="47">
        <v>-8.4454454407825827E-2</v>
      </c>
      <c r="P398" s="72">
        <f t="shared" si="6"/>
        <v>421452.72256349667</v>
      </c>
      <c r="Q398" s="49" t="str">
        <f>TEXT(Table1[[#This Row],[Closing Date]],"yyyy")</f>
        <v>2024</v>
      </c>
      <c r="R398" s="49" t="str">
        <f>TEXT(Table1[[#This Row],[Closing Date]],"mmmm")</f>
        <v>February</v>
      </c>
      <c r="S398" s="49" t="s">
        <v>368</v>
      </c>
      <c r="T398" s="49" t="s">
        <v>429</v>
      </c>
    </row>
    <row r="399" spans="1:20" x14ac:dyDescent="0.25">
      <c r="A399" t="s">
        <v>283</v>
      </c>
      <c r="B399" t="s">
        <v>431</v>
      </c>
      <c r="C399" t="s">
        <v>56</v>
      </c>
      <c r="D399" t="s">
        <v>38</v>
      </c>
      <c r="E399" s="49"/>
      <c r="F399" s="60">
        <v>45323</v>
      </c>
      <c r="G399" t="s">
        <v>204</v>
      </c>
      <c r="H399">
        <v>2500</v>
      </c>
      <c r="I399" s="49">
        <v>111862.5</v>
      </c>
      <c r="K399" s="115">
        <v>105586.24000000001</v>
      </c>
      <c r="L399" s="49">
        <v>44.744999999999997</v>
      </c>
      <c r="M399" s="49">
        <v>42.234496</v>
      </c>
      <c r="N399" s="49">
        <v>-6276.2599999999948</v>
      </c>
      <c r="O399" s="47">
        <v>-5.6106916973963528E-2</v>
      </c>
      <c r="P399" s="72">
        <f t="shared" si="6"/>
        <v>415176.46256349667</v>
      </c>
      <c r="Q399" s="49" t="str">
        <f>TEXT(Table1[[#This Row],[Closing Date]],"yyyy")</f>
        <v>2024</v>
      </c>
      <c r="R399" s="49" t="str">
        <f>TEXT(Table1[[#This Row],[Closing Date]],"mmmm")</f>
        <v>February</v>
      </c>
      <c r="S399" s="49" t="s">
        <v>368</v>
      </c>
      <c r="T399" s="49" t="s">
        <v>429</v>
      </c>
    </row>
    <row r="400" spans="1:20" x14ac:dyDescent="0.25">
      <c r="A400" t="s">
        <v>283</v>
      </c>
      <c r="B400" t="s">
        <v>431</v>
      </c>
      <c r="C400" t="s">
        <v>56</v>
      </c>
      <c r="D400" t="s">
        <v>38</v>
      </c>
      <c r="E400" s="49"/>
      <c r="F400" s="60">
        <v>45323</v>
      </c>
      <c r="G400" t="s">
        <v>243</v>
      </c>
      <c r="H400">
        <v>750</v>
      </c>
      <c r="I400" s="49">
        <v>157143.75</v>
      </c>
      <c r="K400" s="115">
        <v>152515</v>
      </c>
      <c r="L400" s="49">
        <v>209.52500000000001</v>
      </c>
      <c r="M400" s="49">
        <v>203.35333333333332</v>
      </c>
      <c r="N400" s="49">
        <v>-4628.75</v>
      </c>
      <c r="O400" s="47">
        <v>-2.9455514457304221E-2</v>
      </c>
      <c r="P400" s="72">
        <f t="shared" si="6"/>
        <v>410547.71256349667</v>
      </c>
      <c r="Q400" s="49" t="str">
        <f>TEXT(Table1[[#This Row],[Closing Date]],"yyyy")</f>
        <v>2024</v>
      </c>
      <c r="R400" s="49" t="str">
        <f>TEXT(Table1[[#This Row],[Closing Date]],"mmmm")</f>
        <v>February</v>
      </c>
      <c r="S400" s="49" t="s">
        <v>368</v>
      </c>
      <c r="T400" s="49" t="s">
        <v>429</v>
      </c>
    </row>
    <row r="401" spans="1:20" x14ac:dyDescent="0.25">
      <c r="A401" t="s">
        <v>283</v>
      </c>
      <c r="B401" t="s">
        <v>431</v>
      </c>
      <c r="C401" t="s">
        <v>56</v>
      </c>
      <c r="D401" t="s">
        <v>38</v>
      </c>
      <c r="E401" s="49"/>
      <c r="F401" s="60">
        <v>45323</v>
      </c>
      <c r="G401" t="s">
        <v>212</v>
      </c>
      <c r="H401">
        <v>2500</v>
      </c>
      <c r="I401" s="49">
        <v>96902.5</v>
      </c>
      <c r="K401" s="115">
        <v>97098.81</v>
      </c>
      <c r="L401" s="49">
        <v>38.761000000000003</v>
      </c>
      <c r="M401" s="49">
        <v>38.839523999999997</v>
      </c>
      <c r="N401" s="49">
        <v>196.30999999999767</v>
      </c>
      <c r="O401" s="47">
        <v>2.0258507262454289E-3</v>
      </c>
      <c r="P401" s="72">
        <f t="shared" si="6"/>
        <v>410744.02256349666</v>
      </c>
      <c r="Q401" s="49" t="str">
        <f>TEXT(Table1[[#This Row],[Closing Date]],"yyyy")</f>
        <v>2024</v>
      </c>
      <c r="R401" s="49" t="str">
        <f>TEXT(Table1[[#This Row],[Closing Date]],"mmmm")</f>
        <v>February</v>
      </c>
      <c r="S401" s="49" t="s">
        <v>368</v>
      </c>
      <c r="T401" s="49" t="s">
        <v>429</v>
      </c>
    </row>
    <row r="402" spans="1:20" x14ac:dyDescent="0.25">
      <c r="A402" t="s">
        <v>283</v>
      </c>
      <c r="B402" t="s">
        <v>431</v>
      </c>
      <c r="C402" t="s">
        <v>56</v>
      </c>
      <c r="D402" t="s">
        <v>38</v>
      </c>
      <c r="E402" s="49"/>
      <c r="F402" s="60">
        <v>45323</v>
      </c>
      <c r="G402" t="s">
        <v>157</v>
      </c>
      <c r="H402">
        <v>3000</v>
      </c>
      <c r="I402" s="49">
        <v>372321</v>
      </c>
      <c r="K402" s="115">
        <v>382062.68</v>
      </c>
      <c r="L402" s="49">
        <v>124.107</v>
      </c>
      <c r="M402" s="49">
        <v>254.70845333333332</v>
      </c>
      <c r="N402" s="49">
        <v>9741.679999999993</v>
      </c>
      <c r="O402" s="47">
        <v>2.6164734194418237E-2</v>
      </c>
      <c r="P402" s="72">
        <f t="shared" si="6"/>
        <v>420485.70256349666</v>
      </c>
      <c r="Q402" s="49" t="str">
        <f>TEXT(Table1[[#This Row],[Closing Date]],"yyyy")</f>
        <v>2024</v>
      </c>
      <c r="R402" s="49" t="str">
        <f>TEXT(Table1[[#This Row],[Closing Date]],"mmmm")</f>
        <v>February</v>
      </c>
      <c r="S402" s="49" t="s">
        <v>368</v>
      </c>
      <c r="T402" s="49" t="s">
        <v>429</v>
      </c>
    </row>
    <row r="403" spans="1:20" x14ac:dyDescent="0.25">
      <c r="A403" t="s">
        <v>283</v>
      </c>
      <c r="B403" t="s">
        <v>434</v>
      </c>
      <c r="C403" t="s">
        <v>51</v>
      </c>
      <c r="D403" t="s">
        <v>38</v>
      </c>
      <c r="E403" s="49"/>
      <c r="F403" s="60">
        <v>45323</v>
      </c>
      <c r="G403" t="s">
        <v>134</v>
      </c>
      <c r="H403">
        <v>200</v>
      </c>
      <c r="I403" s="49">
        <v>815420</v>
      </c>
      <c r="K403" s="115">
        <v>778893</v>
      </c>
      <c r="L403" s="49">
        <v>4.0770999999999997</v>
      </c>
      <c r="M403" s="49"/>
      <c r="N403" s="49">
        <v>-36527</v>
      </c>
      <c r="O403" s="47">
        <v>-4.4795320203085527E-2</v>
      </c>
      <c r="P403" s="72">
        <f t="shared" si="6"/>
        <v>383958.70256349666</v>
      </c>
      <c r="Q403" s="49" t="str">
        <f>TEXT(Table1[[#This Row],[Closing Date]],"yyyy")</f>
        <v>2024</v>
      </c>
      <c r="R403" s="49" t="str">
        <f>TEXT(Table1[[#This Row],[Closing Date]],"mmmm")</f>
        <v>February</v>
      </c>
      <c r="S403" s="49" t="s">
        <v>368</v>
      </c>
      <c r="T403" s="49" t="s">
        <v>429</v>
      </c>
    </row>
    <row r="404" spans="1:20" x14ac:dyDescent="0.25">
      <c r="A404" t="s">
        <v>283</v>
      </c>
      <c r="B404" t="s">
        <v>434</v>
      </c>
      <c r="C404" t="s">
        <v>51</v>
      </c>
      <c r="D404" t="s">
        <v>38</v>
      </c>
      <c r="E404" s="49"/>
      <c r="F404" s="60">
        <v>45323</v>
      </c>
      <c r="G404" t="s">
        <v>52</v>
      </c>
      <c r="H404">
        <v>3</v>
      </c>
      <c r="I404" s="49">
        <v>227077.11</v>
      </c>
      <c r="K404" s="115">
        <v>221752.89</v>
      </c>
      <c r="L404" s="49">
        <v>75.692369999999997</v>
      </c>
      <c r="M404" s="49">
        <v>0</v>
      </c>
      <c r="N404" s="49">
        <v>-5324.2199999999721</v>
      </c>
      <c r="O404" s="47">
        <v>-2.344674899200528E-2</v>
      </c>
      <c r="P404" s="72">
        <f t="shared" si="6"/>
        <v>378634.48256349668</v>
      </c>
      <c r="Q404" s="49" t="str">
        <f>TEXT(Table1[[#This Row],[Closing Date]],"yyyy")</f>
        <v>2024</v>
      </c>
      <c r="R404" s="49" t="str">
        <f>TEXT(Table1[[#This Row],[Closing Date]],"mmmm")</f>
        <v>February</v>
      </c>
      <c r="S404" s="49" t="s">
        <v>368</v>
      </c>
      <c r="T404" s="49" t="s">
        <v>429</v>
      </c>
    </row>
    <row r="405" spans="1:20" x14ac:dyDescent="0.25">
      <c r="A405" t="s">
        <v>276</v>
      </c>
      <c r="B405" t="s">
        <v>430</v>
      </c>
      <c r="C405" t="s">
        <v>152</v>
      </c>
      <c r="D405" t="s">
        <v>38</v>
      </c>
      <c r="E405" s="49"/>
      <c r="F405" s="60">
        <v>45324</v>
      </c>
      <c r="G405" t="s">
        <v>171</v>
      </c>
      <c r="H405">
        <v>25</v>
      </c>
      <c r="I405" s="49">
        <v>7248.67</v>
      </c>
      <c r="J405" s="106">
        <v>100</v>
      </c>
      <c r="K405" s="115">
        <v>18053.370000000003</v>
      </c>
      <c r="L405" s="49">
        <v>2.8994680000000002</v>
      </c>
      <c r="M405" s="49">
        <v>7.2213480000000017</v>
      </c>
      <c r="N405" s="49">
        <v>10804.700000000003</v>
      </c>
      <c r="O405" s="47">
        <v>1.4905768920367466</v>
      </c>
      <c r="P405" s="72">
        <f t="shared" si="6"/>
        <v>389439.1825634967</v>
      </c>
      <c r="Q405" s="49" t="str">
        <f>TEXT(Table1[[#This Row],[Closing Date]],"yyyy")</f>
        <v>2024</v>
      </c>
      <c r="R405" s="49" t="str">
        <f>TEXT(Table1[[#This Row],[Closing Date]],"mmmm")</f>
        <v>February</v>
      </c>
      <c r="S405" s="49" t="s">
        <v>368</v>
      </c>
      <c r="T405" s="49" t="s">
        <v>429</v>
      </c>
    </row>
    <row r="406" spans="1:20" x14ac:dyDescent="0.25">
      <c r="A406" t="s">
        <v>283</v>
      </c>
      <c r="B406" t="s">
        <v>431</v>
      </c>
      <c r="C406" t="s">
        <v>56</v>
      </c>
      <c r="D406" t="s">
        <v>38</v>
      </c>
      <c r="E406" s="49"/>
      <c r="F406" s="60">
        <v>45324</v>
      </c>
      <c r="G406" t="s">
        <v>244</v>
      </c>
      <c r="H406">
        <v>10000</v>
      </c>
      <c r="I406" s="49">
        <v>275285</v>
      </c>
      <c r="K406" s="115">
        <v>276321.87</v>
      </c>
      <c r="L406" s="49">
        <v>27.528500000000001</v>
      </c>
      <c r="M406" s="49">
        <v>27.632186999999998</v>
      </c>
      <c r="N406" s="49">
        <v>987</v>
      </c>
      <c r="O406" s="47">
        <v>3.5853751566558294E-3</v>
      </c>
      <c r="P406" s="72">
        <f t="shared" si="6"/>
        <v>390426.1825634967</v>
      </c>
      <c r="Q406" s="49" t="str">
        <f>TEXT(Table1[[#This Row],[Closing Date]],"yyyy")</f>
        <v>2024</v>
      </c>
      <c r="R406" s="49" t="str">
        <f>TEXT(Table1[[#This Row],[Closing Date]],"mmmm")</f>
        <v>February</v>
      </c>
      <c r="S406" s="49" t="s">
        <v>368</v>
      </c>
      <c r="T406" s="49" t="s">
        <v>429</v>
      </c>
    </row>
    <row r="407" spans="1:20" x14ac:dyDescent="0.25">
      <c r="A407" t="s">
        <v>283</v>
      </c>
      <c r="B407" t="s">
        <v>431</v>
      </c>
      <c r="C407" t="s">
        <v>56</v>
      </c>
      <c r="D407" t="s">
        <v>38</v>
      </c>
      <c r="E407" s="49"/>
      <c r="F407" s="60">
        <v>45327</v>
      </c>
      <c r="G407" t="s">
        <v>174</v>
      </c>
      <c r="H407">
        <v>18000</v>
      </c>
      <c r="I407" s="49">
        <v>284136.45</v>
      </c>
      <c r="K407" s="115">
        <v>301286.45</v>
      </c>
      <c r="L407" s="49">
        <v>15.785358333333335</v>
      </c>
      <c r="M407" s="49">
        <v>16.73813611111111</v>
      </c>
      <c r="N407" s="49">
        <v>-17150</v>
      </c>
      <c r="O407" s="47">
        <v>-6.0358324319178334E-2</v>
      </c>
      <c r="P407" s="72">
        <f t="shared" si="6"/>
        <v>373276.1825634967</v>
      </c>
      <c r="Q407" s="49" t="str">
        <f>TEXT(Table1[[#This Row],[Closing Date]],"yyyy")</f>
        <v>2024</v>
      </c>
      <c r="R407" s="49" t="str">
        <f>TEXT(Table1[[#This Row],[Closing Date]],"mmmm")</f>
        <v>February</v>
      </c>
      <c r="S407" s="49" t="s">
        <v>368</v>
      </c>
      <c r="T407" s="49" t="s">
        <v>429</v>
      </c>
    </row>
    <row r="408" spans="1:20" x14ac:dyDescent="0.25">
      <c r="A408" t="s">
        <v>283</v>
      </c>
      <c r="B408" t="s">
        <v>431</v>
      </c>
      <c r="C408" t="s">
        <v>56</v>
      </c>
      <c r="D408" t="s">
        <v>38</v>
      </c>
      <c r="E408" s="49"/>
      <c r="F408" s="60">
        <v>45327</v>
      </c>
      <c r="G408" t="s">
        <v>290</v>
      </c>
      <c r="H408">
        <v>20000</v>
      </c>
      <c r="I408" s="49">
        <v>871910.45</v>
      </c>
      <c r="K408" s="115">
        <v>860994.45</v>
      </c>
      <c r="L408" s="49">
        <v>43.595522499999994</v>
      </c>
      <c r="M408" s="49">
        <v>43.049722499999994</v>
      </c>
      <c r="N408" s="49">
        <v>-10956</v>
      </c>
      <c r="O408" s="47">
        <v>-1.2565510598020703E-2</v>
      </c>
      <c r="P408" s="72">
        <f t="shared" si="6"/>
        <v>362320.1825634967</v>
      </c>
      <c r="Q408" s="49" t="str">
        <f>TEXT(Table1[[#This Row],[Closing Date]],"yyyy")</f>
        <v>2024</v>
      </c>
      <c r="R408" s="49" t="str">
        <f>TEXT(Table1[[#This Row],[Closing Date]],"mmmm")</f>
        <v>February</v>
      </c>
      <c r="S408" s="49" t="s">
        <v>368</v>
      </c>
      <c r="T408" s="49" t="s">
        <v>429</v>
      </c>
    </row>
    <row r="409" spans="1:20" x14ac:dyDescent="0.25">
      <c r="A409" t="s">
        <v>283</v>
      </c>
      <c r="B409" t="s">
        <v>431</v>
      </c>
      <c r="C409" t="s">
        <v>56</v>
      </c>
      <c r="D409" t="s">
        <v>38</v>
      </c>
      <c r="E409" s="49"/>
      <c r="F409" s="60">
        <v>45328</v>
      </c>
      <c r="G409" t="s">
        <v>291</v>
      </c>
      <c r="H409">
        <v>4000</v>
      </c>
      <c r="I409" s="49">
        <v>156520</v>
      </c>
      <c r="K409" s="115">
        <v>150380</v>
      </c>
      <c r="L409" s="49">
        <v>39.130000000000003</v>
      </c>
      <c r="M409" s="49">
        <v>37.594999999999999</v>
      </c>
      <c r="N409" s="49">
        <v>-6182</v>
      </c>
      <c r="O409" s="47">
        <v>-3.9496549961666239E-2</v>
      </c>
      <c r="P409" s="72">
        <f t="shared" si="6"/>
        <v>356138.1825634967</v>
      </c>
      <c r="Q409" s="49" t="str">
        <f>TEXT(Table1[[#This Row],[Closing Date]],"yyyy")</f>
        <v>2024</v>
      </c>
      <c r="R409" s="49" t="str">
        <f>TEXT(Table1[[#This Row],[Closing Date]],"mmmm")</f>
        <v>February</v>
      </c>
      <c r="S409" s="49" t="s">
        <v>368</v>
      </c>
      <c r="T409" s="49" t="s">
        <v>429</v>
      </c>
    </row>
    <row r="410" spans="1:20" x14ac:dyDescent="0.25">
      <c r="A410" t="s">
        <v>283</v>
      </c>
      <c r="B410" t="s">
        <v>431</v>
      </c>
      <c r="C410" t="s">
        <v>56</v>
      </c>
      <c r="D410" t="s">
        <v>38</v>
      </c>
      <c r="E410" s="49"/>
      <c r="F410" s="60">
        <v>45328</v>
      </c>
      <c r="G410" t="s">
        <v>242</v>
      </c>
      <c r="H410">
        <v>8000</v>
      </c>
      <c r="I410" s="49">
        <v>163175.60999999999</v>
      </c>
      <c r="K410" s="115">
        <v>157159.93</v>
      </c>
      <c r="L410" s="49">
        <v>20.396951249999997</v>
      </c>
      <c r="M410" s="49">
        <v>19.64499125</v>
      </c>
      <c r="N410" s="49">
        <v>6015.679999999993</v>
      </c>
      <c r="O410" s="47">
        <v>3.6866293927137722E-2</v>
      </c>
      <c r="P410" s="72">
        <f t="shared" si="6"/>
        <v>362153.86256349669</v>
      </c>
      <c r="Q410" s="49" t="str">
        <f>TEXT(Table1[[#This Row],[Closing Date]],"yyyy")</f>
        <v>2024</v>
      </c>
      <c r="R410" s="49" t="str">
        <f>TEXT(Table1[[#This Row],[Closing Date]],"mmmm")</f>
        <v>February</v>
      </c>
      <c r="S410" s="49" t="s">
        <v>368</v>
      </c>
      <c r="T410" s="49" t="s">
        <v>429</v>
      </c>
    </row>
    <row r="411" spans="1:20" x14ac:dyDescent="0.25">
      <c r="A411" t="s">
        <v>283</v>
      </c>
      <c r="B411" t="s">
        <v>431</v>
      </c>
      <c r="C411" t="s">
        <v>56</v>
      </c>
      <c r="D411" t="s">
        <v>38</v>
      </c>
      <c r="E411" s="49"/>
      <c r="F411" s="60">
        <v>45328</v>
      </c>
      <c r="G411" t="s">
        <v>204</v>
      </c>
      <c r="H411">
        <v>10000</v>
      </c>
      <c r="I411" s="49">
        <v>437250</v>
      </c>
      <c r="K411" s="115">
        <v>457851.38</v>
      </c>
      <c r="L411" s="49">
        <v>43.725000000000001</v>
      </c>
      <c r="M411" s="49">
        <v>45.785138000000003</v>
      </c>
      <c r="N411" s="49">
        <v>20601.380000000005</v>
      </c>
      <c r="O411" s="47">
        <v>4.7115791881074912E-2</v>
      </c>
      <c r="P411" s="72">
        <f t="shared" si="6"/>
        <v>382755.24256349669</v>
      </c>
      <c r="Q411" s="49" t="str">
        <f>TEXT(Table1[[#This Row],[Closing Date]],"yyyy")</f>
        <v>2024</v>
      </c>
      <c r="R411" s="49" t="str">
        <f>TEXT(Table1[[#This Row],[Closing Date]],"mmmm")</f>
        <v>February</v>
      </c>
      <c r="S411" s="49" t="s">
        <v>368</v>
      </c>
      <c r="T411" s="49" t="s">
        <v>429</v>
      </c>
    </row>
    <row r="412" spans="1:20" x14ac:dyDescent="0.25">
      <c r="A412" t="s">
        <v>283</v>
      </c>
      <c r="B412" t="s">
        <v>431</v>
      </c>
      <c r="C412" t="s">
        <v>56</v>
      </c>
      <c r="D412" t="s">
        <v>38</v>
      </c>
      <c r="E412" s="49"/>
      <c r="F412" s="60">
        <v>45329</v>
      </c>
      <c r="G412" t="s">
        <v>291</v>
      </c>
      <c r="H412">
        <v>4500</v>
      </c>
      <c r="I412" s="49">
        <v>177193.2</v>
      </c>
      <c r="K412" s="115">
        <v>168032.82</v>
      </c>
      <c r="L412" s="49">
        <v>39.376266666666666</v>
      </c>
      <c r="M412" s="49">
        <v>37.340626666666665</v>
      </c>
      <c r="N412" s="49">
        <v>-9207.4700000000048</v>
      </c>
      <c r="O412" s="47">
        <v>-5.196288570893242E-2</v>
      </c>
      <c r="P412" s="72">
        <f t="shared" si="6"/>
        <v>373547.77256349666</v>
      </c>
      <c r="Q412" s="49" t="str">
        <f>TEXT(Table1[[#This Row],[Closing Date]],"yyyy")</f>
        <v>2024</v>
      </c>
      <c r="R412" s="49" t="str">
        <f>TEXT(Table1[[#This Row],[Closing Date]],"mmmm")</f>
        <v>February</v>
      </c>
      <c r="S412" s="49" t="s">
        <v>368</v>
      </c>
      <c r="T412" s="49" t="s">
        <v>429</v>
      </c>
    </row>
    <row r="413" spans="1:20" x14ac:dyDescent="0.25">
      <c r="A413" t="s">
        <v>283</v>
      </c>
      <c r="B413" t="s">
        <v>431</v>
      </c>
      <c r="C413" t="s">
        <v>56</v>
      </c>
      <c r="D413" t="s">
        <v>38</v>
      </c>
      <c r="E413" s="49"/>
      <c r="F413" s="60">
        <v>45330</v>
      </c>
      <c r="G413" t="s">
        <v>173</v>
      </c>
      <c r="H413">
        <v>1000</v>
      </c>
      <c r="I413" s="49">
        <v>50862</v>
      </c>
      <c r="K413" s="115">
        <v>45035</v>
      </c>
      <c r="L413" s="49">
        <v>50.862000000000002</v>
      </c>
      <c r="M413" s="49">
        <v>45.034999999999997</v>
      </c>
      <c r="N413" s="49">
        <v>-5874.09</v>
      </c>
      <c r="O413" s="47">
        <v>-0.11549073964846054</v>
      </c>
      <c r="P413" s="72">
        <f t="shared" si="6"/>
        <v>367673.68256349664</v>
      </c>
      <c r="Q413" s="49" t="str">
        <f>TEXT(Table1[[#This Row],[Closing Date]],"yyyy")</f>
        <v>2024</v>
      </c>
      <c r="R413" s="49" t="str">
        <f>TEXT(Table1[[#This Row],[Closing Date]],"mmmm")</f>
        <v>February</v>
      </c>
      <c r="S413" s="49" t="s">
        <v>368</v>
      </c>
      <c r="T413" s="49" t="s">
        <v>429</v>
      </c>
    </row>
    <row r="414" spans="1:20" x14ac:dyDescent="0.25">
      <c r="A414" t="s">
        <v>283</v>
      </c>
      <c r="B414" t="s">
        <v>431</v>
      </c>
      <c r="C414" t="s">
        <v>56</v>
      </c>
      <c r="D414" t="s">
        <v>38</v>
      </c>
      <c r="E414" s="49"/>
      <c r="F414" s="60">
        <v>45331</v>
      </c>
      <c r="G414" t="s">
        <v>215</v>
      </c>
      <c r="H414">
        <v>12000</v>
      </c>
      <c r="I414" s="49">
        <v>384159.63</v>
      </c>
      <c r="K414" s="115">
        <v>437647.33999999997</v>
      </c>
      <c r="L414" s="49">
        <v>32.013302500000002</v>
      </c>
      <c r="M414" s="49">
        <v>36.470611666666663</v>
      </c>
      <c r="N414" s="49">
        <v>53487.709999999963</v>
      </c>
      <c r="O414" s="47">
        <v>0.13923303185188918</v>
      </c>
      <c r="P414" s="72">
        <f t="shared" si="6"/>
        <v>421161.3925634966</v>
      </c>
      <c r="Q414" s="49" t="str">
        <f>TEXT(Table1[[#This Row],[Closing Date]],"yyyy")</f>
        <v>2024</v>
      </c>
      <c r="R414" s="49" t="str">
        <f>TEXT(Table1[[#This Row],[Closing Date]],"mmmm")</f>
        <v>February</v>
      </c>
      <c r="S414" s="49" t="s">
        <v>368</v>
      </c>
      <c r="T414" s="49" t="s">
        <v>429</v>
      </c>
    </row>
    <row r="415" spans="1:20" x14ac:dyDescent="0.25">
      <c r="A415" t="s">
        <v>283</v>
      </c>
      <c r="B415" t="s">
        <v>431</v>
      </c>
      <c r="C415" t="s">
        <v>56</v>
      </c>
      <c r="D415" t="s">
        <v>36</v>
      </c>
      <c r="E415" s="49"/>
      <c r="F415" s="60">
        <v>45334</v>
      </c>
      <c r="G415" t="s">
        <v>119</v>
      </c>
      <c r="H415">
        <v>200</v>
      </c>
      <c r="I415" s="49">
        <v>141889.93</v>
      </c>
      <c r="K415" s="115">
        <v>156783.74</v>
      </c>
      <c r="L415" s="49">
        <v>709.44965000000002</v>
      </c>
      <c r="M415" s="49">
        <v>783.91869999999994</v>
      </c>
      <c r="N415" s="49">
        <v>-14893.809999999998</v>
      </c>
      <c r="O415" s="47">
        <v>-0.10496735039618385</v>
      </c>
      <c r="P415" s="72">
        <f t="shared" si="6"/>
        <v>406267.5825634966</v>
      </c>
      <c r="Q415" s="49" t="str">
        <f>TEXT(Table1[[#This Row],[Closing Date]],"yyyy")</f>
        <v>2024</v>
      </c>
      <c r="R415" s="49" t="str">
        <f>TEXT(Table1[[#This Row],[Closing Date]],"mmmm")</f>
        <v>February</v>
      </c>
      <c r="S415" s="49" t="s">
        <v>368</v>
      </c>
      <c r="T415" s="49" t="s">
        <v>429</v>
      </c>
    </row>
    <row r="416" spans="1:20" x14ac:dyDescent="0.25">
      <c r="A416" t="s">
        <v>276</v>
      </c>
      <c r="B416" t="s">
        <v>430</v>
      </c>
      <c r="C416" t="s">
        <v>149</v>
      </c>
      <c r="D416" t="s">
        <v>38</v>
      </c>
      <c r="E416" s="49"/>
      <c r="F416" s="60">
        <v>45334</v>
      </c>
      <c r="G416" t="s">
        <v>193</v>
      </c>
      <c r="H416">
        <v>40</v>
      </c>
      <c r="I416" s="49">
        <v>10055.879999999999</v>
      </c>
      <c r="J416" s="106">
        <v>100</v>
      </c>
      <c r="K416" s="115">
        <v>0</v>
      </c>
      <c r="L416" s="49">
        <v>2.51397</v>
      </c>
      <c r="M416" s="49"/>
      <c r="N416" s="49">
        <v>-10055.879999999999</v>
      </c>
      <c r="O416" s="47">
        <v>-1</v>
      </c>
      <c r="P416" s="72">
        <f t="shared" si="6"/>
        <v>396211.7025634966</v>
      </c>
      <c r="Q416" s="49" t="str">
        <f>TEXT(Table1[[#This Row],[Closing Date]],"yyyy")</f>
        <v>2024</v>
      </c>
      <c r="R416" s="49" t="str">
        <f>TEXT(Table1[[#This Row],[Closing Date]],"mmmm")</f>
        <v>February</v>
      </c>
      <c r="S416" s="49" t="s">
        <v>368</v>
      </c>
      <c r="T416" s="49" t="s">
        <v>429</v>
      </c>
    </row>
    <row r="417" spans="1:20" x14ac:dyDescent="0.25">
      <c r="A417" t="s">
        <v>283</v>
      </c>
      <c r="B417" t="s">
        <v>431</v>
      </c>
      <c r="C417" t="s">
        <v>56</v>
      </c>
      <c r="D417" t="s">
        <v>38</v>
      </c>
      <c r="E417" s="49"/>
      <c r="F417" s="60">
        <v>45335</v>
      </c>
      <c r="G417" t="s">
        <v>288</v>
      </c>
      <c r="H417">
        <v>5350</v>
      </c>
      <c r="I417" s="49">
        <v>919469.25</v>
      </c>
      <c r="K417" s="115">
        <v>890261.85000000009</v>
      </c>
      <c r="L417" s="49">
        <v>171.86341121495326</v>
      </c>
      <c r="M417" s="49">
        <v>166.40408411214955</v>
      </c>
      <c r="N417" s="49">
        <v>-29207.399999999907</v>
      </c>
      <c r="O417" s="47">
        <v>-3.1765499498759647E-2</v>
      </c>
      <c r="P417" s="72">
        <f t="shared" si="6"/>
        <v>367004.30256349669</v>
      </c>
      <c r="Q417" s="49" t="str">
        <f>TEXT(Table1[[#This Row],[Closing Date]],"yyyy")</f>
        <v>2024</v>
      </c>
      <c r="R417" s="49" t="str">
        <f>TEXT(Table1[[#This Row],[Closing Date]],"mmmm")</f>
        <v>February</v>
      </c>
      <c r="S417" s="49" t="s">
        <v>368</v>
      </c>
      <c r="T417" s="49" t="s">
        <v>429</v>
      </c>
    </row>
    <row r="418" spans="1:20" x14ac:dyDescent="0.25">
      <c r="A418" t="s">
        <v>283</v>
      </c>
      <c r="B418" t="s">
        <v>431</v>
      </c>
      <c r="C418" t="s">
        <v>56</v>
      </c>
      <c r="D418" t="s">
        <v>38</v>
      </c>
      <c r="E418" s="49"/>
      <c r="F418" s="60">
        <v>45335</v>
      </c>
      <c r="G418" t="s">
        <v>225</v>
      </c>
      <c r="H418">
        <v>7500</v>
      </c>
      <c r="I418" s="49">
        <v>182887.5</v>
      </c>
      <c r="K418" s="115">
        <v>174997.19</v>
      </c>
      <c r="L418" s="49">
        <v>24.385000000000002</v>
      </c>
      <c r="M418" s="49">
        <v>23.332958666666666</v>
      </c>
      <c r="N418" s="49">
        <v>-7890.3099999999977</v>
      </c>
      <c r="O418" s="47">
        <v>-4.3142970405303793E-2</v>
      </c>
      <c r="P418" s="72">
        <f t="shared" si="6"/>
        <v>359113.99256349669</v>
      </c>
      <c r="Q418" s="49" t="str">
        <f>TEXT(Table1[[#This Row],[Closing Date]],"yyyy")</f>
        <v>2024</v>
      </c>
      <c r="R418" s="49" t="str">
        <f>TEXT(Table1[[#This Row],[Closing Date]],"mmmm")</f>
        <v>February</v>
      </c>
      <c r="S418" s="49" t="s">
        <v>368</v>
      </c>
      <c r="T418" s="49" t="s">
        <v>429</v>
      </c>
    </row>
    <row r="419" spans="1:20" x14ac:dyDescent="0.25">
      <c r="A419" t="s">
        <v>283</v>
      </c>
      <c r="B419" t="s">
        <v>431</v>
      </c>
      <c r="C419" t="s">
        <v>56</v>
      </c>
      <c r="D419" t="s">
        <v>38</v>
      </c>
      <c r="E419" s="49"/>
      <c r="F419" s="60">
        <v>45335</v>
      </c>
      <c r="G419" t="s">
        <v>221</v>
      </c>
      <c r="H419">
        <v>1250</v>
      </c>
      <c r="I419" s="49">
        <v>707866.5</v>
      </c>
      <c r="K419" s="115">
        <v>690823.5</v>
      </c>
      <c r="L419" s="49">
        <v>566.29319999999996</v>
      </c>
      <c r="M419" s="49">
        <v>552.65880000000004</v>
      </c>
      <c r="N419" s="49">
        <v>-17043</v>
      </c>
      <c r="O419" s="47">
        <v>-2.4076573760730306E-2</v>
      </c>
      <c r="P419" s="72">
        <f t="shared" si="6"/>
        <v>342070.99256349669</v>
      </c>
      <c r="Q419" s="49" t="str">
        <f>TEXT(Table1[[#This Row],[Closing Date]],"yyyy")</f>
        <v>2024</v>
      </c>
      <c r="R419" s="49" t="str">
        <f>TEXT(Table1[[#This Row],[Closing Date]],"mmmm")</f>
        <v>February</v>
      </c>
      <c r="S419" s="49" t="s">
        <v>368</v>
      </c>
      <c r="T419" s="49" t="s">
        <v>429</v>
      </c>
    </row>
    <row r="420" spans="1:20" x14ac:dyDescent="0.25">
      <c r="A420" t="s">
        <v>283</v>
      </c>
      <c r="B420" t="s">
        <v>434</v>
      </c>
      <c r="C420" t="s">
        <v>35</v>
      </c>
      <c r="D420" t="s">
        <v>38</v>
      </c>
      <c r="E420" s="49"/>
      <c r="F420" s="60">
        <v>45335</v>
      </c>
      <c r="G420" t="s">
        <v>343</v>
      </c>
      <c r="H420">
        <v>250000</v>
      </c>
      <c r="I420" s="49">
        <v>103525847.09999999</v>
      </c>
      <c r="K420" s="115">
        <v>102020459.37</v>
      </c>
      <c r="L420" s="49">
        <v>414.10338839999997</v>
      </c>
      <c r="M420" s="49">
        <v>413</v>
      </c>
      <c r="N420" s="49">
        <v>-4185</v>
      </c>
      <c r="O420" s="47">
        <v>-0.01</v>
      </c>
      <c r="P420" s="72">
        <f t="shared" si="6"/>
        <v>337885.99256349669</v>
      </c>
      <c r="Q420" s="49" t="str">
        <f>TEXT(Table1[[#This Row],[Closing Date]],"yyyy")</f>
        <v>2024</v>
      </c>
      <c r="R420" s="49" t="str">
        <f>TEXT(Table1[[#This Row],[Closing Date]],"mmmm")</f>
        <v>February</v>
      </c>
      <c r="S420" s="49" t="s">
        <v>368</v>
      </c>
      <c r="T420" s="49" t="s">
        <v>429</v>
      </c>
    </row>
    <row r="421" spans="1:20" x14ac:dyDescent="0.25">
      <c r="A421" t="s">
        <v>283</v>
      </c>
      <c r="B421" t="s">
        <v>431</v>
      </c>
      <c r="C421" t="s">
        <v>56</v>
      </c>
      <c r="D421" t="s">
        <v>38</v>
      </c>
      <c r="E421" s="49"/>
      <c r="F421" s="60">
        <v>45337</v>
      </c>
      <c r="G421" t="s">
        <v>221</v>
      </c>
      <c r="H421">
        <v>1000</v>
      </c>
      <c r="I421" s="49">
        <v>569167</v>
      </c>
      <c r="K421" s="115">
        <v>583154.04</v>
      </c>
      <c r="L421" s="49">
        <v>569.16700000000003</v>
      </c>
      <c r="M421" s="49">
        <v>583.15404000000001</v>
      </c>
      <c r="N421" s="49">
        <v>13987.040000000037</v>
      </c>
      <c r="O421" s="47">
        <v>2.4574580044169878E-2</v>
      </c>
      <c r="P421" s="72">
        <f t="shared" si="6"/>
        <v>351873.03256349673</v>
      </c>
      <c r="Q421" s="49" t="str">
        <f>TEXT(Table1[[#This Row],[Closing Date]],"yyyy")</f>
        <v>2024</v>
      </c>
      <c r="R421" s="49" t="str">
        <f>TEXT(Table1[[#This Row],[Closing Date]],"mmmm")</f>
        <v>February</v>
      </c>
      <c r="S421" s="49" t="s">
        <v>368</v>
      </c>
      <c r="T421" s="49" t="s">
        <v>429</v>
      </c>
    </row>
    <row r="422" spans="1:20" x14ac:dyDescent="0.25">
      <c r="A422" t="s">
        <v>283</v>
      </c>
      <c r="B422" t="s">
        <v>431</v>
      </c>
      <c r="C422" t="s">
        <v>56</v>
      </c>
      <c r="D422" t="s">
        <v>38</v>
      </c>
      <c r="E422" s="49"/>
      <c r="F422" s="60">
        <v>45338</v>
      </c>
      <c r="G422" t="s">
        <v>288</v>
      </c>
      <c r="H422">
        <v>2000</v>
      </c>
      <c r="I422" s="49">
        <v>354270</v>
      </c>
      <c r="K422" s="115">
        <v>347660.31</v>
      </c>
      <c r="L422" s="49">
        <v>177.13499999999999</v>
      </c>
      <c r="M422" s="49">
        <v>173.83015499999999</v>
      </c>
      <c r="N422" s="49">
        <v>-6609.6900000000023</v>
      </c>
      <c r="O422" s="47">
        <v>-1.8657210602083165E-2</v>
      </c>
      <c r="P422" s="72">
        <f t="shared" si="6"/>
        <v>345263.34256349673</v>
      </c>
      <c r="Q422" s="49" t="str">
        <f>TEXT(Table1[[#This Row],[Closing Date]],"yyyy")</f>
        <v>2024</v>
      </c>
      <c r="R422" s="49" t="str">
        <f>TEXT(Table1[[#This Row],[Closing Date]],"mmmm")</f>
        <v>February</v>
      </c>
      <c r="S422" s="49" t="s">
        <v>368</v>
      </c>
      <c r="T422" s="49" t="s">
        <v>429</v>
      </c>
    </row>
    <row r="423" spans="1:20" x14ac:dyDescent="0.25">
      <c r="A423" t="s">
        <v>283</v>
      </c>
      <c r="B423" t="s">
        <v>431</v>
      </c>
      <c r="C423" t="s">
        <v>56</v>
      </c>
      <c r="D423" t="s">
        <v>38</v>
      </c>
      <c r="E423" s="49"/>
      <c r="F423" s="60">
        <v>45338</v>
      </c>
      <c r="G423" t="s">
        <v>225</v>
      </c>
      <c r="H423">
        <v>10000</v>
      </c>
      <c r="I423" s="49">
        <v>245955</v>
      </c>
      <c r="K423" s="115">
        <v>243950.99</v>
      </c>
      <c r="L423" s="49">
        <v>24.595500000000001</v>
      </c>
      <c r="M423" s="49">
        <v>24.395098999999998</v>
      </c>
      <c r="N423" s="49">
        <v>-2004.0100000000093</v>
      </c>
      <c r="O423" s="47">
        <v>-8.1478725783172105E-3</v>
      </c>
      <c r="P423" s="72">
        <f t="shared" si="6"/>
        <v>343259.33256349672</v>
      </c>
      <c r="Q423" s="49" t="str">
        <f>TEXT(Table1[[#This Row],[Closing Date]],"yyyy")</f>
        <v>2024</v>
      </c>
      <c r="R423" s="49" t="str">
        <f>TEXT(Table1[[#This Row],[Closing Date]],"mmmm")</f>
        <v>February</v>
      </c>
      <c r="S423" s="49" t="s">
        <v>368</v>
      </c>
      <c r="T423" s="49" t="s">
        <v>429</v>
      </c>
    </row>
    <row r="424" spans="1:20" x14ac:dyDescent="0.25">
      <c r="A424" t="s">
        <v>283</v>
      </c>
      <c r="B424" t="s">
        <v>431</v>
      </c>
      <c r="C424" t="s">
        <v>56</v>
      </c>
      <c r="D424" t="s">
        <v>38</v>
      </c>
      <c r="E424" s="49"/>
      <c r="F424" s="60">
        <v>45338</v>
      </c>
      <c r="G424" t="s">
        <v>277</v>
      </c>
      <c r="H424">
        <v>7500</v>
      </c>
      <c r="I424" s="49">
        <v>527580</v>
      </c>
      <c r="K424" s="115">
        <v>527237.04</v>
      </c>
      <c r="L424" s="49">
        <v>70.343999999999994</v>
      </c>
      <c r="M424" s="49">
        <v>70.298272000000011</v>
      </c>
      <c r="N424" s="49">
        <v>-342.95999999996275</v>
      </c>
      <c r="O424" s="47">
        <v>-6.5006254975541672E-4</v>
      </c>
      <c r="P424" s="72">
        <f t="shared" si="6"/>
        <v>342916.37256349676</v>
      </c>
      <c r="Q424" s="49" t="str">
        <f>TEXT(Table1[[#This Row],[Closing Date]],"yyyy")</f>
        <v>2024</v>
      </c>
      <c r="R424" s="49" t="str">
        <f>TEXT(Table1[[#This Row],[Closing Date]],"mmmm")</f>
        <v>February</v>
      </c>
      <c r="S424" s="49" t="s">
        <v>368</v>
      </c>
      <c r="T424" s="49" t="s">
        <v>429</v>
      </c>
    </row>
    <row r="425" spans="1:20" x14ac:dyDescent="0.25">
      <c r="A425" t="s">
        <v>276</v>
      </c>
      <c r="B425" t="s">
        <v>434</v>
      </c>
      <c r="C425" t="s">
        <v>152</v>
      </c>
      <c r="D425" t="s">
        <v>38</v>
      </c>
      <c r="E425" s="49"/>
      <c r="F425" s="60">
        <v>45338</v>
      </c>
      <c r="G425" t="s">
        <v>344</v>
      </c>
      <c r="H425">
        <v>19</v>
      </c>
      <c r="I425" s="49">
        <v>9988.2999999999993</v>
      </c>
      <c r="J425" s="106">
        <v>100</v>
      </c>
      <c r="K425" s="115">
        <v>20904.84</v>
      </c>
      <c r="L425" s="49">
        <v>5.2569999999999997</v>
      </c>
      <c r="M425" s="49">
        <v>11.002547368421054</v>
      </c>
      <c r="N425" s="49">
        <v>10916.54</v>
      </c>
      <c r="O425" s="47">
        <v>1.0929327312956161</v>
      </c>
      <c r="P425" s="72">
        <f t="shared" si="6"/>
        <v>353832.91256349673</v>
      </c>
      <c r="Q425" s="49" t="str">
        <f>TEXT(Table1[[#This Row],[Closing Date]],"yyyy")</f>
        <v>2024</v>
      </c>
      <c r="R425" s="49" t="str">
        <f>TEXT(Table1[[#This Row],[Closing Date]],"mmmm")</f>
        <v>February</v>
      </c>
      <c r="S425" s="49" t="s">
        <v>368</v>
      </c>
      <c r="T425" s="49" t="s">
        <v>429</v>
      </c>
    </row>
    <row r="426" spans="1:20" x14ac:dyDescent="0.25">
      <c r="A426" t="s">
        <v>276</v>
      </c>
      <c r="B426" t="s">
        <v>431</v>
      </c>
      <c r="C426" t="s">
        <v>152</v>
      </c>
      <c r="D426" t="s">
        <v>38</v>
      </c>
      <c r="E426" s="49"/>
      <c r="F426" s="60">
        <v>45341</v>
      </c>
      <c r="G426" t="s">
        <v>288</v>
      </c>
      <c r="H426">
        <v>33</v>
      </c>
      <c r="I426" s="49">
        <v>13123</v>
      </c>
      <c r="J426" s="106">
        <v>100</v>
      </c>
      <c r="K426" s="115">
        <v>22428.58</v>
      </c>
      <c r="L426" s="49">
        <v>3.976666666666667</v>
      </c>
      <c r="M426" s="49">
        <v>6.796539393939395</v>
      </c>
      <c r="N426" s="49">
        <v>9305.5800000000017</v>
      </c>
      <c r="O426" s="47">
        <v>0.70910462546673791</v>
      </c>
      <c r="P426" s="72">
        <f t="shared" si="6"/>
        <v>363138.49256349675</v>
      </c>
      <c r="Q426" s="49" t="str">
        <f>TEXT(Table1[[#This Row],[Closing Date]],"yyyy")</f>
        <v>2024</v>
      </c>
      <c r="R426" s="49" t="str">
        <f>TEXT(Table1[[#This Row],[Closing Date]],"mmmm")</f>
        <v>February</v>
      </c>
      <c r="S426" s="49" t="s">
        <v>368</v>
      </c>
      <c r="T426" s="49" t="s">
        <v>429</v>
      </c>
    </row>
    <row r="427" spans="1:20" x14ac:dyDescent="0.25">
      <c r="A427" t="s">
        <v>283</v>
      </c>
      <c r="B427" t="s">
        <v>431</v>
      </c>
      <c r="C427" t="s">
        <v>56</v>
      </c>
      <c r="D427" t="s">
        <v>38</v>
      </c>
      <c r="E427" s="49"/>
      <c r="F427" s="60">
        <v>45342</v>
      </c>
      <c r="G427" t="s">
        <v>337</v>
      </c>
      <c r="H427">
        <v>1500</v>
      </c>
      <c r="I427" s="49">
        <v>194167.5</v>
      </c>
      <c r="K427" s="115">
        <v>179094.32</v>
      </c>
      <c r="L427" s="49">
        <v>129.44499999999999</v>
      </c>
      <c r="M427" s="49">
        <v>119.39621333333334</v>
      </c>
      <c r="N427" s="49">
        <v>-15073.179999999993</v>
      </c>
      <c r="O427" s="47">
        <v>-7.7629778412968142E-2</v>
      </c>
      <c r="P427" s="72">
        <f t="shared" si="6"/>
        <v>348065.31256349676</v>
      </c>
      <c r="Q427" s="49" t="str">
        <f>TEXT(Table1[[#This Row],[Closing Date]],"yyyy")</f>
        <v>2024</v>
      </c>
      <c r="R427" s="49" t="str">
        <f>TEXT(Table1[[#This Row],[Closing Date]],"mmmm")</f>
        <v>February</v>
      </c>
      <c r="S427" s="49" t="s">
        <v>368</v>
      </c>
      <c r="T427" s="49" t="s">
        <v>429</v>
      </c>
    </row>
    <row r="428" spans="1:20" x14ac:dyDescent="0.25">
      <c r="A428" t="s">
        <v>283</v>
      </c>
      <c r="B428" t="s">
        <v>431</v>
      </c>
      <c r="C428" t="s">
        <v>56</v>
      </c>
      <c r="D428" t="s">
        <v>38</v>
      </c>
      <c r="E428" s="49"/>
      <c r="F428" s="60">
        <v>45342</v>
      </c>
      <c r="G428" t="s">
        <v>338</v>
      </c>
      <c r="H428">
        <v>10000</v>
      </c>
      <c r="I428" s="49">
        <v>177021.54</v>
      </c>
      <c r="K428" s="115">
        <v>163383.54</v>
      </c>
      <c r="L428" s="49">
        <v>17.702154</v>
      </c>
      <c r="M428" s="49">
        <v>16.338354000000002</v>
      </c>
      <c r="N428" s="49">
        <v>-13638</v>
      </c>
      <c r="O428" s="47">
        <v>-7.7041471902232914E-2</v>
      </c>
      <c r="P428" s="72">
        <f t="shared" si="6"/>
        <v>334427.31256349676</v>
      </c>
      <c r="Q428" s="49" t="str">
        <f>TEXT(Table1[[#This Row],[Closing Date]],"yyyy")</f>
        <v>2024</v>
      </c>
      <c r="R428" s="49" t="str">
        <f>TEXT(Table1[[#This Row],[Closing Date]],"mmmm")</f>
        <v>February</v>
      </c>
      <c r="S428" s="49" t="s">
        <v>368</v>
      </c>
      <c r="T428" s="49" t="s">
        <v>429</v>
      </c>
    </row>
    <row r="429" spans="1:20" x14ac:dyDescent="0.25">
      <c r="A429" t="s">
        <v>283</v>
      </c>
      <c r="B429" t="s">
        <v>431</v>
      </c>
      <c r="C429" t="s">
        <v>56</v>
      </c>
      <c r="D429" t="s">
        <v>38</v>
      </c>
      <c r="E429" s="49"/>
      <c r="F429" s="60">
        <v>45342</v>
      </c>
      <c r="G429" t="s">
        <v>339</v>
      </c>
      <c r="H429">
        <v>3100</v>
      </c>
      <c r="I429" s="49">
        <v>582677</v>
      </c>
      <c r="K429" s="115">
        <v>571082</v>
      </c>
      <c r="L429" s="49">
        <v>187.96032258064517</v>
      </c>
      <c r="M429" s="49">
        <v>184.22</v>
      </c>
      <c r="N429" s="49">
        <v>-11595</v>
      </c>
      <c r="O429" s="47">
        <v>-1.9899532674191703E-2</v>
      </c>
      <c r="P429" s="72">
        <f t="shared" si="6"/>
        <v>322832.31256349676</v>
      </c>
      <c r="Q429" s="49" t="str">
        <f>TEXT(Table1[[#This Row],[Closing Date]],"yyyy")</f>
        <v>2024</v>
      </c>
      <c r="R429" s="49" t="str">
        <f>TEXT(Table1[[#This Row],[Closing Date]],"mmmm")</f>
        <v>February</v>
      </c>
      <c r="S429" s="49" t="s">
        <v>368</v>
      </c>
      <c r="T429" s="49" t="s">
        <v>429</v>
      </c>
    </row>
    <row r="430" spans="1:20" x14ac:dyDescent="0.25">
      <c r="A430" t="s">
        <v>283</v>
      </c>
      <c r="B430" t="s">
        <v>431</v>
      </c>
      <c r="C430" t="s">
        <v>70</v>
      </c>
      <c r="D430" t="s">
        <v>38</v>
      </c>
      <c r="E430" s="90">
        <v>45203</v>
      </c>
      <c r="F430" s="60">
        <v>45345</v>
      </c>
      <c r="G430" t="s">
        <v>271</v>
      </c>
      <c r="H430">
        <v>8300</v>
      </c>
      <c r="I430" s="49">
        <v>128650</v>
      </c>
      <c r="K430" s="115">
        <v>188877.48</v>
      </c>
      <c r="L430" s="49">
        <v>15.5</v>
      </c>
      <c r="M430" s="49">
        <v>0.22756322891566266</v>
      </c>
      <c r="N430" s="49">
        <v>60227.48000000001</v>
      </c>
      <c r="O430" s="47">
        <v>0.46814986397201719</v>
      </c>
      <c r="P430" s="72">
        <f t="shared" si="6"/>
        <v>383059.79256349674</v>
      </c>
      <c r="Q430" s="49" t="str">
        <f>TEXT(Table1[[#This Row],[Closing Date]],"yyyy")</f>
        <v>2024</v>
      </c>
      <c r="R430" s="49" t="str">
        <f>TEXT(Table1[[#This Row],[Closing Date]],"mmmm")</f>
        <v>February</v>
      </c>
      <c r="S430" s="49" t="s">
        <v>368</v>
      </c>
      <c r="T430" s="49" t="s">
        <v>285</v>
      </c>
    </row>
    <row r="431" spans="1:20" x14ac:dyDescent="0.25">
      <c r="A431" t="s">
        <v>283</v>
      </c>
      <c r="B431" t="s">
        <v>434</v>
      </c>
      <c r="C431" t="s">
        <v>51</v>
      </c>
      <c r="D431" t="s">
        <v>38</v>
      </c>
      <c r="E431" s="49"/>
      <c r="F431" s="60">
        <v>45345</v>
      </c>
      <c r="G431" t="s">
        <v>133</v>
      </c>
      <c r="H431">
        <v>33</v>
      </c>
      <c r="I431" s="49">
        <v>142021.41</v>
      </c>
      <c r="K431" s="115">
        <v>169936.49</v>
      </c>
      <c r="L431" s="49">
        <v>43036.790909090909</v>
      </c>
      <c r="M431" s="49">
        <v>51495.906060606059</v>
      </c>
      <c r="N431" s="49">
        <v>27915.079999999987</v>
      </c>
      <c r="O431" s="47">
        <v>0.19655543484605587</v>
      </c>
      <c r="P431" s="72">
        <f t="shared" si="6"/>
        <v>410974.8725634967</v>
      </c>
      <c r="Q431" s="49" t="str">
        <f>TEXT(Table1[[#This Row],[Closing Date]],"yyyy")</f>
        <v>2024</v>
      </c>
      <c r="R431" s="49" t="str">
        <f>TEXT(Table1[[#This Row],[Closing Date]],"mmmm")</f>
        <v>February</v>
      </c>
      <c r="S431" s="49" t="s">
        <v>368</v>
      </c>
      <c r="T431" s="49" t="s">
        <v>429</v>
      </c>
    </row>
    <row r="432" spans="1:20" x14ac:dyDescent="0.25">
      <c r="A432" t="s">
        <v>283</v>
      </c>
      <c r="B432" t="s">
        <v>431</v>
      </c>
      <c r="C432" t="s">
        <v>56</v>
      </c>
      <c r="D432" t="s">
        <v>38</v>
      </c>
      <c r="E432" s="49"/>
      <c r="F432" s="60">
        <v>45348</v>
      </c>
      <c r="G432" t="s">
        <v>269</v>
      </c>
      <c r="H432">
        <v>6000</v>
      </c>
      <c r="I432" s="49">
        <v>91230</v>
      </c>
      <c r="K432" s="115">
        <v>88678.29</v>
      </c>
      <c r="L432" s="49">
        <v>15.205</v>
      </c>
      <c r="M432" s="49">
        <v>14.779714999999999</v>
      </c>
      <c r="N432" s="49">
        <v>-2551.7100000000064</v>
      </c>
      <c r="O432" s="47">
        <v>-2.7970075633015526E-2</v>
      </c>
      <c r="P432" s="72">
        <f t="shared" si="6"/>
        <v>408423.16256349668</v>
      </c>
      <c r="Q432" s="49" t="str">
        <f>TEXT(Table1[[#This Row],[Closing Date]],"yyyy")</f>
        <v>2024</v>
      </c>
      <c r="R432" s="49" t="str">
        <f>TEXT(Table1[[#This Row],[Closing Date]],"mmmm")</f>
        <v>February</v>
      </c>
      <c r="S432" s="49" t="s">
        <v>368</v>
      </c>
      <c r="T432" s="49" t="s">
        <v>429</v>
      </c>
    </row>
    <row r="433" spans="1:20" x14ac:dyDescent="0.25">
      <c r="A433" t="s">
        <v>283</v>
      </c>
      <c r="B433" t="s">
        <v>431</v>
      </c>
      <c r="C433" t="s">
        <v>56</v>
      </c>
      <c r="D433" t="s">
        <v>38</v>
      </c>
      <c r="E433" s="49"/>
      <c r="F433" s="60">
        <v>45349</v>
      </c>
      <c r="G433" t="s">
        <v>346</v>
      </c>
      <c r="H433">
        <v>5000</v>
      </c>
      <c r="I433" s="49">
        <v>119775</v>
      </c>
      <c r="K433" s="115">
        <v>121923.19</v>
      </c>
      <c r="L433" s="49">
        <v>23.954999999999998</v>
      </c>
      <c r="M433" s="49">
        <v>24.384637999999999</v>
      </c>
      <c r="N433" s="49">
        <v>2148.1900000000023</v>
      </c>
      <c r="O433" s="47">
        <v>1.7935211855562534E-2</v>
      </c>
      <c r="P433" s="72">
        <f t="shared" si="6"/>
        <v>410571.35256349668</v>
      </c>
      <c r="Q433" s="49" t="str">
        <f>TEXT(Table1[[#This Row],[Closing Date]],"yyyy")</f>
        <v>2024</v>
      </c>
      <c r="R433" s="49" t="str">
        <f>TEXT(Table1[[#This Row],[Closing Date]],"mmmm")</f>
        <v>February</v>
      </c>
      <c r="S433" s="49" t="s">
        <v>368</v>
      </c>
      <c r="T433" s="49" t="s">
        <v>429</v>
      </c>
    </row>
    <row r="434" spans="1:20" x14ac:dyDescent="0.25">
      <c r="A434" t="s">
        <v>283</v>
      </c>
      <c r="B434" t="s">
        <v>431</v>
      </c>
      <c r="C434" t="s">
        <v>56</v>
      </c>
      <c r="D434" t="s">
        <v>38</v>
      </c>
      <c r="E434" s="49"/>
      <c r="F434" s="60">
        <v>45349</v>
      </c>
      <c r="G434" t="s">
        <v>338</v>
      </c>
      <c r="H434">
        <v>2400</v>
      </c>
      <c r="I434" s="49">
        <v>49521.51</v>
      </c>
      <c r="K434" s="115">
        <v>52863</v>
      </c>
      <c r="L434" s="49">
        <v>20.633962499999999</v>
      </c>
      <c r="M434" s="49">
        <v>22.026250000000001</v>
      </c>
      <c r="N434" s="49">
        <v>3341.489999999998</v>
      </c>
      <c r="O434" s="47">
        <v>6.7475527301166655E-2</v>
      </c>
      <c r="P434" s="72">
        <f t="shared" si="6"/>
        <v>413912.84256349667</v>
      </c>
      <c r="Q434" s="49" t="str">
        <f>TEXT(Table1[[#This Row],[Closing Date]],"yyyy")</f>
        <v>2024</v>
      </c>
      <c r="R434" s="49" t="str">
        <f>TEXT(Table1[[#This Row],[Closing Date]],"mmmm")</f>
        <v>February</v>
      </c>
      <c r="S434" s="49" t="s">
        <v>369</v>
      </c>
      <c r="T434" s="49" t="s">
        <v>429</v>
      </c>
    </row>
    <row r="435" spans="1:20" x14ac:dyDescent="0.25">
      <c r="A435" t="s">
        <v>283</v>
      </c>
      <c r="B435" t="s">
        <v>431</v>
      </c>
      <c r="C435" t="s">
        <v>56</v>
      </c>
      <c r="D435" t="s">
        <v>38</v>
      </c>
      <c r="E435" s="49"/>
      <c r="F435" s="60">
        <v>45349</v>
      </c>
      <c r="G435" t="s">
        <v>347</v>
      </c>
      <c r="H435">
        <v>3200</v>
      </c>
      <c r="I435" s="49">
        <v>49814.5</v>
      </c>
      <c r="K435" s="115">
        <v>51167.06</v>
      </c>
      <c r="L435" s="49">
        <v>15.567031249999999</v>
      </c>
      <c r="M435" s="49">
        <v>15.989706249999999</v>
      </c>
      <c r="N435" s="49">
        <v>1352.5599999999977</v>
      </c>
      <c r="O435" s="47">
        <v>2.7151933673930234E-2</v>
      </c>
      <c r="P435" s="72">
        <f t="shared" si="6"/>
        <v>415265.40256349667</v>
      </c>
      <c r="Q435" s="49" t="str">
        <f>TEXT(Table1[[#This Row],[Closing Date]],"yyyy")</f>
        <v>2024</v>
      </c>
      <c r="R435" s="49" t="str">
        <f>TEXT(Table1[[#This Row],[Closing Date]],"mmmm")</f>
        <v>February</v>
      </c>
      <c r="S435" s="49" t="s">
        <v>369</v>
      </c>
      <c r="T435" s="49" t="s">
        <v>429</v>
      </c>
    </row>
    <row r="436" spans="1:20" x14ac:dyDescent="0.25">
      <c r="A436" t="s">
        <v>283</v>
      </c>
      <c r="B436" t="s">
        <v>431</v>
      </c>
      <c r="C436" t="s">
        <v>56</v>
      </c>
      <c r="D436" t="s">
        <v>38</v>
      </c>
      <c r="E436" s="49"/>
      <c r="F436" s="60">
        <v>45349</v>
      </c>
      <c r="G436" t="s">
        <v>338</v>
      </c>
      <c r="H436">
        <v>3600</v>
      </c>
      <c r="I436" s="49">
        <v>73331.44</v>
      </c>
      <c r="K436" s="115">
        <v>75276</v>
      </c>
      <c r="L436" s="49">
        <v>20.369844444444446</v>
      </c>
      <c r="M436" s="49">
        <v>20.91</v>
      </c>
      <c r="N436" s="49">
        <v>1944.5599999999977</v>
      </c>
      <c r="O436" s="47">
        <v>2.6517411904089128E-2</v>
      </c>
      <c r="P436" s="72">
        <f t="shared" si="6"/>
        <v>417209.96256349667</v>
      </c>
      <c r="Q436" s="49" t="str">
        <f>TEXT(Table1[[#This Row],[Closing Date]],"yyyy")</f>
        <v>2024</v>
      </c>
      <c r="R436" s="49" t="str">
        <f>TEXT(Table1[[#This Row],[Closing Date]],"mmmm")</f>
        <v>February</v>
      </c>
      <c r="S436" s="49" t="s">
        <v>368</v>
      </c>
      <c r="T436" s="49" t="s">
        <v>429</v>
      </c>
    </row>
    <row r="437" spans="1:20" x14ac:dyDescent="0.25">
      <c r="A437" t="s">
        <v>283</v>
      </c>
      <c r="B437" t="s">
        <v>431</v>
      </c>
      <c r="C437" t="s">
        <v>56</v>
      </c>
      <c r="D437" t="s">
        <v>38</v>
      </c>
      <c r="E437" s="49"/>
      <c r="F437" s="60">
        <v>45349</v>
      </c>
      <c r="G437" t="s">
        <v>157</v>
      </c>
      <c r="H437">
        <v>257</v>
      </c>
      <c r="I437" s="49">
        <v>49635.31</v>
      </c>
      <c r="K437" s="115">
        <v>52641.31</v>
      </c>
      <c r="L437" s="49">
        <v>193.1335019455253</v>
      </c>
      <c r="M437" s="49">
        <v>204.82999999999998</v>
      </c>
      <c r="N437" s="49">
        <v>3006</v>
      </c>
      <c r="O437" s="47">
        <v>6.056172511061178E-2</v>
      </c>
      <c r="P437" s="72">
        <f t="shared" si="6"/>
        <v>420215.96256349667</v>
      </c>
      <c r="Q437" s="49" t="str">
        <f>TEXT(Table1[[#This Row],[Closing Date]],"yyyy")</f>
        <v>2024</v>
      </c>
      <c r="R437" s="49" t="str">
        <f>TEXT(Table1[[#This Row],[Closing Date]],"mmmm")</f>
        <v>February</v>
      </c>
      <c r="S437" s="49" t="s">
        <v>369</v>
      </c>
      <c r="T437" s="49" t="s">
        <v>429</v>
      </c>
    </row>
    <row r="438" spans="1:20" x14ac:dyDescent="0.25">
      <c r="A438" t="s">
        <v>283</v>
      </c>
      <c r="B438" t="s">
        <v>430</v>
      </c>
      <c r="C438" t="s">
        <v>51</v>
      </c>
      <c r="D438" t="s">
        <v>36</v>
      </c>
      <c r="E438" s="49"/>
      <c r="F438" s="60">
        <v>45349</v>
      </c>
      <c r="G438" t="s">
        <v>130</v>
      </c>
      <c r="H438">
        <v>2</v>
      </c>
      <c r="I438" s="49">
        <v>502295.5</v>
      </c>
      <c r="K438" s="115">
        <v>508504.5</v>
      </c>
      <c r="L438" s="49">
        <v>5022.9549999999999</v>
      </c>
      <c r="M438" s="49">
        <v>5085.0450000000001</v>
      </c>
      <c r="N438" s="49">
        <v>-6209</v>
      </c>
      <c r="O438" s="47">
        <v>-1.2361249503529298E-2</v>
      </c>
      <c r="P438" s="72">
        <f t="shared" si="6"/>
        <v>414006.96256349667</v>
      </c>
      <c r="Q438" s="49" t="str">
        <f>TEXT(Table1[[#This Row],[Closing Date]],"yyyy")</f>
        <v>2024</v>
      </c>
      <c r="R438" s="49" t="str">
        <f>TEXT(Table1[[#This Row],[Closing Date]],"mmmm")</f>
        <v>February</v>
      </c>
      <c r="S438" s="49" t="s">
        <v>368</v>
      </c>
      <c r="T438" s="49" t="s">
        <v>429</v>
      </c>
    </row>
    <row r="439" spans="1:20" x14ac:dyDescent="0.25">
      <c r="A439" t="s">
        <v>283</v>
      </c>
      <c r="B439" t="s">
        <v>431</v>
      </c>
      <c r="C439" t="s">
        <v>56</v>
      </c>
      <c r="D439" t="s">
        <v>38</v>
      </c>
      <c r="E439" s="49"/>
      <c r="F439" s="60">
        <v>45350</v>
      </c>
      <c r="G439" t="s">
        <v>345</v>
      </c>
      <c r="H439">
        <v>2300</v>
      </c>
      <c r="I439" s="49">
        <v>47602.75</v>
      </c>
      <c r="K439" s="115">
        <v>36248</v>
      </c>
      <c r="L439" s="49">
        <v>20.696847826086955</v>
      </c>
      <c r="M439" s="49">
        <v>15.76</v>
      </c>
      <c r="N439" s="49">
        <v>-11354.75</v>
      </c>
      <c r="O439" s="47">
        <v>-0.23853138736732646</v>
      </c>
      <c r="P439" s="72">
        <f t="shared" si="6"/>
        <v>402652.21256349667</v>
      </c>
      <c r="Q439" s="49" t="str">
        <f>TEXT(Table1[[#This Row],[Closing Date]],"yyyy")</f>
        <v>2024</v>
      </c>
      <c r="R439" s="49" t="str">
        <f>TEXT(Table1[[#This Row],[Closing Date]],"mmmm")</f>
        <v>February</v>
      </c>
      <c r="S439" s="49" t="s">
        <v>369</v>
      </c>
      <c r="T439" s="49" t="s">
        <v>429</v>
      </c>
    </row>
    <row r="440" spans="1:20" x14ac:dyDescent="0.25">
      <c r="A440" t="s">
        <v>283</v>
      </c>
      <c r="B440" t="s">
        <v>434</v>
      </c>
      <c r="C440" t="s">
        <v>51</v>
      </c>
      <c r="D440" t="s">
        <v>38</v>
      </c>
      <c r="E440" s="49"/>
      <c r="F440" s="60">
        <v>45350</v>
      </c>
      <c r="G440" t="s">
        <v>134</v>
      </c>
      <c r="H440">
        <v>172</v>
      </c>
      <c r="I440" s="49">
        <v>720442.04</v>
      </c>
      <c r="K440" s="115">
        <v>739987.96</v>
      </c>
      <c r="L440" s="49">
        <v>12.54261</v>
      </c>
      <c r="M440" s="49">
        <v>4.3022555813953485</v>
      </c>
      <c r="N440" s="49">
        <v>19545.919999999925</v>
      </c>
      <c r="O440" s="47">
        <v>2.7130454519283639E-2</v>
      </c>
      <c r="P440" s="72">
        <f t="shared" si="6"/>
        <v>422198.13256349659</v>
      </c>
      <c r="Q440" s="49" t="str">
        <f>TEXT(Table1[[#This Row],[Closing Date]],"yyyy")</f>
        <v>2024</v>
      </c>
      <c r="R440" s="49" t="str">
        <f>TEXT(Table1[[#This Row],[Closing Date]],"mmmm")</f>
        <v>February</v>
      </c>
      <c r="S440" s="49" t="s">
        <v>368</v>
      </c>
      <c r="T440" s="49" t="s">
        <v>429</v>
      </c>
    </row>
    <row r="441" spans="1:20" x14ac:dyDescent="0.25">
      <c r="A441" t="s">
        <v>283</v>
      </c>
      <c r="B441" t="s">
        <v>431</v>
      </c>
      <c r="C441" t="s">
        <v>56</v>
      </c>
      <c r="D441" t="s">
        <v>38</v>
      </c>
      <c r="E441" s="49"/>
      <c r="F441" s="60">
        <v>45350</v>
      </c>
      <c r="G441" t="s">
        <v>204</v>
      </c>
      <c r="H441">
        <v>860</v>
      </c>
      <c r="I441" s="49">
        <v>66900.800000000003</v>
      </c>
      <c r="K441" s="115">
        <v>64830.35</v>
      </c>
      <c r="L441" s="49">
        <v>77.791627906976743</v>
      </c>
      <c r="M441" s="49">
        <v>75.384127906976744</v>
      </c>
      <c r="N441" s="49">
        <v>-2070.4500000000044</v>
      </c>
      <c r="O441" s="47">
        <v>-3.0948060411833705E-2</v>
      </c>
      <c r="P441" s="72">
        <f t="shared" si="6"/>
        <v>420127.68256349658</v>
      </c>
      <c r="Q441" s="49" t="str">
        <f>TEXT(Table1[[#This Row],[Closing Date]],"yyyy")</f>
        <v>2024</v>
      </c>
      <c r="R441" s="49" t="str">
        <f>TEXT(Table1[[#This Row],[Closing Date]],"mmmm")</f>
        <v>February</v>
      </c>
      <c r="S441" s="49" t="s">
        <v>368</v>
      </c>
      <c r="T441" s="49" t="s">
        <v>429</v>
      </c>
    </row>
    <row r="442" spans="1:20" x14ac:dyDescent="0.25">
      <c r="A442" t="s">
        <v>283</v>
      </c>
      <c r="B442" t="s">
        <v>434</v>
      </c>
      <c r="C442" t="s">
        <v>56</v>
      </c>
      <c r="D442" t="s">
        <v>38</v>
      </c>
      <c r="E442" s="49"/>
      <c r="F442" s="60">
        <v>45351</v>
      </c>
      <c r="G442" t="s">
        <v>355</v>
      </c>
      <c r="H442">
        <v>8000</v>
      </c>
      <c r="I442" s="49">
        <v>133600</v>
      </c>
      <c r="K442" s="115">
        <v>123681.91</v>
      </c>
      <c r="L442" s="49">
        <v>16.7</v>
      </c>
      <c r="M442" s="49">
        <v>15.46023875</v>
      </c>
      <c r="N442" s="49">
        <v>-9918.0899999999965</v>
      </c>
      <c r="O442" s="47">
        <v>-7.4237200598802372E-2</v>
      </c>
      <c r="P442" s="72">
        <f t="shared" si="6"/>
        <v>410209.59256349655</v>
      </c>
      <c r="Q442" s="49" t="str">
        <f>TEXT(Table1[[#This Row],[Closing Date]],"yyyy")</f>
        <v>2024</v>
      </c>
      <c r="R442" s="49" t="str">
        <f>TEXT(Table1[[#This Row],[Closing Date]],"mmmm")</f>
        <v>February</v>
      </c>
      <c r="S442" s="49" t="s">
        <v>368</v>
      </c>
      <c r="T442" s="49" t="s">
        <v>429</v>
      </c>
    </row>
    <row r="443" spans="1:20" x14ac:dyDescent="0.25">
      <c r="A443" t="s">
        <v>276</v>
      </c>
      <c r="B443" t="s">
        <v>431</v>
      </c>
      <c r="C443" t="s">
        <v>152</v>
      </c>
      <c r="D443" t="s">
        <v>38</v>
      </c>
      <c r="E443" s="49"/>
      <c r="F443" s="60">
        <v>45351</v>
      </c>
      <c r="G443" t="s">
        <v>79</v>
      </c>
      <c r="H443">
        <v>5</v>
      </c>
      <c r="I443" s="49">
        <v>2073.59</v>
      </c>
      <c r="J443" s="106">
        <v>100</v>
      </c>
      <c r="K443" s="115">
        <v>1463.59</v>
      </c>
      <c r="L443" s="49">
        <v>4.1471800000000005</v>
      </c>
      <c r="M443" s="49">
        <v>2.9271799999999994</v>
      </c>
      <c r="N443" s="49">
        <v>-610.00000000000023</v>
      </c>
      <c r="O443" s="47">
        <v>-0.29417580138793131</v>
      </c>
      <c r="P443" s="72">
        <f t="shared" si="6"/>
        <v>409599.59256349655</v>
      </c>
      <c r="Q443" s="49" t="str">
        <f>TEXT(Table1[[#This Row],[Closing Date]],"yyyy")</f>
        <v>2024</v>
      </c>
      <c r="R443" s="49" t="str">
        <f>TEXT(Table1[[#This Row],[Closing Date]],"mmmm")</f>
        <v>February</v>
      </c>
      <c r="S443" s="49" t="s">
        <v>368</v>
      </c>
      <c r="T443" s="49" t="s">
        <v>429</v>
      </c>
    </row>
    <row r="444" spans="1:20" x14ac:dyDescent="0.25">
      <c r="A444" t="s">
        <v>283</v>
      </c>
      <c r="B444" t="s">
        <v>431</v>
      </c>
      <c r="C444" t="s">
        <v>56</v>
      </c>
      <c r="D444" t="s">
        <v>38</v>
      </c>
      <c r="E444" s="49"/>
      <c r="F444" s="60">
        <v>45351</v>
      </c>
      <c r="G444" t="s">
        <v>241</v>
      </c>
      <c r="H444">
        <v>3200</v>
      </c>
      <c r="I444" s="49">
        <v>420129.54</v>
      </c>
      <c r="K444" s="115">
        <v>454132.02</v>
      </c>
      <c r="L444" s="49">
        <v>131.29048125</v>
      </c>
      <c r="M444" s="49">
        <v>141.91625625</v>
      </c>
      <c r="N444" s="49">
        <v>34002.48000000004</v>
      </c>
      <c r="O444" s="47">
        <v>8.0933323564917725E-2</v>
      </c>
      <c r="P444" s="72">
        <f t="shared" si="6"/>
        <v>443602.07256349659</v>
      </c>
      <c r="Q444" s="49" t="str">
        <f>TEXT(Table1[[#This Row],[Closing Date]],"yyyy")</f>
        <v>2024</v>
      </c>
      <c r="R444" s="49" t="str">
        <f>TEXT(Table1[[#This Row],[Closing Date]],"mmmm")</f>
        <v>February</v>
      </c>
      <c r="S444" s="49"/>
      <c r="T444" s="49" t="s">
        <v>429</v>
      </c>
    </row>
    <row r="445" spans="1:20" x14ac:dyDescent="0.25">
      <c r="A445" t="s">
        <v>283</v>
      </c>
      <c r="B445" t="s">
        <v>433</v>
      </c>
      <c r="C445" t="s">
        <v>35</v>
      </c>
      <c r="D445" t="s">
        <v>36</v>
      </c>
      <c r="E445" s="49"/>
      <c r="F445" s="60">
        <v>45351</v>
      </c>
      <c r="G445" t="s">
        <v>377</v>
      </c>
      <c r="H445">
        <v>1500000</v>
      </c>
      <c r="I445" s="49">
        <v>1666633.87</v>
      </c>
      <c r="K445" s="115">
        <v>1674672.57</v>
      </c>
      <c r="L445" s="49">
        <v>1.1110892466666666</v>
      </c>
      <c r="M445" s="49"/>
      <c r="N445" s="49">
        <v>-9055</v>
      </c>
      <c r="O445" s="47">
        <v>0</v>
      </c>
      <c r="P445" s="72">
        <f t="shared" si="6"/>
        <v>434547.07256349659</v>
      </c>
      <c r="Q445" s="49" t="str">
        <f>TEXT(Table1[[#This Row],[Closing Date]],"yyyy")</f>
        <v>2024</v>
      </c>
      <c r="R445" s="49" t="str">
        <f>TEXT(Table1[[#This Row],[Closing Date]],"mmmm")</f>
        <v>February</v>
      </c>
      <c r="S445" s="49" t="s">
        <v>368</v>
      </c>
      <c r="T445" s="49" t="s">
        <v>429</v>
      </c>
    </row>
    <row r="446" spans="1:20" x14ac:dyDescent="0.25">
      <c r="A446" t="s">
        <v>276</v>
      </c>
      <c r="B446" t="s">
        <v>430</v>
      </c>
      <c r="C446" t="s">
        <v>149</v>
      </c>
      <c r="D446" t="s">
        <v>38</v>
      </c>
      <c r="E446" s="49"/>
      <c r="F446" s="60">
        <v>45352</v>
      </c>
      <c r="G446" t="s">
        <v>150</v>
      </c>
      <c r="H446">
        <v>90</v>
      </c>
      <c r="I446" s="49">
        <v>10411.82</v>
      </c>
      <c r="J446" s="106">
        <v>100</v>
      </c>
      <c r="K446" s="115">
        <v>4437</v>
      </c>
      <c r="L446" s="49">
        <v>1.1568688888888889</v>
      </c>
      <c r="M446" s="49">
        <v>0.49299999999999999</v>
      </c>
      <c r="N446" s="49">
        <v>-5974.82</v>
      </c>
      <c r="O446" s="47">
        <v>-0.57384972079809293</v>
      </c>
      <c r="P446" s="72">
        <f t="shared" si="6"/>
        <v>428572.25256349659</v>
      </c>
      <c r="Q446" s="49" t="str">
        <f>TEXT(Table1[[#This Row],[Closing Date]],"yyyy")</f>
        <v>2024</v>
      </c>
      <c r="R446" s="49" t="str">
        <f>TEXT(Table1[[#This Row],[Closing Date]],"mmmm")</f>
        <v>March</v>
      </c>
      <c r="S446" s="49" t="s">
        <v>368</v>
      </c>
      <c r="T446" s="49" t="s">
        <v>429</v>
      </c>
    </row>
    <row r="447" spans="1:20" x14ac:dyDescent="0.25">
      <c r="A447" t="s">
        <v>283</v>
      </c>
      <c r="B447" t="s">
        <v>431</v>
      </c>
      <c r="C447" t="s">
        <v>56</v>
      </c>
      <c r="D447" t="s">
        <v>38</v>
      </c>
      <c r="E447" s="49"/>
      <c r="F447" s="60">
        <v>45352</v>
      </c>
      <c r="G447" t="s">
        <v>375</v>
      </c>
      <c r="H447">
        <v>2600</v>
      </c>
      <c r="I447" s="49">
        <v>49744.34</v>
      </c>
      <c r="K447" s="115">
        <v>49750.89</v>
      </c>
      <c r="L447" s="49">
        <v>19.13243846153846</v>
      </c>
      <c r="M447" s="49">
        <v>19.134957692307694</v>
      </c>
      <c r="N447" s="49">
        <v>-7</v>
      </c>
      <c r="O447" s="47">
        <v>-1.4071952708589561E-4</v>
      </c>
      <c r="P447" s="72">
        <f t="shared" si="6"/>
        <v>428565.25256349659</v>
      </c>
      <c r="Q447" s="49" t="str">
        <f>TEXT(Table1[[#This Row],[Closing Date]],"yyyy")</f>
        <v>2024</v>
      </c>
      <c r="R447" s="49" t="str">
        <f>TEXT(Table1[[#This Row],[Closing Date]],"mmmm")</f>
        <v>March</v>
      </c>
      <c r="S447" s="49" t="s">
        <v>369</v>
      </c>
      <c r="T447" s="49" t="s">
        <v>429</v>
      </c>
    </row>
    <row r="448" spans="1:20" x14ac:dyDescent="0.25">
      <c r="A448" t="s">
        <v>283</v>
      </c>
      <c r="B448" t="s">
        <v>431</v>
      </c>
      <c r="C448" t="s">
        <v>56</v>
      </c>
      <c r="D448" t="s">
        <v>38</v>
      </c>
      <c r="E448" s="90">
        <v>45337</v>
      </c>
      <c r="F448" s="60">
        <v>45352</v>
      </c>
      <c r="G448" t="s">
        <v>419</v>
      </c>
      <c r="H448">
        <v>5000</v>
      </c>
      <c r="I448" s="49">
        <v>250450</v>
      </c>
      <c r="J448" s="106">
        <v>1</v>
      </c>
      <c r="K448" s="115">
        <v>251497.99</v>
      </c>
      <c r="L448" s="49">
        <f>Table1[[#This Row],[Open Value]]/Table1[[#This Row],[Shares]]/Table1[[#This Row],[Multiplier]]</f>
        <v>50.09</v>
      </c>
      <c r="M448" s="49">
        <f>Table1[[#This Row],[Close Value]]/Table1[[#This Row],[Shares]]/Table1[[#This Row],[Multiplier]]</f>
        <v>50.299597999999996</v>
      </c>
      <c r="N448" s="49">
        <f>Table1[[#This Row],[Close Value]]-Table1[[#This Row],[Open Value]]</f>
        <v>1047.9899999999907</v>
      </c>
      <c r="O448" s="47">
        <f>Table1[[#This Row],[PnL]]/Table1[[#This Row],[Open Value]]</f>
        <v>4.1844280295467787E-3</v>
      </c>
      <c r="P448" s="72">
        <f t="shared" si="6"/>
        <v>429613.24256349658</v>
      </c>
      <c r="Q448" s="49" t="str">
        <f>TEXT(Table1[[#This Row],[Closing Date]],"yyyy")</f>
        <v>2024</v>
      </c>
      <c r="R448" s="49" t="str">
        <f>TEXT(Table1[[#This Row],[Closing Date]],"mmmm")</f>
        <v>March</v>
      </c>
      <c r="S448" s="49" t="s">
        <v>368</v>
      </c>
      <c r="T448" s="49" t="s">
        <v>285</v>
      </c>
    </row>
    <row r="449" spans="1:20" x14ac:dyDescent="0.25">
      <c r="A449" t="s">
        <v>276</v>
      </c>
      <c r="B449" t="s">
        <v>431</v>
      </c>
      <c r="C449" t="s">
        <v>152</v>
      </c>
      <c r="D449" t="s">
        <v>38</v>
      </c>
      <c r="E449" s="90">
        <v>45309</v>
      </c>
      <c r="F449" s="60">
        <v>45352</v>
      </c>
      <c r="G449" t="s">
        <v>422</v>
      </c>
      <c r="H449">
        <v>30</v>
      </c>
      <c r="I449" s="49">
        <v>27919.5</v>
      </c>
      <c r="J449" s="106">
        <v>100</v>
      </c>
      <c r="K449" s="115">
        <v>23980.31</v>
      </c>
      <c r="L449" s="49">
        <f>Table1[[#This Row],[Open Value]]/Table1[[#This Row],[Shares]]/Table1[[#This Row],[Multiplier]]</f>
        <v>9.3064999999999998</v>
      </c>
      <c r="M449" s="49">
        <f>Table1[[#This Row],[Close Value]]/Table1[[#This Row],[Shares]]/Table1[[#This Row],[Multiplier]]</f>
        <v>7.9934366666666676</v>
      </c>
      <c r="N449" s="49">
        <f>Table1[[#This Row],[Close Value]]-Table1[[#This Row],[Open Value]]</f>
        <v>-3939.1899999999987</v>
      </c>
      <c r="O449" s="47">
        <f>Table1[[#This Row],[PnL]]/Table1[[#This Row],[Open Value]]</f>
        <v>-0.14109099374988801</v>
      </c>
      <c r="P449" s="107">
        <f t="shared" si="6"/>
        <v>425674.05256349657</v>
      </c>
      <c r="Q449" s="49" t="str">
        <f>TEXT(Table1[[#This Row],[Closing Date]],"yyyy")</f>
        <v>2024</v>
      </c>
      <c r="R449" s="49" t="str">
        <f>TEXT(Table1[[#This Row],[Closing Date]],"mmmm")</f>
        <v>March</v>
      </c>
      <c r="S449" s="49" t="s">
        <v>368</v>
      </c>
      <c r="T449" s="49" t="s">
        <v>285</v>
      </c>
    </row>
    <row r="450" spans="1:20" x14ac:dyDescent="0.25">
      <c r="A450" t="s">
        <v>276</v>
      </c>
      <c r="B450" t="s">
        <v>433</v>
      </c>
      <c r="C450" t="s">
        <v>276</v>
      </c>
      <c r="D450" t="s">
        <v>38</v>
      </c>
      <c r="E450" s="90">
        <v>45295</v>
      </c>
      <c r="F450" s="60">
        <v>45352</v>
      </c>
      <c r="G450" t="s">
        <v>428</v>
      </c>
      <c r="H450">
        <v>55</v>
      </c>
      <c r="I450" s="49">
        <v>24785.75</v>
      </c>
      <c r="J450" s="106">
        <v>100</v>
      </c>
      <c r="K450" s="115">
        <v>23614.06</v>
      </c>
      <c r="L450" s="49">
        <f>Table1[[#This Row],[Open Value]]/Table1[[#This Row],[Shares]]/Table1[[#This Row],[Multiplier]]</f>
        <v>4.5065</v>
      </c>
      <c r="M450" s="49">
        <f>Table1[[#This Row],[Close Value]]/Table1[[#This Row],[Shares]]/Table1[[#This Row],[Multiplier]]</f>
        <v>4.2934654545454549</v>
      </c>
      <c r="N450" s="49">
        <f>Table1[[#This Row],[Close Value]]-Table1[[#This Row],[Open Value]]</f>
        <v>-1171.6899999999987</v>
      </c>
      <c r="O450" s="47">
        <f>Table1[[#This Row],[PnL]]/Table1[[#This Row],[Open Value]]</f>
        <v>-4.7272727272727223E-2</v>
      </c>
      <c r="P450" s="107">
        <f t="shared" si="6"/>
        <v>424502.36256349657</v>
      </c>
      <c r="Q450" s="49" t="str">
        <f>TEXT(Table1[[#This Row],[Closing Date]],"yyyy")</f>
        <v>2024</v>
      </c>
      <c r="R450" s="49" t="str">
        <f>TEXT(Table1[[#This Row],[Closing Date]],"mmmm")</f>
        <v>March</v>
      </c>
      <c r="S450" s="49" t="s">
        <v>368</v>
      </c>
      <c r="T450" s="49" t="s">
        <v>285</v>
      </c>
    </row>
    <row r="451" spans="1:20" x14ac:dyDescent="0.25">
      <c r="A451" t="s">
        <v>283</v>
      </c>
      <c r="B451" t="s">
        <v>431</v>
      </c>
      <c r="C451" t="s">
        <v>56</v>
      </c>
      <c r="D451" t="s">
        <v>38</v>
      </c>
      <c r="E451" s="49"/>
      <c r="F451" s="60">
        <v>45355</v>
      </c>
      <c r="G451" t="s">
        <v>219</v>
      </c>
      <c r="H451">
        <v>1750</v>
      </c>
      <c r="I451" s="49">
        <v>110871.25</v>
      </c>
      <c r="K451" s="115">
        <v>114247.55</v>
      </c>
      <c r="L451" s="49">
        <v>63.354999999999997</v>
      </c>
      <c r="M451" s="49">
        <v>65.284314285714288</v>
      </c>
      <c r="N451" s="49">
        <v>3376.3000000000029</v>
      </c>
      <c r="O451" s="47">
        <v>3.0452439203129782E-2</v>
      </c>
      <c r="P451" s="72">
        <f t="shared" ref="P451:P487" si="7">N451+P450</f>
        <v>427878.66256349656</v>
      </c>
      <c r="Q451" s="49" t="str">
        <f>TEXT(Table1[[#This Row],[Closing Date]],"yyyy")</f>
        <v>2024</v>
      </c>
      <c r="R451" s="49" t="str">
        <f>TEXT(Table1[[#This Row],[Closing Date]],"mmmm")</f>
        <v>March</v>
      </c>
      <c r="S451" s="49" t="s">
        <v>368</v>
      </c>
      <c r="T451" s="49" t="s">
        <v>429</v>
      </c>
    </row>
    <row r="452" spans="1:20" x14ac:dyDescent="0.25">
      <c r="A452" t="s">
        <v>283</v>
      </c>
      <c r="B452" t="s">
        <v>431</v>
      </c>
      <c r="C452" t="s">
        <v>56</v>
      </c>
      <c r="D452" t="s">
        <v>38</v>
      </c>
      <c r="E452" s="49"/>
      <c r="F452" s="60">
        <v>45355</v>
      </c>
      <c r="G452" t="s">
        <v>338</v>
      </c>
      <c r="H452">
        <v>1800</v>
      </c>
      <c r="I452" s="49">
        <v>31742.5</v>
      </c>
      <c r="K452" s="115">
        <v>29242.309999999998</v>
      </c>
      <c r="L452" s="49">
        <v>17.634722222222223</v>
      </c>
      <c r="M452" s="49">
        <v>16.245727777777777</v>
      </c>
      <c r="N452" s="49">
        <v>-2500.1900000000023</v>
      </c>
      <c r="O452" s="47">
        <v>-7.8764747578168148E-2</v>
      </c>
      <c r="P452" s="72">
        <f t="shared" si="7"/>
        <v>425378.47256349656</v>
      </c>
      <c r="Q452" s="49" t="str">
        <f>TEXT(Table1[[#This Row],[Closing Date]],"yyyy")</f>
        <v>2024</v>
      </c>
      <c r="R452" s="49" t="str">
        <f>TEXT(Table1[[#This Row],[Closing Date]],"mmmm")</f>
        <v>March</v>
      </c>
      <c r="S452" s="49" t="s">
        <v>368</v>
      </c>
      <c r="T452" s="49" t="s">
        <v>429</v>
      </c>
    </row>
    <row r="453" spans="1:20" x14ac:dyDescent="0.25">
      <c r="A453" t="s">
        <v>283</v>
      </c>
      <c r="B453" t="s">
        <v>431</v>
      </c>
      <c r="C453" t="s">
        <v>56</v>
      </c>
      <c r="D453" t="s">
        <v>38</v>
      </c>
      <c r="E453" s="49"/>
      <c r="F453" s="60">
        <v>45356</v>
      </c>
      <c r="G453" t="s">
        <v>357</v>
      </c>
      <c r="H453">
        <v>3000</v>
      </c>
      <c r="I453" s="49">
        <v>156756</v>
      </c>
      <c r="K453" s="115">
        <v>146568.43</v>
      </c>
      <c r="L453" s="49">
        <v>52.252000000000002</v>
      </c>
      <c r="M453" s="49">
        <v>48.856143333333328</v>
      </c>
      <c r="N453" s="49">
        <v>-10187.570000000007</v>
      </c>
      <c r="O453" s="47">
        <v>-6.4989984434407663E-2</v>
      </c>
      <c r="P453" s="72">
        <f t="shared" si="7"/>
        <v>415190.90256349655</v>
      </c>
      <c r="Q453" s="49" t="str">
        <f>TEXT(Table1[[#This Row],[Closing Date]],"yyyy")</f>
        <v>2024</v>
      </c>
      <c r="R453" s="49" t="str">
        <f>TEXT(Table1[[#This Row],[Closing Date]],"mmmm")</f>
        <v>March</v>
      </c>
      <c r="S453" s="49" t="s">
        <v>368</v>
      </c>
      <c r="T453" s="49" t="s">
        <v>429</v>
      </c>
    </row>
    <row r="454" spans="1:20" x14ac:dyDescent="0.25">
      <c r="A454" t="s">
        <v>283</v>
      </c>
      <c r="B454" t="s">
        <v>431</v>
      </c>
      <c r="C454" t="s">
        <v>56</v>
      </c>
      <c r="D454" t="s">
        <v>38</v>
      </c>
      <c r="E454" s="49"/>
      <c r="F454" s="60">
        <v>45356</v>
      </c>
      <c r="G454" t="s">
        <v>220</v>
      </c>
      <c r="H454">
        <v>3225</v>
      </c>
      <c r="I454" s="49">
        <v>101856.38</v>
      </c>
      <c r="K454" s="115">
        <v>92301.5</v>
      </c>
      <c r="L454" s="49">
        <v>31.583373643410855</v>
      </c>
      <c r="M454" s="49">
        <v>28.620620155038761</v>
      </c>
      <c r="N454" s="49">
        <v>-9554.8800000000047</v>
      </c>
      <c r="O454" s="47">
        <v>-9.3807378585416101E-2</v>
      </c>
      <c r="P454" s="72">
        <f t="shared" si="7"/>
        <v>405636.02256349655</v>
      </c>
      <c r="Q454" s="49" t="str">
        <f>TEXT(Table1[[#This Row],[Closing Date]],"yyyy")</f>
        <v>2024</v>
      </c>
      <c r="R454" s="49" t="str">
        <f>TEXT(Table1[[#This Row],[Closing Date]],"mmmm")</f>
        <v>March</v>
      </c>
      <c r="S454" s="49" t="s">
        <v>368</v>
      </c>
      <c r="T454" s="49" t="s">
        <v>429</v>
      </c>
    </row>
    <row r="455" spans="1:20" x14ac:dyDescent="0.25">
      <c r="A455" t="s">
        <v>283</v>
      </c>
      <c r="B455" t="s">
        <v>431</v>
      </c>
      <c r="C455" t="s">
        <v>56</v>
      </c>
      <c r="D455" t="s">
        <v>38</v>
      </c>
      <c r="E455" s="49"/>
      <c r="F455" s="60">
        <v>45356</v>
      </c>
      <c r="G455" t="s">
        <v>327</v>
      </c>
      <c r="H455">
        <v>850</v>
      </c>
      <c r="I455" s="49">
        <v>48840.63</v>
      </c>
      <c r="K455" s="115">
        <v>50638.2</v>
      </c>
      <c r="L455" s="49">
        <v>57.45956470588235</v>
      </c>
      <c r="M455" s="49">
        <v>59.574352941176464</v>
      </c>
      <c r="N455" s="49">
        <v>1797.5699999999997</v>
      </c>
      <c r="O455" s="47">
        <v>3.6804807800390776E-2</v>
      </c>
      <c r="P455" s="72">
        <f t="shared" si="7"/>
        <v>407433.59256349655</v>
      </c>
      <c r="Q455" s="49" t="str">
        <f>TEXT(Table1[[#This Row],[Closing Date]],"yyyy")</f>
        <v>2024</v>
      </c>
      <c r="R455" s="49" t="str">
        <f>TEXT(Table1[[#This Row],[Closing Date]],"mmmm")</f>
        <v>March</v>
      </c>
      <c r="S455" s="49" t="s">
        <v>369</v>
      </c>
      <c r="T455" s="49" t="s">
        <v>429</v>
      </c>
    </row>
    <row r="456" spans="1:20" x14ac:dyDescent="0.25">
      <c r="A456" t="s">
        <v>283</v>
      </c>
      <c r="B456" t="s">
        <v>431</v>
      </c>
      <c r="C456" t="s">
        <v>56</v>
      </c>
      <c r="D456" t="s">
        <v>38</v>
      </c>
      <c r="E456" s="90">
        <v>45351</v>
      </c>
      <c r="F456" s="60">
        <v>45356</v>
      </c>
      <c r="G456" t="s">
        <v>425</v>
      </c>
      <c r="H456">
        <v>1225</v>
      </c>
      <c r="I456" s="49">
        <v>221725</v>
      </c>
      <c r="J456" s="106">
        <v>1</v>
      </c>
      <c r="K456" s="115">
        <v>207035.62</v>
      </c>
      <c r="L456" s="49">
        <f>Table1[[#This Row],[Open Value]]/Table1[[#This Row],[Shares]]/Table1[[#This Row],[Multiplier]]</f>
        <v>181</v>
      </c>
      <c r="M456" s="49">
        <f>Table1[[#This Row],[Close Value]]/Table1[[#This Row],[Shares]]/Table1[[#This Row],[Multiplier]]</f>
        <v>169.00866938775511</v>
      </c>
      <c r="N456" s="49">
        <f>Table1[[#This Row],[Close Value]]-Table1[[#This Row],[Open Value]]</f>
        <v>-14689.380000000005</v>
      </c>
      <c r="O456" s="47">
        <f>Table1[[#This Row],[PnL]]/Table1[[#This Row],[Open Value]]</f>
        <v>-6.6250445371518793E-2</v>
      </c>
      <c r="P456" s="107">
        <f t="shared" si="7"/>
        <v>392744.21256349655</v>
      </c>
      <c r="Q456" s="49" t="str">
        <f>TEXT(Table1[[#This Row],[Closing Date]],"yyyy")</f>
        <v>2024</v>
      </c>
      <c r="R456" s="49" t="str">
        <f>TEXT(Table1[[#This Row],[Closing Date]],"mmmm")</f>
        <v>March</v>
      </c>
      <c r="S456" s="49" t="s">
        <v>368</v>
      </c>
      <c r="T456" s="49" t="s">
        <v>285</v>
      </c>
    </row>
    <row r="457" spans="1:20" x14ac:dyDescent="0.25">
      <c r="A457" t="s">
        <v>283</v>
      </c>
      <c r="B457" t="s">
        <v>431</v>
      </c>
      <c r="C457" t="s">
        <v>56</v>
      </c>
      <c r="D457" t="s">
        <v>38</v>
      </c>
      <c r="E457" s="49"/>
      <c r="F457" s="60">
        <v>45357</v>
      </c>
      <c r="G457" t="s">
        <v>217</v>
      </c>
      <c r="H457">
        <v>800</v>
      </c>
      <c r="I457" s="49">
        <v>267648</v>
      </c>
      <c r="K457" s="115">
        <v>262595.27</v>
      </c>
      <c r="L457" s="49">
        <v>334.56</v>
      </c>
      <c r="M457" s="49">
        <v>328.24408750000003</v>
      </c>
      <c r="N457" s="49">
        <v>-5063</v>
      </c>
      <c r="O457" s="47">
        <v>-1.8916636776661885E-2</v>
      </c>
      <c r="P457" s="72">
        <f t="shared" si="7"/>
        <v>387681.21256349655</v>
      </c>
      <c r="Q457" s="49" t="str">
        <f>TEXT(Table1[[#This Row],[Closing Date]],"yyyy")</f>
        <v>2024</v>
      </c>
      <c r="R457" s="49" t="str">
        <f>TEXT(Table1[[#This Row],[Closing Date]],"mmmm")</f>
        <v>March</v>
      </c>
      <c r="S457" s="49" t="s">
        <v>368</v>
      </c>
      <c r="T457" s="49" t="s">
        <v>429</v>
      </c>
    </row>
    <row r="458" spans="1:20" x14ac:dyDescent="0.25">
      <c r="A458" t="s">
        <v>283</v>
      </c>
      <c r="B458" t="s">
        <v>431</v>
      </c>
      <c r="C458" t="s">
        <v>56</v>
      </c>
      <c r="D458" t="s">
        <v>38</v>
      </c>
      <c r="E458" s="49"/>
      <c r="F458" s="60">
        <v>45357</v>
      </c>
      <c r="G458" t="s">
        <v>362</v>
      </c>
      <c r="H458">
        <v>1150</v>
      </c>
      <c r="I458" s="49">
        <v>106547</v>
      </c>
      <c r="K458" s="115">
        <v>105719.5</v>
      </c>
      <c r="L458" s="49">
        <v>92.649565217391299</v>
      </c>
      <c r="M458" s="49">
        <v>91.93</v>
      </c>
      <c r="N458" s="49">
        <v>-5063</v>
      </c>
      <c r="O458" s="47">
        <v>-4.7518935305545906E-2</v>
      </c>
      <c r="P458" s="72">
        <f t="shared" si="7"/>
        <v>382618.21256349655</v>
      </c>
      <c r="Q458" s="49" t="str">
        <f>TEXT(Table1[[#This Row],[Closing Date]],"yyyy")</f>
        <v>2024</v>
      </c>
      <c r="R458" s="49" t="str">
        <f>TEXT(Table1[[#This Row],[Closing Date]],"mmmm")</f>
        <v>March</v>
      </c>
      <c r="S458" s="49" t="s">
        <v>368</v>
      </c>
      <c r="T458" s="49" t="s">
        <v>429</v>
      </c>
    </row>
    <row r="459" spans="1:20" x14ac:dyDescent="0.25">
      <c r="A459" t="s">
        <v>283</v>
      </c>
      <c r="B459" t="s">
        <v>431</v>
      </c>
      <c r="C459" t="s">
        <v>35</v>
      </c>
      <c r="D459" t="s">
        <v>36</v>
      </c>
      <c r="E459" s="49"/>
      <c r="F459" s="60">
        <v>45357</v>
      </c>
      <c r="G459" t="s">
        <v>118</v>
      </c>
      <c r="H459">
        <v>585000</v>
      </c>
      <c r="I459" s="49">
        <v>88145475.900000006</v>
      </c>
      <c r="K459" s="115">
        <v>86983252.290000007</v>
      </c>
      <c r="L459" s="49">
        <v>150.67602717948719</v>
      </c>
      <c r="M459" s="49"/>
      <c r="N459" s="49">
        <v>-7713.3943053565108</v>
      </c>
      <c r="O459" s="47">
        <v>0</v>
      </c>
      <c r="P459" s="72">
        <f t="shared" si="7"/>
        <v>374904.81825814006</v>
      </c>
      <c r="Q459" s="49" t="str">
        <f>TEXT(Table1[[#This Row],[Closing Date]],"yyyy")</f>
        <v>2024</v>
      </c>
      <c r="R459" s="49" t="str">
        <f>TEXT(Table1[[#This Row],[Closing Date]],"mmmm")</f>
        <v>March</v>
      </c>
      <c r="S459" s="49" t="s">
        <v>368</v>
      </c>
      <c r="T459" s="49" t="s">
        <v>429</v>
      </c>
    </row>
    <row r="460" spans="1:20" x14ac:dyDescent="0.25">
      <c r="A460" t="s">
        <v>283</v>
      </c>
      <c r="B460" t="s">
        <v>431</v>
      </c>
      <c r="C460" t="s">
        <v>56</v>
      </c>
      <c r="D460" t="s">
        <v>36</v>
      </c>
      <c r="E460" s="49"/>
      <c r="F460" s="60">
        <v>45358</v>
      </c>
      <c r="G460" t="s">
        <v>358</v>
      </c>
      <c r="H460">
        <v>4800</v>
      </c>
      <c r="I460" s="49">
        <v>282415.69</v>
      </c>
      <c r="K460" s="115">
        <v>293209.86</v>
      </c>
      <c r="L460" s="49">
        <v>58.836602083333332</v>
      </c>
      <c r="M460" s="49">
        <v>61.085387499999996</v>
      </c>
      <c r="N460" s="49">
        <v>-10794.169999999984</v>
      </c>
      <c r="O460" s="47">
        <v>-3.8220858055018063E-2</v>
      </c>
      <c r="P460" s="72">
        <f t="shared" si="7"/>
        <v>364110.64825814008</v>
      </c>
      <c r="Q460" s="49" t="str">
        <f>TEXT(Table1[[#This Row],[Closing Date]],"yyyy")</f>
        <v>2024</v>
      </c>
      <c r="R460" s="49" t="str">
        <f>TEXT(Table1[[#This Row],[Closing Date]],"mmmm")</f>
        <v>March</v>
      </c>
      <c r="S460" s="49" t="s">
        <v>368</v>
      </c>
      <c r="T460" s="49" t="s">
        <v>429</v>
      </c>
    </row>
    <row r="461" spans="1:20" x14ac:dyDescent="0.25">
      <c r="A461" t="s">
        <v>283</v>
      </c>
      <c r="B461" t="s">
        <v>431</v>
      </c>
      <c r="C461" t="s">
        <v>56</v>
      </c>
      <c r="D461" t="s">
        <v>38</v>
      </c>
      <c r="E461" s="49"/>
      <c r="F461" s="60">
        <v>45358</v>
      </c>
      <c r="G461" t="s">
        <v>359</v>
      </c>
      <c r="H461">
        <v>10000</v>
      </c>
      <c r="I461" s="49">
        <v>189537.69</v>
      </c>
      <c r="K461" s="115">
        <v>179992</v>
      </c>
      <c r="L461" s="49">
        <v>18.953769000000001</v>
      </c>
      <c r="M461" s="49">
        <v>17.999199999999998</v>
      </c>
      <c r="N461" s="49">
        <v>-9545.6900000000023</v>
      </c>
      <c r="O461" s="47">
        <v>-5.0363017508549365E-2</v>
      </c>
      <c r="P461" s="72">
        <f t="shared" si="7"/>
        <v>354564.95825814008</v>
      </c>
      <c r="Q461" s="49" t="str">
        <f>TEXT(Table1[[#This Row],[Closing Date]],"yyyy")</f>
        <v>2024</v>
      </c>
      <c r="R461" s="49" t="str">
        <f>TEXT(Table1[[#This Row],[Closing Date]],"mmmm")</f>
        <v>March</v>
      </c>
      <c r="S461" s="49" t="s">
        <v>368</v>
      </c>
      <c r="T461" s="49" t="s">
        <v>429</v>
      </c>
    </row>
    <row r="462" spans="1:20" x14ac:dyDescent="0.25">
      <c r="A462" t="s">
        <v>283</v>
      </c>
      <c r="B462" t="s">
        <v>430</v>
      </c>
      <c r="C462" t="s">
        <v>51</v>
      </c>
      <c r="D462" t="s">
        <v>36</v>
      </c>
      <c r="E462" s="49"/>
      <c r="F462" s="60">
        <v>45358</v>
      </c>
      <c r="G462" t="s">
        <v>130</v>
      </c>
      <c r="H462">
        <v>3</v>
      </c>
      <c r="I462" s="49">
        <v>767829.75</v>
      </c>
      <c r="K462" s="115">
        <v>773931.75</v>
      </c>
      <c r="L462" s="49">
        <v>5118.8649999999998</v>
      </c>
      <c r="M462" s="49">
        <v>5159.5450000000001</v>
      </c>
      <c r="N462" s="49">
        <v>-6102</v>
      </c>
      <c r="O462" s="47">
        <v>-7.9470742049262879E-3</v>
      </c>
      <c r="P462" s="72">
        <f t="shared" si="7"/>
        <v>348462.95825814008</v>
      </c>
      <c r="Q462" s="49" t="str">
        <f>TEXT(Table1[[#This Row],[Closing Date]],"yyyy")</f>
        <v>2024</v>
      </c>
      <c r="R462" s="49" t="str">
        <f>TEXT(Table1[[#This Row],[Closing Date]],"mmmm")</f>
        <v>March</v>
      </c>
      <c r="S462" s="49" t="s">
        <v>368</v>
      </c>
      <c r="T462" s="49" t="s">
        <v>429</v>
      </c>
    </row>
    <row r="463" spans="1:20" x14ac:dyDescent="0.25">
      <c r="A463" t="s">
        <v>283</v>
      </c>
      <c r="B463" t="s">
        <v>431</v>
      </c>
      <c r="C463" t="s">
        <v>56</v>
      </c>
      <c r="D463" t="s">
        <v>38</v>
      </c>
      <c r="E463" s="49"/>
      <c r="F463" s="60">
        <v>45359</v>
      </c>
      <c r="G463" t="s">
        <v>356</v>
      </c>
      <c r="H463">
        <v>1000</v>
      </c>
      <c r="I463" s="49">
        <v>53351.519999999997</v>
      </c>
      <c r="K463" s="115">
        <v>55620.04</v>
      </c>
      <c r="L463" s="49">
        <v>53.351519999999994</v>
      </c>
      <c r="M463" s="49">
        <v>55.620040000000003</v>
      </c>
      <c r="N463" s="49">
        <v>2268.5200000000041</v>
      </c>
      <c r="O463" s="47">
        <v>4.2520250594547337E-2</v>
      </c>
      <c r="P463" s="72">
        <f t="shared" si="7"/>
        <v>350731.47825814009</v>
      </c>
      <c r="Q463" s="49" t="str">
        <f>TEXT(Table1[[#This Row],[Closing Date]],"yyyy")</f>
        <v>2024</v>
      </c>
      <c r="R463" s="49" t="str">
        <f>TEXT(Table1[[#This Row],[Closing Date]],"mmmm")</f>
        <v>March</v>
      </c>
      <c r="S463" s="49" t="s">
        <v>368</v>
      </c>
      <c r="T463" s="49" t="s">
        <v>429</v>
      </c>
    </row>
    <row r="464" spans="1:20" x14ac:dyDescent="0.25">
      <c r="A464" t="s">
        <v>283</v>
      </c>
      <c r="B464" t="s">
        <v>431</v>
      </c>
      <c r="C464" t="s">
        <v>56</v>
      </c>
      <c r="D464" t="s">
        <v>38</v>
      </c>
      <c r="E464" s="49"/>
      <c r="F464" s="60">
        <v>45359</v>
      </c>
      <c r="G464" t="s">
        <v>231</v>
      </c>
      <c r="H464">
        <v>4000</v>
      </c>
      <c r="I464" s="49">
        <v>100963.9292</v>
      </c>
      <c r="K464" s="115">
        <v>111374.33</v>
      </c>
      <c r="L464" s="49">
        <v>25.240982299999999</v>
      </c>
      <c r="M464" s="49">
        <v>27.8435825</v>
      </c>
      <c r="N464" s="49">
        <v>-10410.400800000003</v>
      </c>
      <c r="O464" s="47">
        <v>-0.10311009964140741</v>
      </c>
      <c r="P464" s="72">
        <f t="shared" si="7"/>
        <v>340321.07745814009</v>
      </c>
      <c r="Q464" s="49" t="str">
        <f>TEXT(Table1[[#This Row],[Closing Date]],"yyyy")</f>
        <v>2024</v>
      </c>
      <c r="R464" s="49" t="str">
        <f>TEXT(Table1[[#This Row],[Closing Date]],"mmmm")</f>
        <v>March</v>
      </c>
      <c r="S464" s="49" t="s">
        <v>368</v>
      </c>
      <c r="T464" s="49" t="s">
        <v>429</v>
      </c>
    </row>
    <row r="465" spans="1:20" x14ac:dyDescent="0.25">
      <c r="A465" t="s">
        <v>283</v>
      </c>
      <c r="B465" t="s">
        <v>431</v>
      </c>
      <c r="C465" t="s">
        <v>56</v>
      </c>
      <c r="D465" t="s">
        <v>38</v>
      </c>
      <c r="E465" s="49"/>
      <c r="F465" s="60">
        <v>45359</v>
      </c>
      <c r="G465" t="s">
        <v>204</v>
      </c>
      <c r="H465">
        <v>3000</v>
      </c>
      <c r="I465" s="49">
        <v>240579</v>
      </c>
      <c r="K465" s="115">
        <v>259212.43</v>
      </c>
      <c r="L465" s="49">
        <v>80.192999999999998</v>
      </c>
      <c r="M465" s="49">
        <v>86.404143333333337</v>
      </c>
      <c r="N465" s="49">
        <v>18633.429999999993</v>
      </c>
      <c r="O465" s="47">
        <v>7.7452437660809934E-2</v>
      </c>
      <c r="P465" s="72">
        <f t="shared" si="7"/>
        <v>358954.50745814008</v>
      </c>
      <c r="Q465" s="49" t="str">
        <f>TEXT(Table1[[#This Row],[Closing Date]],"yyyy")</f>
        <v>2024</v>
      </c>
      <c r="R465" s="49" t="str">
        <f>TEXT(Table1[[#This Row],[Closing Date]],"mmmm")</f>
        <v>March</v>
      </c>
      <c r="S465" s="49" t="s">
        <v>368</v>
      </c>
      <c r="T465" s="49" t="s">
        <v>429</v>
      </c>
    </row>
    <row r="466" spans="1:20" x14ac:dyDescent="0.25">
      <c r="A466" t="s">
        <v>283</v>
      </c>
      <c r="B466" t="s">
        <v>431</v>
      </c>
      <c r="C466" t="s">
        <v>56</v>
      </c>
      <c r="D466" t="s">
        <v>38</v>
      </c>
      <c r="E466" s="49"/>
      <c r="F466" s="60">
        <v>45359</v>
      </c>
      <c r="G466" t="s">
        <v>360</v>
      </c>
      <c r="H466">
        <v>12500</v>
      </c>
      <c r="I466" s="49">
        <v>144241.82</v>
      </c>
      <c r="K466" s="115">
        <v>142802.82</v>
      </c>
      <c r="L466" s="49">
        <v>11.539345600000001</v>
      </c>
      <c r="M466" s="49">
        <v>35.700704999999999</v>
      </c>
      <c r="N466" s="49">
        <v>-1439</v>
      </c>
      <c r="O466" s="47">
        <v>-9.9763022956865077E-3</v>
      </c>
      <c r="P466" s="72">
        <f t="shared" si="7"/>
        <v>357515.50745814008</v>
      </c>
      <c r="Q466" s="49" t="str">
        <f>TEXT(Table1[[#This Row],[Closing Date]],"yyyy")</f>
        <v>2024</v>
      </c>
      <c r="R466" s="49" t="str">
        <f>TEXT(Table1[[#This Row],[Closing Date]],"mmmm")</f>
        <v>March</v>
      </c>
      <c r="S466" s="49" t="s">
        <v>368</v>
      </c>
      <c r="T466" s="49" t="s">
        <v>429</v>
      </c>
    </row>
    <row r="467" spans="1:20" x14ac:dyDescent="0.25">
      <c r="A467" t="s">
        <v>283</v>
      </c>
      <c r="B467" t="s">
        <v>431</v>
      </c>
      <c r="C467" t="s">
        <v>56</v>
      </c>
      <c r="D467" t="s">
        <v>38</v>
      </c>
      <c r="E467" s="49"/>
      <c r="F467" s="60">
        <v>45359</v>
      </c>
      <c r="G467" t="s">
        <v>338</v>
      </c>
      <c r="H467">
        <v>2250</v>
      </c>
      <c r="I467" s="49">
        <v>37890</v>
      </c>
      <c r="K467" s="115">
        <v>43005</v>
      </c>
      <c r="L467" s="49">
        <v>16.84</v>
      </c>
      <c r="M467" s="49">
        <v>19.113333333333333</v>
      </c>
      <c r="N467" s="49">
        <v>5115</v>
      </c>
      <c r="O467" s="47">
        <v>0.13499604117181313</v>
      </c>
      <c r="P467" s="72">
        <f t="shared" si="7"/>
        <v>362630.50745814008</v>
      </c>
      <c r="Q467" s="49" t="str">
        <f>TEXT(Table1[[#This Row],[Closing Date]],"yyyy")</f>
        <v>2024</v>
      </c>
      <c r="R467" s="49" t="str">
        <f>TEXT(Table1[[#This Row],[Closing Date]],"mmmm")</f>
        <v>March</v>
      </c>
      <c r="S467" s="49" t="s">
        <v>368</v>
      </c>
      <c r="T467" s="49" t="s">
        <v>429</v>
      </c>
    </row>
    <row r="468" spans="1:20" x14ac:dyDescent="0.25">
      <c r="A468" t="s">
        <v>283</v>
      </c>
      <c r="B468" t="s">
        <v>431</v>
      </c>
      <c r="C468" t="s">
        <v>56</v>
      </c>
      <c r="D468" t="s">
        <v>38</v>
      </c>
      <c r="E468" s="49"/>
      <c r="F468" s="60">
        <v>45359</v>
      </c>
      <c r="G468" t="s">
        <v>213</v>
      </c>
      <c r="H468">
        <v>2500</v>
      </c>
      <c r="I468" s="49">
        <v>199750</v>
      </c>
      <c r="K468" s="115">
        <v>197650</v>
      </c>
      <c r="L468" s="49">
        <v>79.900000000000006</v>
      </c>
      <c r="M468" s="49">
        <v>79.06</v>
      </c>
      <c r="N468" s="49">
        <v>-2127</v>
      </c>
      <c r="O468" s="47">
        <v>-1.0648310387984982E-2</v>
      </c>
      <c r="P468" s="72">
        <f t="shared" si="7"/>
        <v>360503.50745814008</v>
      </c>
      <c r="Q468" s="49" t="str">
        <f>TEXT(Table1[[#This Row],[Closing Date]],"yyyy")</f>
        <v>2024</v>
      </c>
      <c r="R468" s="49" t="str">
        <f>TEXT(Table1[[#This Row],[Closing Date]],"mmmm")</f>
        <v>March</v>
      </c>
      <c r="S468" s="49" t="s">
        <v>368</v>
      </c>
      <c r="T468" s="49" t="s">
        <v>429</v>
      </c>
    </row>
    <row r="469" spans="1:20" x14ac:dyDescent="0.25">
      <c r="A469" t="s">
        <v>283</v>
      </c>
      <c r="B469" t="s">
        <v>434</v>
      </c>
      <c r="C469" t="s">
        <v>56</v>
      </c>
      <c r="D469" t="s">
        <v>38</v>
      </c>
      <c r="E469" s="49"/>
      <c r="F469" s="60">
        <v>45359</v>
      </c>
      <c r="G469" t="s">
        <v>361</v>
      </c>
      <c r="H469">
        <v>1100</v>
      </c>
      <c r="I469" s="49">
        <v>112703.85</v>
      </c>
      <c r="K469" s="115">
        <v>107895</v>
      </c>
      <c r="L469" s="49">
        <v>102.45804545454546</v>
      </c>
      <c r="M469" s="49">
        <v>98.086363636363643</v>
      </c>
      <c r="N469" s="49">
        <v>-4808.8500000000058</v>
      </c>
      <c r="O469" s="47">
        <v>-4.2668018883117172E-2</v>
      </c>
      <c r="P469" s="72">
        <f t="shared" si="7"/>
        <v>355694.65745814005</v>
      </c>
      <c r="Q469" s="49" t="str">
        <f>TEXT(Table1[[#This Row],[Closing Date]],"yyyy")</f>
        <v>2024</v>
      </c>
      <c r="R469" s="49" t="str">
        <f>TEXT(Table1[[#This Row],[Closing Date]],"mmmm")</f>
        <v>March</v>
      </c>
      <c r="S469" s="49" t="s">
        <v>368</v>
      </c>
      <c r="T469" s="49" t="s">
        <v>429</v>
      </c>
    </row>
    <row r="470" spans="1:20" x14ac:dyDescent="0.25">
      <c r="A470" t="s">
        <v>283</v>
      </c>
      <c r="B470" t="s">
        <v>431</v>
      </c>
      <c r="C470" t="s">
        <v>51</v>
      </c>
      <c r="D470" t="s">
        <v>38</v>
      </c>
      <c r="E470" s="49"/>
      <c r="F470" s="60">
        <v>45359</v>
      </c>
      <c r="G470" t="s">
        <v>137</v>
      </c>
      <c r="H470">
        <v>10</v>
      </c>
      <c r="I470" s="49">
        <v>1032977</v>
      </c>
      <c r="K470" s="115">
        <v>1038023</v>
      </c>
      <c r="L470" s="49">
        <v>2059.0439999999999</v>
      </c>
      <c r="M470" s="49">
        <v>2076.0459999999998</v>
      </c>
      <c r="N470" s="49">
        <v>5046</v>
      </c>
      <c r="O470" s="47">
        <v>4.8849103126207072E-3</v>
      </c>
      <c r="P470" s="72">
        <f t="shared" si="7"/>
        <v>360740.65745814005</v>
      </c>
      <c r="Q470" s="49" t="str">
        <f>TEXT(Table1[[#This Row],[Closing Date]],"yyyy")</f>
        <v>2024</v>
      </c>
      <c r="R470" s="49" t="str">
        <f>TEXT(Table1[[#This Row],[Closing Date]],"mmmm")</f>
        <v>March</v>
      </c>
      <c r="S470" s="49" t="s">
        <v>368</v>
      </c>
      <c r="T470" s="49" t="s">
        <v>429</v>
      </c>
    </row>
    <row r="471" spans="1:20" x14ac:dyDescent="0.25">
      <c r="A471" t="s">
        <v>283</v>
      </c>
      <c r="B471" t="s">
        <v>431</v>
      </c>
      <c r="C471" t="s">
        <v>51</v>
      </c>
      <c r="D471" t="s">
        <v>38</v>
      </c>
      <c r="E471" s="49"/>
      <c r="F471" s="60">
        <v>45359</v>
      </c>
      <c r="G471" t="s">
        <v>88</v>
      </c>
      <c r="H471">
        <v>2</v>
      </c>
      <c r="I471" s="49">
        <v>396856.04</v>
      </c>
      <c r="K471" s="115">
        <v>388493</v>
      </c>
      <c r="L471" s="49">
        <v>39685.603999999999</v>
      </c>
      <c r="M471" s="49">
        <v>38849.300000000003</v>
      </c>
      <c r="N471" s="49">
        <v>-8363.039999999979</v>
      </c>
      <c r="O471" s="47">
        <v>-2.107323350804987E-2</v>
      </c>
      <c r="P471" s="72">
        <f t="shared" si="7"/>
        <v>352377.61745814007</v>
      </c>
      <c r="Q471" s="49" t="str">
        <f>TEXT(Table1[[#This Row],[Closing Date]],"yyyy")</f>
        <v>2024</v>
      </c>
      <c r="R471" s="49" t="str">
        <f>TEXT(Table1[[#This Row],[Closing Date]],"mmmm")</f>
        <v>March</v>
      </c>
      <c r="S471" s="49" t="s">
        <v>368</v>
      </c>
      <c r="T471" s="49" t="s">
        <v>429</v>
      </c>
    </row>
    <row r="472" spans="1:20" x14ac:dyDescent="0.25">
      <c r="A472" t="s">
        <v>283</v>
      </c>
      <c r="B472" t="s">
        <v>431</v>
      </c>
      <c r="C472" t="s">
        <v>56</v>
      </c>
      <c r="D472" t="s">
        <v>36</v>
      </c>
      <c r="E472" s="49"/>
      <c r="F472" s="60">
        <v>45363</v>
      </c>
      <c r="G472" t="s">
        <v>364</v>
      </c>
      <c r="H472">
        <v>685</v>
      </c>
      <c r="I472" s="49">
        <v>40274.32</v>
      </c>
      <c r="K472" s="115">
        <v>39589.58</v>
      </c>
      <c r="L472" s="49">
        <v>58.794627737226278</v>
      </c>
      <c r="M472" s="49">
        <v>57.795007299270075</v>
      </c>
      <c r="N472" s="49">
        <v>684.73999999999796</v>
      </c>
      <c r="O472" s="47">
        <v>1.7001900963194361E-2</v>
      </c>
      <c r="P472" s="72">
        <f t="shared" si="7"/>
        <v>353062.35745814006</v>
      </c>
      <c r="Q472" s="49" t="str">
        <f>TEXT(Table1[[#This Row],[Closing Date]],"yyyy")</f>
        <v>2024</v>
      </c>
      <c r="R472" s="49" t="str">
        <f>TEXT(Table1[[#This Row],[Closing Date]],"mmmm")</f>
        <v>March</v>
      </c>
      <c r="S472" s="49" t="s">
        <v>368</v>
      </c>
      <c r="T472" s="49" t="s">
        <v>429</v>
      </c>
    </row>
    <row r="473" spans="1:20" x14ac:dyDescent="0.25">
      <c r="A473" t="s">
        <v>283</v>
      </c>
      <c r="B473" t="s">
        <v>433</v>
      </c>
      <c r="C473" t="s">
        <v>56</v>
      </c>
      <c r="D473" t="s">
        <v>38</v>
      </c>
      <c r="E473" s="90">
        <v>45293</v>
      </c>
      <c r="F473" s="60">
        <v>45363</v>
      </c>
      <c r="G473" t="s">
        <v>379</v>
      </c>
      <c r="H473">
        <v>600</v>
      </c>
      <c r="I473" s="49">
        <v>351432</v>
      </c>
      <c r="J473" s="106">
        <v>1</v>
      </c>
      <c r="K473" s="115">
        <f>161157+100309+58400+156+91059.47</f>
        <v>411081.47</v>
      </c>
      <c r="L473" s="49">
        <f>Table1[[#This Row],[Open Value]]/Table1[[#This Row],[Shares]]/Table1[[#This Row],[Multiplier]]</f>
        <v>585.72</v>
      </c>
      <c r="M473" s="49">
        <f>Table1[[#This Row],[Close Value]]/Table1[[#This Row],[Shares]]/Table1[[#This Row],[Multiplier]]</f>
        <v>685.13578333333328</v>
      </c>
      <c r="N473" s="49">
        <f>Table1[[#This Row],[Close Value]]-Table1[[#This Row],[Open Value]]</f>
        <v>59649.469999999972</v>
      </c>
      <c r="O473" s="47">
        <f>Table1[[#This Row],[PnL]]/Table1[[#This Row],[Open Value]]</f>
        <v>0.16973260829975634</v>
      </c>
      <c r="P473" s="107">
        <f t="shared" si="7"/>
        <v>412711.82745814003</v>
      </c>
      <c r="Q473" s="49" t="str">
        <f>TEXT(Table1[[#This Row],[Closing Date]],"yyyy")</f>
        <v>2024</v>
      </c>
      <c r="R473" s="49" t="str">
        <f>TEXT(Table1[[#This Row],[Closing Date]],"mmmm")</f>
        <v>March</v>
      </c>
      <c r="S473" s="49" t="s">
        <v>368</v>
      </c>
      <c r="T473" s="49" t="s">
        <v>285</v>
      </c>
    </row>
    <row r="474" spans="1:20" x14ac:dyDescent="0.25">
      <c r="A474" t="s">
        <v>283</v>
      </c>
      <c r="B474" t="s">
        <v>431</v>
      </c>
      <c r="C474" t="s">
        <v>56</v>
      </c>
      <c r="D474" t="s">
        <v>38</v>
      </c>
      <c r="E474" s="49"/>
      <c r="F474" s="60">
        <v>45364</v>
      </c>
      <c r="G474" t="s">
        <v>365</v>
      </c>
      <c r="H474">
        <v>1150</v>
      </c>
      <c r="I474" s="49">
        <v>50067.6</v>
      </c>
      <c r="K474" s="115">
        <v>49883.26</v>
      </c>
      <c r="L474" s="49">
        <v>43.53704347826087</v>
      </c>
      <c r="M474" s="49">
        <v>43.376747826086955</v>
      </c>
      <c r="N474" s="49">
        <v>-184.33999999999651</v>
      </c>
      <c r="O474" s="47">
        <v>-3.6818221764174141E-3</v>
      </c>
      <c r="P474" s="72">
        <f t="shared" si="7"/>
        <v>412527.48745814001</v>
      </c>
      <c r="Q474" s="49" t="str">
        <f>TEXT(Table1[[#This Row],[Closing Date]],"yyyy")</f>
        <v>2024</v>
      </c>
      <c r="R474" s="49" t="str">
        <f>TEXT(Table1[[#This Row],[Closing Date]],"mmmm")</f>
        <v>March</v>
      </c>
      <c r="S474" s="49" t="s">
        <v>369</v>
      </c>
      <c r="T474" s="49" t="s">
        <v>429</v>
      </c>
    </row>
    <row r="475" spans="1:20" x14ac:dyDescent="0.25">
      <c r="A475" t="s">
        <v>283</v>
      </c>
      <c r="B475" t="s">
        <v>431</v>
      </c>
      <c r="C475" t="s">
        <v>56</v>
      </c>
      <c r="D475" t="s">
        <v>38</v>
      </c>
      <c r="E475" s="49"/>
      <c r="F475" s="60">
        <v>45364</v>
      </c>
      <c r="G475" t="s">
        <v>366</v>
      </c>
      <c r="H475">
        <v>440</v>
      </c>
      <c r="I475" s="49">
        <v>49469.84</v>
      </c>
      <c r="K475" s="115">
        <v>47874.34</v>
      </c>
      <c r="L475" s="49">
        <v>112.43145454545454</v>
      </c>
      <c r="M475" s="49">
        <v>108.80531818181818</v>
      </c>
      <c r="N475" s="49">
        <v>-1595.5</v>
      </c>
      <c r="O475" s="47">
        <v>-3.2251974132117674E-2</v>
      </c>
      <c r="P475" s="72">
        <f t="shared" si="7"/>
        <v>410931.98745814001</v>
      </c>
      <c r="Q475" s="49" t="str">
        <f>TEXT(Table1[[#This Row],[Closing Date]],"yyyy")</f>
        <v>2024</v>
      </c>
      <c r="R475" s="49" t="str">
        <f>TEXT(Table1[[#This Row],[Closing Date]],"mmmm")</f>
        <v>March</v>
      </c>
      <c r="S475" s="49" t="s">
        <v>369</v>
      </c>
      <c r="T475" s="49" t="s">
        <v>429</v>
      </c>
    </row>
    <row r="476" spans="1:20" x14ac:dyDescent="0.25">
      <c r="A476" t="s">
        <v>283</v>
      </c>
      <c r="B476" t="s">
        <v>431</v>
      </c>
      <c r="C476" t="s">
        <v>56</v>
      </c>
      <c r="D476" t="s">
        <v>38</v>
      </c>
      <c r="E476" s="49"/>
      <c r="F476" s="60">
        <v>45364</v>
      </c>
      <c r="G476" t="s">
        <v>311</v>
      </c>
      <c r="H476">
        <v>1400</v>
      </c>
      <c r="I476" s="49">
        <v>49444.94</v>
      </c>
      <c r="K476" s="115">
        <v>47802.39</v>
      </c>
      <c r="L476" s="49">
        <v>35.317814285714284</v>
      </c>
      <c r="M476" s="49">
        <v>34.144564285714289</v>
      </c>
      <c r="N476" s="49">
        <v>-1642.5500000000029</v>
      </c>
      <c r="O476" s="47">
        <v>-3.3219779415244573E-2</v>
      </c>
      <c r="P476" s="72">
        <f t="shared" si="7"/>
        <v>409289.43745814002</v>
      </c>
      <c r="Q476" s="49" t="str">
        <f>TEXT(Table1[[#This Row],[Closing Date]],"yyyy")</f>
        <v>2024</v>
      </c>
      <c r="R476" s="49" t="str">
        <f>TEXT(Table1[[#This Row],[Closing Date]],"mmmm")</f>
        <v>March</v>
      </c>
      <c r="S476" s="49" t="s">
        <v>369</v>
      </c>
      <c r="T476" s="49" t="s">
        <v>429</v>
      </c>
    </row>
    <row r="477" spans="1:20" x14ac:dyDescent="0.25">
      <c r="A477" t="s">
        <v>283</v>
      </c>
      <c r="B477" t="s">
        <v>434</v>
      </c>
      <c r="C477" t="s">
        <v>51</v>
      </c>
      <c r="D477" t="s">
        <v>36</v>
      </c>
      <c r="E477" s="49"/>
      <c r="F477" s="60">
        <v>45365</v>
      </c>
      <c r="G477" t="s">
        <v>52</v>
      </c>
      <c r="H477">
        <v>6</v>
      </c>
      <c r="I477" s="49">
        <v>485760</v>
      </c>
      <c r="K477" s="115">
        <v>483180</v>
      </c>
      <c r="L477" s="49">
        <v>80.959999999999994</v>
      </c>
      <c r="M477" s="49">
        <v>1610.6000000000001</v>
      </c>
      <c r="N477" s="49">
        <v>2580</v>
      </c>
      <c r="O477" s="47">
        <v>5.311264822134387E-3</v>
      </c>
      <c r="P477" s="72">
        <f t="shared" si="7"/>
        <v>411869.43745814002</v>
      </c>
      <c r="Q477" s="49" t="str">
        <f>TEXT(Table1[[#This Row],[Closing Date]],"yyyy")</f>
        <v>2024</v>
      </c>
      <c r="R477" s="49" t="str">
        <f>TEXT(Table1[[#This Row],[Closing Date]],"mmmm")</f>
        <v>March</v>
      </c>
      <c r="S477" s="49" t="s">
        <v>368</v>
      </c>
      <c r="T477" s="49" t="s">
        <v>429</v>
      </c>
    </row>
    <row r="478" spans="1:20" x14ac:dyDescent="0.25">
      <c r="A478" t="s">
        <v>283</v>
      </c>
      <c r="B478" t="s">
        <v>431</v>
      </c>
      <c r="C478" t="s">
        <v>56</v>
      </c>
      <c r="D478" t="s">
        <v>38</v>
      </c>
      <c r="E478" s="49"/>
      <c r="F478" s="60">
        <v>45365</v>
      </c>
      <c r="G478" t="s">
        <v>288</v>
      </c>
      <c r="H478">
        <v>1200</v>
      </c>
      <c r="I478" s="49">
        <v>234997.8</v>
      </c>
      <c r="K478" s="115">
        <v>227983</v>
      </c>
      <c r="L478" s="49">
        <v>195.83149999999998</v>
      </c>
      <c r="M478" s="49">
        <v>189.98583333333335</v>
      </c>
      <c r="N478" s="49">
        <v>-7014.7999999999884</v>
      </c>
      <c r="O478" s="47">
        <v>-2.9850492217373903E-2</v>
      </c>
      <c r="P478" s="72">
        <f t="shared" si="7"/>
        <v>404854.63745814003</v>
      </c>
      <c r="Q478" s="49" t="str">
        <f>TEXT(Table1[[#This Row],[Closing Date]],"yyyy")</f>
        <v>2024</v>
      </c>
      <c r="R478" s="49" t="str">
        <f>TEXT(Table1[[#This Row],[Closing Date]],"mmmm")</f>
        <v>March</v>
      </c>
      <c r="S478" s="49" t="s">
        <v>368</v>
      </c>
      <c r="T478" s="49" t="s">
        <v>429</v>
      </c>
    </row>
    <row r="479" spans="1:20" x14ac:dyDescent="0.25">
      <c r="A479" t="s">
        <v>283</v>
      </c>
      <c r="B479" t="s">
        <v>431</v>
      </c>
      <c r="C479" t="s">
        <v>56</v>
      </c>
      <c r="D479" t="s">
        <v>38</v>
      </c>
      <c r="E479" s="49"/>
      <c r="F479" s="60">
        <v>45365</v>
      </c>
      <c r="G479" t="s">
        <v>373</v>
      </c>
      <c r="H479">
        <v>11000</v>
      </c>
      <c r="I479" s="49">
        <v>82165</v>
      </c>
      <c r="K479" s="115">
        <v>73365</v>
      </c>
      <c r="L479" s="49">
        <v>7.4695454545454547</v>
      </c>
      <c r="M479" s="49">
        <v>6.6695454545454549</v>
      </c>
      <c r="N479" s="49">
        <v>-8800</v>
      </c>
      <c r="O479" s="47">
        <v>-0.10710156392624597</v>
      </c>
      <c r="P479" s="72">
        <f t="shared" si="7"/>
        <v>396054.63745814003</v>
      </c>
      <c r="Q479" s="49" t="str">
        <f>TEXT(Table1[[#This Row],[Closing Date]],"yyyy")</f>
        <v>2024</v>
      </c>
      <c r="R479" s="49" t="str">
        <f>TEXT(Table1[[#This Row],[Closing Date]],"mmmm")</f>
        <v>March</v>
      </c>
      <c r="S479" s="49" t="s">
        <v>368</v>
      </c>
      <c r="T479" s="49" t="s">
        <v>429</v>
      </c>
    </row>
    <row r="480" spans="1:20" x14ac:dyDescent="0.25">
      <c r="A480" t="s">
        <v>276</v>
      </c>
      <c r="B480" t="s">
        <v>430</v>
      </c>
      <c r="C480" t="s">
        <v>149</v>
      </c>
      <c r="D480" t="s">
        <v>38</v>
      </c>
      <c r="E480" s="49"/>
      <c r="F480" s="60">
        <v>45366</v>
      </c>
      <c r="G480" t="s">
        <v>363</v>
      </c>
      <c r="H480">
        <v>50</v>
      </c>
      <c r="I480" s="49">
        <v>10272.34</v>
      </c>
      <c r="J480" s="106">
        <v>100</v>
      </c>
      <c r="K480" s="115">
        <v>8352.4500000000007</v>
      </c>
      <c r="L480" s="49">
        <v>2.054468</v>
      </c>
      <c r="M480" s="49">
        <v>1.67049</v>
      </c>
      <c r="N480" s="49">
        <v>-1919.8899999999994</v>
      </c>
      <c r="O480" s="47">
        <v>-0.18689899282928715</v>
      </c>
      <c r="P480" s="72">
        <f t="shared" si="7"/>
        <v>394134.74745814002</v>
      </c>
      <c r="Q480" s="49" t="str">
        <f>TEXT(Table1[[#This Row],[Closing Date]],"yyyy")</f>
        <v>2024</v>
      </c>
      <c r="R480" s="49" t="str">
        <f>TEXT(Table1[[#This Row],[Closing Date]],"mmmm")</f>
        <v>March</v>
      </c>
      <c r="S480" s="49" t="s">
        <v>368</v>
      </c>
      <c r="T480" s="49" t="s">
        <v>429</v>
      </c>
    </row>
    <row r="481" spans="1:20" x14ac:dyDescent="0.25">
      <c r="A481" t="s">
        <v>283</v>
      </c>
      <c r="B481" t="s">
        <v>433</v>
      </c>
      <c r="C481" t="s">
        <v>56</v>
      </c>
      <c r="D481" t="s">
        <v>38</v>
      </c>
      <c r="E481" s="49"/>
      <c r="F481" s="60">
        <v>45366</v>
      </c>
      <c r="G481" t="s">
        <v>370</v>
      </c>
      <c r="H481">
        <v>4100</v>
      </c>
      <c r="I481" s="49">
        <v>201658.5</v>
      </c>
      <c r="K481" s="115">
        <v>198548.1</v>
      </c>
      <c r="L481" s="49">
        <v>49.185000000000002</v>
      </c>
      <c r="M481" s="49">
        <v>48.426365853658538</v>
      </c>
      <c r="N481" s="49">
        <v>-3110.3999999999942</v>
      </c>
      <c r="O481" s="47">
        <v>-1.5424095686519508E-2</v>
      </c>
      <c r="P481" s="72">
        <f t="shared" si="7"/>
        <v>391024.34745813999</v>
      </c>
      <c r="Q481" s="49" t="str">
        <f>TEXT(Table1[[#This Row],[Closing Date]],"yyyy")</f>
        <v>2024</v>
      </c>
      <c r="R481" s="49" t="str">
        <f>TEXT(Table1[[#This Row],[Closing Date]],"mmmm")</f>
        <v>March</v>
      </c>
      <c r="S481" s="49" t="s">
        <v>368</v>
      </c>
      <c r="T481" s="49" t="s">
        <v>429</v>
      </c>
    </row>
    <row r="482" spans="1:20" x14ac:dyDescent="0.25">
      <c r="A482" t="s">
        <v>283</v>
      </c>
      <c r="B482" t="s">
        <v>434</v>
      </c>
      <c r="C482" t="s">
        <v>56</v>
      </c>
      <c r="D482" t="s">
        <v>38</v>
      </c>
      <c r="E482" s="49"/>
      <c r="F482" s="60">
        <v>45366</v>
      </c>
      <c r="G482" t="s">
        <v>371</v>
      </c>
      <c r="H482">
        <v>2650</v>
      </c>
      <c r="I482" s="49">
        <v>114631.31</v>
      </c>
      <c r="K482" s="115">
        <v>111845.88</v>
      </c>
      <c r="L482" s="49">
        <v>43.257098113207547</v>
      </c>
      <c r="M482" s="49">
        <v>42.205992452830188</v>
      </c>
      <c r="N482" s="49">
        <v>-2785.429999999993</v>
      </c>
      <c r="O482" s="47">
        <v>-2.4299033135013401E-2</v>
      </c>
      <c r="P482" s="72">
        <f t="shared" si="7"/>
        <v>388238.91745814</v>
      </c>
      <c r="Q482" s="49" t="str">
        <f>TEXT(Table1[[#This Row],[Closing Date]],"yyyy")</f>
        <v>2024</v>
      </c>
      <c r="R482" s="49" t="str">
        <f>TEXT(Table1[[#This Row],[Closing Date]],"mmmm")</f>
        <v>March</v>
      </c>
      <c r="S482" s="49" t="s">
        <v>368</v>
      </c>
      <c r="T482" s="49" t="s">
        <v>429</v>
      </c>
    </row>
    <row r="483" spans="1:20" x14ac:dyDescent="0.25">
      <c r="A483" t="s">
        <v>283</v>
      </c>
      <c r="B483" t="s">
        <v>433</v>
      </c>
      <c r="C483" t="s">
        <v>56</v>
      </c>
      <c r="D483" t="s">
        <v>38</v>
      </c>
      <c r="E483" s="49"/>
      <c r="F483" s="60">
        <v>45366</v>
      </c>
      <c r="G483" t="s">
        <v>83</v>
      </c>
      <c r="H483">
        <v>550</v>
      </c>
      <c r="I483" s="49">
        <v>227109.88</v>
      </c>
      <c r="K483" s="115">
        <v>229378.53</v>
      </c>
      <c r="L483" s="49">
        <v>412.92705454545455</v>
      </c>
      <c r="M483" s="49">
        <v>417.05187272727272</v>
      </c>
      <c r="N483" s="49">
        <v>2268.6499999999942</v>
      </c>
      <c r="O483" s="47">
        <v>9.9892175540755614E-3</v>
      </c>
      <c r="P483" s="72">
        <f t="shared" si="7"/>
        <v>390507.56745813997</v>
      </c>
      <c r="Q483" s="49" t="str">
        <f>TEXT(Table1[[#This Row],[Closing Date]],"yyyy")</f>
        <v>2024</v>
      </c>
      <c r="R483" s="49" t="str">
        <f>TEXT(Table1[[#This Row],[Closing Date]],"mmmm")</f>
        <v>March</v>
      </c>
      <c r="S483" s="49" t="s">
        <v>368</v>
      </c>
      <c r="T483" s="49" t="s">
        <v>429</v>
      </c>
    </row>
    <row r="484" spans="1:20" x14ac:dyDescent="0.25">
      <c r="A484" t="s">
        <v>283</v>
      </c>
      <c r="B484" t="s">
        <v>433</v>
      </c>
      <c r="C484" t="s">
        <v>56</v>
      </c>
      <c r="D484" t="s">
        <v>38</v>
      </c>
      <c r="E484" s="49"/>
      <c r="F484" s="60">
        <v>45366</v>
      </c>
      <c r="G484" t="s">
        <v>372</v>
      </c>
      <c r="H484">
        <v>3300</v>
      </c>
      <c r="I484" s="49">
        <v>192737.7</v>
      </c>
      <c r="K484" s="115">
        <v>188158.85</v>
      </c>
      <c r="L484" s="49">
        <v>58.405363636363639</v>
      </c>
      <c r="M484" s="49">
        <v>57.017833333333336</v>
      </c>
      <c r="N484" s="49">
        <v>-4578.8500000000058</v>
      </c>
      <c r="O484" s="47">
        <v>-2.3756898624399926E-2</v>
      </c>
      <c r="P484" s="72">
        <f t="shared" si="7"/>
        <v>385928.71745813999</v>
      </c>
      <c r="Q484" s="49" t="str">
        <f>TEXT(Table1[[#This Row],[Closing Date]],"yyyy")</f>
        <v>2024</v>
      </c>
      <c r="R484" s="49" t="str">
        <f>TEXT(Table1[[#This Row],[Closing Date]],"mmmm")</f>
        <v>March</v>
      </c>
      <c r="S484" s="49" t="s">
        <v>368</v>
      </c>
      <c r="T484" s="49" t="s">
        <v>429</v>
      </c>
    </row>
    <row r="485" spans="1:20" x14ac:dyDescent="0.25">
      <c r="A485" t="s">
        <v>276</v>
      </c>
      <c r="B485" t="s">
        <v>433</v>
      </c>
      <c r="C485" t="s">
        <v>149</v>
      </c>
      <c r="D485" t="s">
        <v>38</v>
      </c>
      <c r="E485" s="49"/>
      <c r="F485" s="60">
        <v>45366</v>
      </c>
      <c r="G485" t="s">
        <v>193</v>
      </c>
      <c r="H485">
        <v>15</v>
      </c>
      <c r="I485" s="49">
        <v>12310.3</v>
      </c>
      <c r="J485" s="106">
        <v>100</v>
      </c>
      <c r="K485" s="115">
        <v>0</v>
      </c>
      <c r="L485" s="49">
        <v>8.2068666666666665</v>
      </c>
      <c r="M485" s="49"/>
      <c r="N485" s="49">
        <v>-12310.3</v>
      </c>
      <c r="O485" s="47">
        <v>-1</v>
      </c>
      <c r="P485" s="72">
        <f t="shared" si="7"/>
        <v>373618.41745814</v>
      </c>
      <c r="Q485" s="49" t="str">
        <f>TEXT(Table1[[#This Row],[Closing Date]],"yyyy")</f>
        <v>2024</v>
      </c>
      <c r="R485" s="49" t="str">
        <f>TEXT(Table1[[#This Row],[Closing Date]],"mmmm")</f>
        <v>March</v>
      </c>
      <c r="S485" s="49" t="s">
        <v>368</v>
      </c>
      <c r="T485" s="49" t="s">
        <v>429</v>
      </c>
    </row>
    <row r="486" spans="1:20" x14ac:dyDescent="0.25">
      <c r="A486" t="s">
        <v>276</v>
      </c>
      <c r="B486" t="s">
        <v>434</v>
      </c>
      <c r="C486" t="s">
        <v>152</v>
      </c>
      <c r="D486" t="s">
        <v>38</v>
      </c>
      <c r="E486" s="49"/>
      <c r="F486" s="60">
        <v>45366</v>
      </c>
      <c r="G486" t="s">
        <v>378</v>
      </c>
      <c r="H486">
        <v>10</v>
      </c>
      <c r="I486" s="49">
        <v>7706.87</v>
      </c>
      <c r="J486" s="106">
        <v>100</v>
      </c>
      <c r="K486" s="115">
        <v>0</v>
      </c>
      <c r="L486" s="49">
        <v>7.7068700000000003</v>
      </c>
      <c r="M486" s="49">
        <v>0</v>
      </c>
      <c r="N486" s="49">
        <v>-7706.87</v>
      </c>
      <c r="O486" s="47">
        <v>-1</v>
      </c>
      <c r="P486" s="72">
        <f t="shared" si="7"/>
        <v>365911.54745814</v>
      </c>
      <c r="Q486" s="49" t="str">
        <f>TEXT(Table1[[#This Row],[Closing Date]],"yyyy")</f>
        <v>2024</v>
      </c>
      <c r="R486" s="49" t="str">
        <f>TEXT(Table1[[#This Row],[Closing Date]],"mmmm")</f>
        <v>March</v>
      </c>
      <c r="S486" s="49" t="s">
        <v>368</v>
      </c>
      <c r="T486" s="49" t="s">
        <v>429</v>
      </c>
    </row>
    <row r="487" spans="1:20" x14ac:dyDescent="0.25">
      <c r="A487" t="s">
        <v>276</v>
      </c>
      <c r="B487" t="s">
        <v>433</v>
      </c>
      <c r="C487" t="s">
        <v>149</v>
      </c>
      <c r="D487" t="s">
        <v>38</v>
      </c>
      <c r="E487" s="49"/>
      <c r="F487" s="60">
        <v>45366</v>
      </c>
      <c r="G487" t="s">
        <v>98</v>
      </c>
      <c r="H487">
        <v>50</v>
      </c>
      <c r="I487" s="49">
        <v>6482.34</v>
      </c>
      <c r="J487" s="106">
        <v>100</v>
      </c>
      <c r="K487" s="115">
        <v>0</v>
      </c>
      <c r="L487" s="49">
        <v>1.2964680000000002</v>
      </c>
      <c r="M487" s="49">
        <v>0</v>
      </c>
      <c r="N487" s="49">
        <v>-6482.34</v>
      </c>
      <c r="O487" s="47">
        <v>-1</v>
      </c>
      <c r="P487" s="72">
        <f t="shared" si="7"/>
        <v>359429.20745813998</v>
      </c>
      <c r="Q487" s="49" t="str">
        <f>TEXT(Table1[[#This Row],[Closing Date]],"yyyy")</f>
        <v>2024</v>
      </c>
      <c r="R487" s="49" t="str">
        <f>TEXT(Table1[[#This Row],[Closing Date]],"mmmm")</f>
        <v>March</v>
      </c>
      <c r="S487" s="49" t="s">
        <v>368</v>
      </c>
      <c r="T487" s="49" t="s">
        <v>429</v>
      </c>
    </row>
    <row r="488" spans="1:20" x14ac:dyDescent="0.25">
      <c r="A488" t="s">
        <v>283</v>
      </c>
      <c r="B488" t="s">
        <v>433</v>
      </c>
      <c r="C488" t="s">
        <v>56</v>
      </c>
      <c r="D488" t="s">
        <v>38</v>
      </c>
      <c r="E488" s="90">
        <v>45359</v>
      </c>
      <c r="F488" s="60">
        <v>45366</v>
      </c>
      <c r="G488" t="s">
        <v>380</v>
      </c>
      <c r="H488">
        <v>605</v>
      </c>
      <c r="I488" s="49">
        <v>101125.75</v>
      </c>
      <c r="J488" s="106">
        <v>1</v>
      </c>
      <c r="K488" s="115">
        <v>91158.05</v>
      </c>
      <c r="L488" s="49">
        <f>Table1[[#This Row],[Open Value]]/Table1[[#This Row],[Shares]]/Table1[[#This Row],[Multiplier]]</f>
        <v>167.15</v>
      </c>
      <c r="M488" s="49">
        <f>Table1[[#This Row],[Close Value]]/Table1[[#This Row],[Shares]]/Table1[[#This Row],[Multiplier]]</f>
        <v>150.67446280991737</v>
      </c>
      <c r="N488" s="49">
        <f>Table1[[#This Row],[Close Value]]-Table1[[#This Row],[Open Value]]</f>
        <v>-9967.6999999999971</v>
      </c>
      <c r="O488" s="47">
        <f>Table1[[#This Row],[PnL]]/Table1[[#This Row],[Open Value]]</f>
        <v>-9.856737774503524E-2</v>
      </c>
      <c r="P488" s="72">
        <f t="shared" ref="P488:P551" si="8">N488+P487</f>
        <v>349461.50745813997</v>
      </c>
      <c r="Q488" s="49" t="str">
        <f>TEXT(Table1[[#This Row],[Closing Date]],"yyyy")</f>
        <v>2024</v>
      </c>
      <c r="R488" s="49" t="str">
        <f>TEXT(Table1[[#This Row],[Closing Date]],"mmmm")</f>
        <v>March</v>
      </c>
      <c r="S488" s="49" t="s">
        <v>368</v>
      </c>
      <c r="T488" s="49" t="s">
        <v>285</v>
      </c>
    </row>
    <row r="489" spans="1:20" x14ac:dyDescent="0.25">
      <c r="A489" t="s">
        <v>283</v>
      </c>
      <c r="B489" t="s">
        <v>431</v>
      </c>
      <c r="C489" t="s">
        <v>70</v>
      </c>
      <c r="D489" t="s">
        <v>38</v>
      </c>
      <c r="E489" s="49"/>
      <c r="F489" s="60">
        <v>45369</v>
      </c>
      <c r="G489" t="s">
        <v>374</v>
      </c>
      <c r="H489">
        <v>12000</v>
      </c>
      <c r="I489" s="49">
        <v>91524.3</v>
      </c>
      <c r="K489" s="115">
        <v>92757.27</v>
      </c>
      <c r="L489" s="49">
        <v>7.6270250000000006</v>
      </c>
      <c r="M489" s="49">
        <v>7.7297725000000002</v>
      </c>
      <c r="N489" s="49">
        <v>1232.9700000000012</v>
      </c>
      <c r="O489" s="47">
        <v>1.3471504289024895E-2</v>
      </c>
      <c r="P489" s="72">
        <f t="shared" si="8"/>
        <v>350694.47745814</v>
      </c>
      <c r="Q489" s="49" t="str">
        <f>TEXT(Table1[[#This Row],[Closing Date]],"yyyy")</f>
        <v>2024</v>
      </c>
      <c r="R489" s="49" t="str">
        <f>TEXT(Table1[[#This Row],[Closing Date]],"mmmm")</f>
        <v>March</v>
      </c>
      <c r="S489" s="49" t="s">
        <v>368</v>
      </c>
      <c r="T489" s="49" t="s">
        <v>429</v>
      </c>
    </row>
    <row r="490" spans="1:20" x14ac:dyDescent="0.25">
      <c r="A490" t="s">
        <v>283</v>
      </c>
      <c r="B490" t="s">
        <v>434</v>
      </c>
      <c r="C490" t="s">
        <v>56</v>
      </c>
      <c r="D490" t="s">
        <v>38</v>
      </c>
      <c r="E490" s="49"/>
      <c r="F490" s="60">
        <v>45370</v>
      </c>
      <c r="G490" t="s">
        <v>376</v>
      </c>
      <c r="H490">
        <v>300</v>
      </c>
      <c r="I490" s="49">
        <v>49200</v>
      </c>
      <c r="K490" s="115">
        <v>43996.1</v>
      </c>
      <c r="L490" s="49">
        <v>164</v>
      </c>
      <c r="M490" s="49">
        <v>146.65366666666665</v>
      </c>
      <c r="N490" s="49">
        <v>-5203.9000000000015</v>
      </c>
      <c r="O490" s="47">
        <v>-0.10577032520325207</v>
      </c>
      <c r="P490" s="72">
        <f t="shared" si="8"/>
        <v>345490.57745813997</v>
      </c>
      <c r="Q490" s="49" t="str">
        <f>TEXT(Table1[[#This Row],[Closing Date]],"yyyy")</f>
        <v>2024</v>
      </c>
      <c r="R490" s="49" t="str">
        <f>TEXT(Table1[[#This Row],[Closing Date]],"mmmm")</f>
        <v>March</v>
      </c>
      <c r="S490" s="49" t="s">
        <v>368</v>
      </c>
      <c r="T490" s="49" t="s">
        <v>429</v>
      </c>
    </row>
    <row r="491" spans="1:20" x14ac:dyDescent="0.25">
      <c r="A491" t="s">
        <v>283</v>
      </c>
      <c r="B491" t="s">
        <v>431</v>
      </c>
      <c r="C491" t="s">
        <v>56</v>
      </c>
      <c r="D491" t="s">
        <v>38</v>
      </c>
      <c r="E491" s="49"/>
      <c r="F491" s="60">
        <v>45370</v>
      </c>
      <c r="G491" t="s">
        <v>225</v>
      </c>
      <c r="H491">
        <v>4400</v>
      </c>
      <c r="I491" s="49">
        <v>108680</v>
      </c>
      <c r="K491" s="115">
        <v>101220.46</v>
      </c>
      <c r="L491" s="49">
        <v>24.7</v>
      </c>
      <c r="M491" s="49">
        <v>23.004650000000002</v>
      </c>
      <c r="N491" s="49">
        <v>-7459.5399999999936</v>
      </c>
      <c r="O491" s="47">
        <v>-6.8637651821862294E-2</v>
      </c>
      <c r="P491" s="72">
        <f t="shared" si="8"/>
        <v>338031.03745814</v>
      </c>
      <c r="Q491" s="49" t="str">
        <f>TEXT(Table1[[#This Row],[Closing Date]],"yyyy")</f>
        <v>2024</v>
      </c>
      <c r="R491" s="49" t="str">
        <f>TEXT(Table1[[#This Row],[Closing Date]],"mmmm")</f>
        <v>March</v>
      </c>
      <c r="S491" s="49" t="s">
        <v>368</v>
      </c>
      <c r="T491" s="49" t="s">
        <v>429</v>
      </c>
    </row>
    <row r="492" spans="1:20" x14ac:dyDescent="0.25">
      <c r="A492" t="s">
        <v>283</v>
      </c>
      <c r="B492" t="s">
        <v>431</v>
      </c>
      <c r="C492" t="s">
        <v>56</v>
      </c>
      <c r="D492" t="s">
        <v>38</v>
      </c>
      <c r="E492" s="49"/>
      <c r="F492" s="60">
        <v>45370</v>
      </c>
      <c r="G492" t="s">
        <v>338</v>
      </c>
      <c r="H492">
        <v>4500</v>
      </c>
      <c r="I492" s="49">
        <v>79681</v>
      </c>
      <c r="K492" s="115">
        <v>71778.11</v>
      </c>
      <c r="L492" s="49">
        <v>17.706888888888887</v>
      </c>
      <c r="M492" s="49">
        <v>15.95069111111111</v>
      </c>
      <c r="N492" s="49">
        <v>-7902.8899999999994</v>
      </c>
      <c r="O492" s="47">
        <v>-9.9181611676560283E-2</v>
      </c>
      <c r="P492" s="72">
        <f t="shared" si="8"/>
        <v>330128.14745813998</v>
      </c>
      <c r="Q492" s="49" t="str">
        <f>TEXT(Table1[[#This Row],[Closing Date]],"yyyy")</f>
        <v>2024</v>
      </c>
      <c r="R492" s="49" t="str">
        <f>TEXT(Table1[[#This Row],[Closing Date]],"mmmm")</f>
        <v>March</v>
      </c>
      <c r="S492" s="49" t="s">
        <v>368</v>
      </c>
      <c r="T492" s="49" t="s">
        <v>429</v>
      </c>
    </row>
    <row r="493" spans="1:20" x14ac:dyDescent="0.25">
      <c r="A493" t="s">
        <v>283</v>
      </c>
      <c r="B493" t="s">
        <v>431</v>
      </c>
      <c r="C493" t="s">
        <v>56</v>
      </c>
      <c r="D493" t="s">
        <v>38</v>
      </c>
      <c r="E493" s="49"/>
      <c r="F493" s="60">
        <v>45370</v>
      </c>
      <c r="G493" t="s">
        <v>204</v>
      </c>
      <c r="H493">
        <v>1500</v>
      </c>
      <c r="I493" s="49">
        <v>122752</v>
      </c>
      <c r="K493" s="115">
        <v>117060.94</v>
      </c>
      <c r="L493" s="49">
        <v>81.834666666666664</v>
      </c>
      <c r="M493" s="49">
        <v>78.040626666666668</v>
      </c>
      <c r="N493" s="49">
        <v>-5691.0599999999977</v>
      </c>
      <c r="O493" s="47">
        <v>-4.6362258863399355E-2</v>
      </c>
      <c r="P493" s="72">
        <f t="shared" si="8"/>
        <v>324437.08745813998</v>
      </c>
      <c r="Q493" s="49" t="str">
        <f>TEXT(Table1[[#This Row],[Closing Date]],"yyyy")</f>
        <v>2024</v>
      </c>
      <c r="R493" s="49" t="str">
        <f>TEXT(Table1[[#This Row],[Closing Date]],"mmmm")</f>
        <v>March</v>
      </c>
      <c r="S493" s="49" t="s">
        <v>368</v>
      </c>
      <c r="T493" s="49" t="s">
        <v>429</v>
      </c>
    </row>
    <row r="494" spans="1:20" x14ac:dyDescent="0.25">
      <c r="A494" t="s">
        <v>283</v>
      </c>
      <c r="B494" t="s">
        <v>431</v>
      </c>
      <c r="C494" t="s">
        <v>56</v>
      </c>
      <c r="D494" t="s">
        <v>38</v>
      </c>
      <c r="E494" s="49"/>
      <c r="F494" s="60">
        <v>45370</v>
      </c>
      <c r="G494" t="s">
        <v>219</v>
      </c>
      <c r="H494">
        <v>2000</v>
      </c>
      <c r="I494" s="49">
        <v>129910</v>
      </c>
      <c r="K494" s="115">
        <v>123590.43</v>
      </c>
      <c r="L494" s="49">
        <v>64.954999999999998</v>
      </c>
      <c r="M494" s="49">
        <v>61.795214999999999</v>
      </c>
      <c r="N494" s="49">
        <v>-6319.570000000007</v>
      </c>
      <c r="O494" s="47">
        <v>-4.864575475329079E-2</v>
      </c>
      <c r="P494" s="72">
        <f t="shared" si="8"/>
        <v>318117.51745813998</v>
      </c>
      <c r="Q494" s="49" t="str">
        <f>TEXT(Table1[[#This Row],[Closing Date]],"yyyy")</f>
        <v>2024</v>
      </c>
      <c r="R494" s="49" t="str">
        <f>TEXT(Table1[[#This Row],[Closing Date]],"mmmm")</f>
        <v>March</v>
      </c>
      <c r="S494" s="49" t="s">
        <v>368</v>
      </c>
      <c r="T494" s="49" t="s">
        <v>429</v>
      </c>
    </row>
    <row r="495" spans="1:20" x14ac:dyDescent="0.25">
      <c r="A495" t="s">
        <v>283</v>
      </c>
      <c r="B495" t="s">
        <v>431</v>
      </c>
      <c r="C495" t="s">
        <v>56</v>
      </c>
      <c r="D495" t="s">
        <v>38</v>
      </c>
      <c r="E495" s="49"/>
      <c r="F495" s="60">
        <v>45370</v>
      </c>
      <c r="G495" t="s">
        <v>215</v>
      </c>
      <c r="H495">
        <v>3600</v>
      </c>
      <c r="I495" s="49">
        <v>159602.29999999999</v>
      </c>
      <c r="K495" s="115">
        <v>141892.141</v>
      </c>
      <c r="L495" s="49">
        <v>44.333972222222222</v>
      </c>
      <c r="M495" s="49">
        <v>39.414483611111109</v>
      </c>
      <c r="N495" s="49">
        <v>-17710.158999999985</v>
      </c>
      <c r="O495" s="47">
        <v>-0.11096430941158107</v>
      </c>
      <c r="P495" s="72">
        <f t="shared" si="8"/>
        <v>300407.35845813999</v>
      </c>
      <c r="Q495" s="49" t="str">
        <f>TEXT(Table1[[#This Row],[Closing Date]],"yyyy")</f>
        <v>2024</v>
      </c>
      <c r="R495" s="49" t="str">
        <f>TEXT(Table1[[#This Row],[Closing Date]],"mmmm")</f>
        <v>March</v>
      </c>
      <c r="S495" s="49" t="s">
        <v>368</v>
      </c>
      <c r="T495" s="49" t="s">
        <v>429</v>
      </c>
    </row>
    <row r="496" spans="1:20" x14ac:dyDescent="0.25">
      <c r="A496" t="s">
        <v>283</v>
      </c>
      <c r="B496" t="s">
        <v>431</v>
      </c>
      <c r="C496" t="s">
        <v>56</v>
      </c>
      <c r="D496" t="s">
        <v>38</v>
      </c>
      <c r="E496" s="49"/>
      <c r="F496" s="60">
        <v>45371</v>
      </c>
      <c r="G496" t="s">
        <v>295</v>
      </c>
      <c r="H496">
        <v>11400</v>
      </c>
      <c r="I496" s="49">
        <v>99047.46</v>
      </c>
      <c r="K496" s="115">
        <v>85705</v>
      </c>
      <c r="L496" s="49">
        <v>8.6883736842105268</v>
      </c>
      <c r="M496" s="49">
        <v>7.5179824561403512</v>
      </c>
      <c r="N496" s="49">
        <v>-13342.460000000006</v>
      </c>
      <c r="O496" s="47">
        <v>-0.13470774515570622</v>
      </c>
      <c r="P496" s="72">
        <f t="shared" si="8"/>
        <v>287064.89845813997</v>
      </c>
      <c r="Q496" s="49" t="str">
        <f>TEXT(Table1[[#This Row],[Closing Date]],"yyyy")</f>
        <v>2024</v>
      </c>
      <c r="R496" s="49" t="str">
        <f>TEXT(Table1[[#This Row],[Closing Date]],"mmmm")</f>
        <v>March</v>
      </c>
      <c r="S496" s="49" t="s">
        <v>368</v>
      </c>
      <c r="T496" s="49" t="s">
        <v>429</v>
      </c>
    </row>
    <row r="497" spans="1:20" x14ac:dyDescent="0.25">
      <c r="A497" t="s">
        <v>276</v>
      </c>
      <c r="B497" t="s">
        <v>430</v>
      </c>
      <c r="C497" t="s">
        <v>149</v>
      </c>
      <c r="D497" t="s">
        <v>38</v>
      </c>
      <c r="E497" s="49"/>
      <c r="F497" s="60">
        <v>45371</v>
      </c>
      <c r="G497" t="s">
        <v>48</v>
      </c>
      <c r="H497">
        <v>60</v>
      </c>
      <c r="I497" s="49">
        <v>8460</v>
      </c>
      <c r="J497" s="106">
        <v>100</v>
      </c>
      <c r="K497" s="115">
        <v>7140</v>
      </c>
      <c r="L497" s="49">
        <v>1.41</v>
      </c>
      <c r="M497" s="49">
        <v>1.19</v>
      </c>
      <c r="N497" s="49">
        <v>-1320</v>
      </c>
      <c r="O497" s="47">
        <v>-0.15602836879432624</v>
      </c>
      <c r="P497" s="72">
        <f t="shared" si="8"/>
        <v>285744.89845813997</v>
      </c>
      <c r="Q497" s="49" t="str">
        <f>TEXT(Table1[[#This Row],[Closing Date]],"yyyy")</f>
        <v>2024</v>
      </c>
      <c r="R497" s="49" t="str">
        <f>TEXT(Table1[[#This Row],[Closing Date]],"mmmm")</f>
        <v>March</v>
      </c>
      <c r="S497" s="49" t="s">
        <v>368</v>
      </c>
      <c r="T497" s="49" t="s">
        <v>429</v>
      </c>
    </row>
    <row r="498" spans="1:20" x14ac:dyDescent="0.25">
      <c r="A498" t="s">
        <v>283</v>
      </c>
      <c r="B498" t="s">
        <v>431</v>
      </c>
      <c r="C498" t="s">
        <v>35</v>
      </c>
      <c r="D498" t="s">
        <v>38</v>
      </c>
      <c r="E498" s="49"/>
      <c r="F498" s="60">
        <v>45371</v>
      </c>
      <c r="G498" t="s">
        <v>118</v>
      </c>
      <c r="H498">
        <v>2000000</v>
      </c>
      <c r="I498" s="49">
        <v>52747473.460000001</v>
      </c>
      <c r="K498" s="115">
        <v>0</v>
      </c>
      <c r="L498" s="49">
        <v>26.373736730000001</v>
      </c>
      <c r="M498" s="49"/>
      <c r="N498" s="49">
        <v>37014</v>
      </c>
      <c r="O498" s="47">
        <v>2.5000000000000001E-2</v>
      </c>
      <c r="P498" s="72">
        <f t="shared" si="8"/>
        <v>322758.89845813997</v>
      </c>
      <c r="Q498" s="49" t="str">
        <f>TEXT(Table1[[#This Row],[Closing Date]],"yyyy")</f>
        <v>2024</v>
      </c>
      <c r="R498" s="49" t="str">
        <f>TEXT(Table1[[#This Row],[Closing Date]],"mmmm")</f>
        <v>March</v>
      </c>
      <c r="S498" s="49" t="s">
        <v>368</v>
      </c>
      <c r="T498" s="49" t="s">
        <v>429</v>
      </c>
    </row>
    <row r="499" spans="1:20" x14ac:dyDescent="0.25">
      <c r="A499" t="s">
        <v>283</v>
      </c>
      <c r="B499" t="s">
        <v>434</v>
      </c>
      <c r="C499" t="s">
        <v>35</v>
      </c>
      <c r="D499" t="s">
        <v>38</v>
      </c>
      <c r="E499" s="49"/>
      <c r="F499" s="60">
        <v>45371</v>
      </c>
      <c r="G499" t="s">
        <v>127</v>
      </c>
      <c r="H499">
        <v>450000</v>
      </c>
      <c r="I499" s="49">
        <v>75714016.680000007</v>
      </c>
      <c r="K499" s="115">
        <v>25513590.16</v>
      </c>
      <c r="L499" s="49">
        <v>168.25337040000002</v>
      </c>
      <c r="M499" s="49">
        <v>170.09060106666666</v>
      </c>
      <c r="N499" s="49">
        <v>4289</v>
      </c>
      <c r="O499" s="47">
        <v>2.8593333333333335E-2</v>
      </c>
      <c r="P499" s="72">
        <f t="shared" si="8"/>
        <v>327047.89845813997</v>
      </c>
      <c r="Q499" s="49" t="str">
        <f>TEXT(Table1[[#This Row],[Closing Date]],"yyyy")</f>
        <v>2024</v>
      </c>
      <c r="R499" s="49" t="str">
        <f>TEXT(Table1[[#This Row],[Closing Date]],"mmmm")</f>
        <v>March</v>
      </c>
      <c r="S499" s="49" t="s">
        <v>368</v>
      </c>
      <c r="T499" s="49" t="s">
        <v>429</v>
      </c>
    </row>
    <row r="500" spans="1:20" x14ac:dyDescent="0.25">
      <c r="A500" t="s">
        <v>283</v>
      </c>
      <c r="B500" t="s">
        <v>431</v>
      </c>
      <c r="C500" t="s">
        <v>51</v>
      </c>
      <c r="D500" t="s">
        <v>36</v>
      </c>
      <c r="E500" s="49"/>
      <c r="F500" s="60">
        <v>45371</v>
      </c>
      <c r="G500" t="s">
        <v>395</v>
      </c>
      <c r="H500">
        <v>10</v>
      </c>
      <c r="I500" s="49">
        <v>2403603.7999999998</v>
      </c>
      <c r="K500" s="115">
        <v>2391875.2199999997</v>
      </c>
      <c r="L500" s="49">
        <v>96.144151999999991</v>
      </c>
      <c r="M500" s="49">
        <v>95.675008799999986</v>
      </c>
      <c r="N500" s="49">
        <v>11728.580000000075</v>
      </c>
      <c r="O500" s="47">
        <v>4.8795812354765272E-3</v>
      </c>
      <c r="P500" s="72">
        <f t="shared" si="8"/>
        <v>338776.47845814005</v>
      </c>
      <c r="Q500" s="49" t="str">
        <f>TEXT(Table1[[#This Row],[Closing Date]],"yyyy")</f>
        <v>2024</v>
      </c>
      <c r="R500" s="49" t="str">
        <f>TEXT(Table1[[#This Row],[Closing Date]],"mmmm")</f>
        <v>March</v>
      </c>
      <c r="S500" s="49" t="s">
        <v>368</v>
      </c>
      <c r="T500" s="49" t="s">
        <v>429</v>
      </c>
    </row>
    <row r="501" spans="1:20" x14ac:dyDescent="0.25">
      <c r="A501" t="s">
        <v>276</v>
      </c>
      <c r="B501" t="s">
        <v>430</v>
      </c>
      <c r="C501" t="s">
        <v>152</v>
      </c>
      <c r="D501" t="s">
        <v>38</v>
      </c>
      <c r="E501" s="49"/>
      <c r="F501" s="60">
        <v>45372</v>
      </c>
      <c r="G501" t="s">
        <v>379</v>
      </c>
      <c r="H501">
        <v>10</v>
      </c>
      <c r="I501" s="49">
        <v>7850</v>
      </c>
      <c r="J501" s="106">
        <v>100</v>
      </c>
      <c r="K501" s="115">
        <v>6295</v>
      </c>
      <c r="L501" s="49">
        <v>7.85</v>
      </c>
      <c r="M501" s="49">
        <v>12.59</v>
      </c>
      <c r="N501" s="49">
        <v>-1555</v>
      </c>
      <c r="O501" s="47">
        <v>0.6038216560509555</v>
      </c>
      <c r="P501" s="72">
        <f t="shared" si="8"/>
        <v>337221.47845814005</v>
      </c>
      <c r="Q501" s="49" t="str">
        <f>TEXT(Table1[[#This Row],[Closing Date]],"yyyy")</f>
        <v>2024</v>
      </c>
      <c r="R501" s="49" t="str">
        <f>TEXT(Table1[[#This Row],[Closing Date]],"mmmm")</f>
        <v>March</v>
      </c>
      <c r="S501" s="49" t="s">
        <v>368</v>
      </c>
      <c r="T501" s="49" t="s">
        <v>429</v>
      </c>
    </row>
    <row r="502" spans="1:20" x14ac:dyDescent="0.25">
      <c r="A502" t="s">
        <v>276</v>
      </c>
      <c r="B502" t="s">
        <v>430</v>
      </c>
      <c r="C502" t="s">
        <v>152</v>
      </c>
      <c r="D502" t="s">
        <v>38</v>
      </c>
      <c r="E502" s="49"/>
      <c r="F502" s="60">
        <v>45372</v>
      </c>
      <c r="G502" t="s">
        <v>392</v>
      </c>
      <c r="H502">
        <v>100</v>
      </c>
      <c r="I502" s="49">
        <v>9981.49</v>
      </c>
      <c r="J502" s="106">
        <v>100</v>
      </c>
      <c r="K502" s="115">
        <v>5954.99</v>
      </c>
      <c r="L502" s="49">
        <v>0.99814899999999995</v>
      </c>
      <c r="M502" s="49">
        <v>0.595499</v>
      </c>
      <c r="N502" s="49">
        <v>-4026.5</v>
      </c>
      <c r="O502" s="47">
        <v>-0.40339668726813327</v>
      </c>
      <c r="P502" s="72">
        <f t="shared" si="8"/>
        <v>333194.97845814005</v>
      </c>
      <c r="Q502" s="49" t="str">
        <f>TEXT(Table1[[#This Row],[Closing Date]],"yyyy")</f>
        <v>2024</v>
      </c>
      <c r="R502" s="49" t="str">
        <f>TEXT(Table1[[#This Row],[Closing Date]],"mmmm")</f>
        <v>March</v>
      </c>
      <c r="S502" s="49" t="s">
        <v>368</v>
      </c>
      <c r="T502" s="49" t="s">
        <v>429</v>
      </c>
    </row>
    <row r="503" spans="1:20" x14ac:dyDescent="0.25">
      <c r="A503" t="s">
        <v>276</v>
      </c>
      <c r="B503" t="s">
        <v>430</v>
      </c>
      <c r="C503" t="s">
        <v>152</v>
      </c>
      <c r="D503" t="s">
        <v>38</v>
      </c>
      <c r="E503" s="49"/>
      <c r="F503" s="60">
        <v>45372</v>
      </c>
      <c r="G503" t="s">
        <v>379</v>
      </c>
      <c r="H503">
        <v>10</v>
      </c>
      <c r="I503" s="49">
        <v>7850</v>
      </c>
      <c r="J503" s="106">
        <v>100</v>
      </c>
      <c r="K503" s="115">
        <v>6295</v>
      </c>
      <c r="L503" s="49">
        <v>7.85</v>
      </c>
      <c r="M503" s="49">
        <v>12.59</v>
      </c>
      <c r="N503" s="49">
        <v>-1555</v>
      </c>
      <c r="O503" s="47">
        <v>0.6038216560509555</v>
      </c>
      <c r="P503" s="72">
        <f t="shared" si="8"/>
        <v>331639.97845814005</v>
      </c>
      <c r="Q503" s="49" t="str">
        <f>TEXT(Table1[[#This Row],[Closing Date]],"yyyy")</f>
        <v>2024</v>
      </c>
      <c r="R503" s="49" t="str">
        <f>TEXT(Table1[[#This Row],[Closing Date]],"mmmm")</f>
        <v>March</v>
      </c>
      <c r="S503" s="49" t="s">
        <v>368</v>
      </c>
      <c r="T503" s="49" t="s">
        <v>429</v>
      </c>
    </row>
    <row r="504" spans="1:20" x14ac:dyDescent="0.25">
      <c r="A504" t="s">
        <v>283</v>
      </c>
      <c r="B504" t="s">
        <v>430</v>
      </c>
      <c r="C504" t="s">
        <v>51</v>
      </c>
      <c r="D504" t="s">
        <v>38</v>
      </c>
      <c r="E504" s="49"/>
      <c r="F504" s="60">
        <v>45372</v>
      </c>
      <c r="G504" t="s">
        <v>140</v>
      </c>
      <c r="H504">
        <v>3</v>
      </c>
      <c r="I504" s="49">
        <v>654304.93999999994</v>
      </c>
      <c r="K504" s="115">
        <v>651435.06000000006</v>
      </c>
      <c r="L504" s="49">
        <v>2177.7247000000002</v>
      </c>
      <c r="M504" s="49">
        <v>13028.701200000001</v>
      </c>
      <c r="N504" s="49">
        <v>-2869.8799999998882</v>
      </c>
      <c r="O504" s="47">
        <v>-4.3861505921075402E-3</v>
      </c>
      <c r="P504" s="72">
        <f t="shared" si="8"/>
        <v>328770.09845814016</v>
      </c>
      <c r="Q504" s="49" t="str">
        <f>TEXT(Table1[[#This Row],[Closing Date]],"yyyy")</f>
        <v>2024</v>
      </c>
      <c r="R504" s="49" t="str">
        <f>TEXT(Table1[[#This Row],[Closing Date]],"mmmm")</f>
        <v>March</v>
      </c>
      <c r="S504" s="49" t="s">
        <v>368</v>
      </c>
      <c r="T504" s="49" t="s">
        <v>429</v>
      </c>
    </row>
    <row r="505" spans="1:20" x14ac:dyDescent="0.25">
      <c r="A505" t="s">
        <v>276</v>
      </c>
      <c r="B505" t="s">
        <v>431</v>
      </c>
      <c r="C505" t="s">
        <v>152</v>
      </c>
      <c r="D505" t="s">
        <v>38</v>
      </c>
      <c r="E505" s="49"/>
      <c r="F505" s="60">
        <v>45373</v>
      </c>
      <c r="G505" t="s">
        <v>215</v>
      </c>
      <c r="H505">
        <v>20</v>
      </c>
      <c r="I505" s="49">
        <v>4948.9399999999996</v>
      </c>
      <c r="J505" s="106">
        <v>100</v>
      </c>
      <c r="K505" s="115">
        <v>3562.98</v>
      </c>
      <c r="L505" s="49">
        <v>2.4744699999999997</v>
      </c>
      <c r="M505" s="49">
        <v>1.78149</v>
      </c>
      <c r="N505" s="49">
        <v>-1385.9599999999996</v>
      </c>
      <c r="O505" s="47">
        <v>-0.28005188989965518</v>
      </c>
      <c r="P505" s="72">
        <f t="shared" si="8"/>
        <v>327384.13845814014</v>
      </c>
      <c r="Q505" s="49" t="str">
        <f>TEXT(Table1[[#This Row],[Closing Date]],"yyyy")</f>
        <v>2024</v>
      </c>
      <c r="R505" s="49" t="str">
        <f>TEXT(Table1[[#This Row],[Closing Date]],"mmmm")</f>
        <v>March</v>
      </c>
      <c r="S505" s="49" t="s">
        <v>368</v>
      </c>
      <c r="T505" s="49" t="s">
        <v>429</v>
      </c>
    </row>
    <row r="506" spans="1:20" x14ac:dyDescent="0.25">
      <c r="A506" t="s">
        <v>276</v>
      </c>
      <c r="B506" t="s">
        <v>431</v>
      </c>
      <c r="C506" t="s">
        <v>152</v>
      </c>
      <c r="D506" t="s">
        <v>38</v>
      </c>
      <c r="E506" s="49"/>
      <c r="F506" s="60">
        <v>45373</v>
      </c>
      <c r="G506" t="s">
        <v>215</v>
      </c>
      <c r="H506">
        <v>18</v>
      </c>
      <c r="I506" s="49">
        <v>2978.04</v>
      </c>
      <c r="J506" s="106">
        <v>100</v>
      </c>
      <c r="K506" s="115">
        <v>11537.32</v>
      </c>
      <c r="L506" s="49">
        <v>1.6544666666666665</v>
      </c>
      <c r="M506" s="49">
        <v>6.4096222222222217</v>
      </c>
      <c r="N506" s="49">
        <v>8559.2799999999988</v>
      </c>
      <c r="O506" s="47">
        <v>2.8741319794227076</v>
      </c>
      <c r="P506" s="72">
        <f t="shared" si="8"/>
        <v>335943.41845814011</v>
      </c>
      <c r="Q506" s="49" t="str">
        <f>TEXT(Table1[[#This Row],[Closing Date]],"yyyy")</f>
        <v>2024</v>
      </c>
      <c r="R506" s="49" t="str">
        <f>TEXT(Table1[[#This Row],[Closing Date]],"mmmm")</f>
        <v>March</v>
      </c>
      <c r="S506" s="49" t="s">
        <v>368</v>
      </c>
      <c r="T506" s="49" t="s">
        <v>429</v>
      </c>
    </row>
    <row r="507" spans="1:20" x14ac:dyDescent="0.25">
      <c r="A507" t="s">
        <v>283</v>
      </c>
      <c r="B507" t="s">
        <v>433</v>
      </c>
      <c r="C507" t="s">
        <v>70</v>
      </c>
      <c r="D507" t="s">
        <v>38</v>
      </c>
      <c r="E507" s="49"/>
      <c r="F507" s="60">
        <v>45375</v>
      </c>
      <c r="G507" t="s">
        <v>189</v>
      </c>
      <c r="H507">
        <v>10000</v>
      </c>
      <c r="I507" s="49">
        <v>73446.490000000005</v>
      </c>
      <c r="K507" s="115">
        <v>62825.04</v>
      </c>
      <c r="L507" s="49">
        <v>7.3446490000000004</v>
      </c>
      <c r="M507" s="49">
        <v>6.2825040000000003</v>
      </c>
      <c r="N507" s="49">
        <v>-10621.450000000004</v>
      </c>
      <c r="O507" s="47">
        <v>-0.14461480732435278</v>
      </c>
      <c r="P507" s="72">
        <f t="shared" si="8"/>
        <v>325321.96845814009</v>
      </c>
      <c r="Q507" s="49" t="str">
        <f>TEXT(Table1[[#This Row],[Closing Date]],"yyyy")</f>
        <v>2024</v>
      </c>
      <c r="R507" s="49" t="str">
        <f>TEXT(Table1[[#This Row],[Closing Date]],"mmmm")</f>
        <v>March</v>
      </c>
      <c r="S507" s="49" t="s">
        <v>368</v>
      </c>
      <c r="T507" s="49" t="s">
        <v>429</v>
      </c>
    </row>
    <row r="508" spans="1:20" x14ac:dyDescent="0.25">
      <c r="A508" t="s">
        <v>283</v>
      </c>
      <c r="B508" t="s">
        <v>430</v>
      </c>
      <c r="C508" t="s">
        <v>56</v>
      </c>
      <c r="D508" t="s">
        <v>38</v>
      </c>
      <c r="E508" s="49"/>
      <c r="F508" s="60">
        <v>45376</v>
      </c>
      <c r="G508" t="s">
        <v>201</v>
      </c>
      <c r="H508">
        <v>1000</v>
      </c>
      <c r="I508" s="49">
        <v>114025</v>
      </c>
      <c r="K508" s="115">
        <v>113040.49</v>
      </c>
      <c r="L508" s="49">
        <v>114.02500000000001</v>
      </c>
      <c r="M508" s="49">
        <v>113.04049000000001</v>
      </c>
      <c r="N508" s="49">
        <v>-984.50999999999476</v>
      </c>
      <c r="O508" s="47">
        <v>-8.6341591756193357E-3</v>
      </c>
      <c r="P508" s="72">
        <f t="shared" si="8"/>
        <v>324337.45845814008</v>
      </c>
      <c r="Q508" s="49" t="str">
        <f>TEXT(Table1[[#This Row],[Closing Date]],"yyyy")</f>
        <v>2024</v>
      </c>
      <c r="R508" s="49" t="str">
        <f>TEXT(Table1[[#This Row],[Closing Date]],"mmmm")</f>
        <v>March</v>
      </c>
      <c r="S508" s="49" t="s">
        <v>368</v>
      </c>
      <c r="T508" s="49" t="s">
        <v>429</v>
      </c>
    </row>
    <row r="509" spans="1:20" x14ac:dyDescent="0.25">
      <c r="A509" t="s">
        <v>276</v>
      </c>
      <c r="B509" t="s">
        <v>431</v>
      </c>
      <c r="C509" t="s">
        <v>152</v>
      </c>
      <c r="D509" t="s">
        <v>38</v>
      </c>
      <c r="E509" s="49"/>
      <c r="F509" s="60">
        <v>45376</v>
      </c>
      <c r="G509" t="s">
        <v>337</v>
      </c>
      <c r="H509">
        <v>5</v>
      </c>
      <c r="I509" s="49">
        <v>4928.43</v>
      </c>
      <c r="J509" s="106">
        <v>100</v>
      </c>
      <c r="K509" s="115">
        <v>0</v>
      </c>
      <c r="L509" s="49">
        <v>9.8568600000000011</v>
      </c>
      <c r="M509" s="49">
        <v>0</v>
      </c>
      <c r="N509" s="49">
        <v>-4928.43</v>
      </c>
      <c r="O509" s="47">
        <v>-1</v>
      </c>
      <c r="P509" s="72">
        <f t="shared" si="8"/>
        <v>319409.02845814009</v>
      </c>
      <c r="Q509" s="49" t="str">
        <f>TEXT(Table1[[#This Row],[Closing Date]],"yyyy")</f>
        <v>2024</v>
      </c>
      <c r="R509" s="49" t="str">
        <f>TEXT(Table1[[#This Row],[Closing Date]],"mmmm")</f>
        <v>March</v>
      </c>
      <c r="S509" s="49" t="s">
        <v>368</v>
      </c>
      <c r="T509" s="49" t="s">
        <v>429</v>
      </c>
    </row>
    <row r="510" spans="1:20" x14ac:dyDescent="0.25">
      <c r="A510" t="s">
        <v>276</v>
      </c>
      <c r="B510" t="s">
        <v>433</v>
      </c>
      <c r="C510" t="s">
        <v>149</v>
      </c>
      <c r="D510" t="s">
        <v>38</v>
      </c>
      <c r="E510" s="90">
        <v>45328</v>
      </c>
      <c r="F510" s="60">
        <v>45376</v>
      </c>
      <c r="G510" t="s">
        <v>427</v>
      </c>
      <c r="H510">
        <v>310</v>
      </c>
      <c r="I510" s="49">
        <v>29980</v>
      </c>
      <c r="J510" s="106">
        <v>100</v>
      </c>
      <c r="K510" s="115">
        <v>0</v>
      </c>
      <c r="L510" s="49">
        <f>Table1[[#This Row],[Open Value]]/Table1[[#This Row],[Shares]]/Table1[[#This Row],[Multiplier]]</f>
        <v>0.96709677419354834</v>
      </c>
      <c r="M510" s="49">
        <f>Table1[[#This Row],[Close Value]]/Table1[[#This Row],[Shares]]/Table1[[#This Row],[Multiplier]]</f>
        <v>0</v>
      </c>
      <c r="N510" s="49">
        <f>Table1[[#This Row],[Close Value]]-Table1[[#This Row],[Open Value]]</f>
        <v>-29980</v>
      </c>
      <c r="O510" s="47">
        <f>Table1[[#This Row],[PnL]]/Table1[[#This Row],[Open Value]]</f>
        <v>-1</v>
      </c>
      <c r="P510" s="72">
        <f t="shared" si="8"/>
        <v>289429.02845814009</v>
      </c>
      <c r="Q510" s="49" t="str">
        <f>TEXT(Table1[[#This Row],[Closing Date]],"yyyy")</f>
        <v>2024</v>
      </c>
      <c r="R510" s="49" t="str">
        <f>TEXT(Table1[[#This Row],[Closing Date]],"mmmm")</f>
        <v>March</v>
      </c>
      <c r="S510" s="49" t="s">
        <v>368</v>
      </c>
      <c r="T510" s="49" t="s">
        <v>285</v>
      </c>
    </row>
    <row r="511" spans="1:20" x14ac:dyDescent="0.25">
      <c r="A511" t="s">
        <v>276</v>
      </c>
      <c r="B511" t="s">
        <v>434</v>
      </c>
      <c r="C511" t="s">
        <v>149</v>
      </c>
      <c r="D511" t="s">
        <v>38</v>
      </c>
      <c r="E511" s="90">
        <v>45328</v>
      </c>
      <c r="F511" s="60">
        <v>45376</v>
      </c>
      <c r="G511" t="s">
        <v>427</v>
      </c>
      <c r="H511">
        <v>310</v>
      </c>
      <c r="I511" s="49">
        <v>19990</v>
      </c>
      <c r="J511" s="106">
        <v>100</v>
      </c>
      <c r="K511" s="115">
        <v>0</v>
      </c>
      <c r="L511" s="49">
        <f>Table1[[#This Row],[Open Value]]/Table1[[#This Row],[Shares]]/Table1[[#This Row],[Multiplier]]</f>
        <v>0.64483870967741941</v>
      </c>
      <c r="M511" s="49">
        <f>Table1[[#This Row],[Close Value]]/Table1[[#This Row],[Shares]]/Table1[[#This Row],[Multiplier]]</f>
        <v>0</v>
      </c>
      <c r="N511" s="49">
        <f>Table1[[#This Row],[Close Value]]-Table1[[#This Row],[Open Value]]</f>
        <v>-19990</v>
      </c>
      <c r="O511" s="47">
        <f>Table1[[#This Row],[PnL]]/Table1[[#This Row],[Open Value]]</f>
        <v>-1</v>
      </c>
      <c r="P511" s="72">
        <f t="shared" si="8"/>
        <v>269439.02845814009</v>
      </c>
      <c r="Q511" s="49" t="str">
        <f>TEXT(Table1[[#This Row],[Closing Date]],"yyyy")</f>
        <v>2024</v>
      </c>
      <c r="R511" s="49" t="str">
        <f>TEXT(Table1[[#This Row],[Closing Date]],"mmmm")</f>
        <v>March</v>
      </c>
      <c r="S511" s="49" t="s">
        <v>368</v>
      </c>
      <c r="T511" s="49" t="s">
        <v>285</v>
      </c>
    </row>
    <row r="512" spans="1:20" x14ac:dyDescent="0.25">
      <c r="A512" t="s">
        <v>283</v>
      </c>
      <c r="B512" t="s">
        <v>431</v>
      </c>
      <c r="C512" t="s">
        <v>56</v>
      </c>
      <c r="D512" t="s">
        <v>38</v>
      </c>
      <c r="E512" s="49"/>
      <c r="F512" s="60">
        <v>45377</v>
      </c>
      <c r="G512" t="s">
        <v>50</v>
      </c>
      <c r="H512">
        <v>230</v>
      </c>
      <c r="I512" s="49">
        <v>205463.6</v>
      </c>
      <c r="K512" s="115">
        <v>208303.55</v>
      </c>
      <c r="L512" s="49">
        <v>893.32</v>
      </c>
      <c r="M512" s="49">
        <v>905.66760869565212</v>
      </c>
      <c r="N512" s="49">
        <v>2839.9499999999825</v>
      </c>
      <c r="O512" s="47">
        <v>1.3822156333287173E-2</v>
      </c>
      <c r="P512" s="72">
        <f t="shared" si="8"/>
        <v>272278.97845814005</v>
      </c>
      <c r="Q512" s="49" t="str">
        <f>TEXT(Table1[[#This Row],[Closing Date]],"yyyy")</f>
        <v>2024</v>
      </c>
      <c r="R512" s="49" t="str">
        <f>TEXT(Table1[[#This Row],[Closing Date]],"mmmm")</f>
        <v>March</v>
      </c>
      <c r="S512" s="49" t="s">
        <v>368</v>
      </c>
      <c r="T512" s="49" t="s">
        <v>429</v>
      </c>
    </row>
    <row r="513" spans="1:20" x14ac:dyDescent="0.25">
      <c r="A513" t="s">
        <v>283</v>
      </c>
      <c r="B513" t="s">
        <v>431</v>
      </c>
      <c r="C513" t="s">
        <v>56</v>
      </c>
      <c r="D513" t="s">
        <v>38</v>
      </c>
      <c r="E513" s="49"/>
      <c r="F513" s="60">
        <v>45378</v>
      </c>
      <c r="G513" t="s">
        <v>215</v>
      </c>
      <c r="H513">
        <v>3300</v>
      </c>
      <c r="I513" s="49">
        <v>155139.6</v>
      </c>
      <c r="K513" s="115">
        <v>146539.98000000001</v>
      </c>
      <c r="L513" s="49">
        <v>47.012</v>
      </c>
      <c r="M513" s="49">
        <v>44.406054545454552</v>
      </c>
      <c r="N513" s="49">
        <v>-8599.6199999999953</v>
      </c>
      <c r="O513" s="47">
        <v>-5.5431495246861501E-2</v>
      </c>
      <c r="P513" s="72">
        <f t="shared" si="8"/>
        <v>263679.35845814005</v>
      </c>
      <c r="Q513" s="49" t="str">
        <f>TEXT(Table1[[#This Row],[Closing Date]],"yyyy")</f>
        <v>2024</v>
      </c>
      <c r="R513" s="49" t="str">
        <f>TEXT(Table1[[#This Row],[Closing Date]],"mmmm")</f>
        <v>March</v>
      </c>
      <c r="S513" s="49" t="s">
        <v>368</v>
      </c>
      <c r="T513" s="49" t="s">
        <v>429</v>
      </c>
    </row>
    <row r="514" spans="1:20" x14ac:dyDescent="0.25">
      <c r="A514" t="s">
        <v>283</v>
      </c>
      <c r="B514" t="s">
        <v>433</v>
      </c>
      <c r="C514" t="s">
        <v>56</v>
      </c>
      <c r="D514" t="s">
        <v>38</v>
      </c>
      <c r="E514" s="49"/>
      <c r="F514" s="60">
        <v>45379</v>
      </c>
      <c r="G514" t="s">
        <v>208</v>
      </c>
      <c r="H514">
        <v>2500</v>
      </c>
      <c r="I514" s="49">
        <v>161975</v>
      </c>
      <c r="K514" s="115">
        <v>177295.45</v>
      </c>
      <c r="L514" s="49">
        <v>64.790000000000006</v>
      </c>
      <c r="M514" s="49">
        <v>70.918180000000007</v>
      </c>
      <c r="N514" s="49">
        <v>15320.450000000012</v>
      </c>
      <c r="O514" s="47">
        <v>9.4585275505479308E-2</v>
      </c>
      <c r="P514" s="72">
        <f t="shared" si="8"/>
        <v>278999.80845814006</v>
      </c>
      <c r="Q514" s="49" t="str">
        <f>TEXT(Table1[[#This Row],[Closing Date]],"yyyy")</f>
        <v>2024</v>
      </c>
      <c r="R514" s="49" t="str">
        <f>TEXT(Table1[[#This Row],[Closing Date]],"mmmm")</f>
        <v>March</v>
      </c>
      <c r="S514" s="49" t="s">
        <v>368</v>
      </c>
      <c r="T514" s="49" t="s">
        <v>429</v>
      </c>
    </row>
    <row r="515" spans="1:20" x14ac:dyDescent="0.25">
      <c r="A515" t="s">
        <v>283</v>
      </c>
      <c r="B515" t="s">
        <v>431</v>
      </c>
      <c r="C515" t="s">
        <v>56</v>
      </c>
      <c r="D515" t="s">
        <v>38</v>
      </c>
      <c r="E515" s="49"/>
      <c r="F515" s="60">
        <v>45379</v>
      </c>
      <c r="G515" t="s">
        <v>288</v>
      </c>
      <c r="H515">
        <v>900</v>
      </c>
      <c r="I515" s="49">
        <v>160677.56</v>
      </c>
      <c r="K515" s="115">
        <v>162144</v>
      </c>
      <c r="L515" s="49">
        <v>178.53062222222221</v>
      </c>
      <c r="M515" s="49">
        <v>180.16</v>
      </c>
      <c r="N515" s="49">
        <v>1466.4400000000023</v>
      </c>
      <c r="O515" s="47">
        <v>9.1266011258821847E-3</v>
      </c>
      <c r="P515" s="72">
        <f t="shared" si="8"/>
        <v>280466.24845814006</v>
      </c>
      <c r="Q515" s="49" t="str">
        <f>TEXT(Table1[[#This Row],[Closing Date]],"yyyy")</f>
        <v>2024</v>
      </c>
      <c r="R515" s="49" t="str">
        <f>TEXT(Table1[[#This Row],[Closing Date]],"mmmm")</f>
        <v>March</v>
      </c>
      <c r="S515" s="49" t="s">
        <v>368</v>
      </c>
      <c r="T515" s="49" t="s">
        <v>429</v>
      </c>
    </row>
    <row r="516" spans="1:20" x14ac:dyDescent="0.25">
      <c r="A516" t="s">
        <v>283</v>
      </c>
      <c r="B516" t="s">
        <v>431</v>
      </c>
      <c r="C516" t="s">
        <v>56</v>
      </c>
      <c r="D516" t="s">
        <v>38</v>
      </c>
      <c r="E516" s="49"/>
      <c r="F516" s="60">
        <v>45379</v>
      </c>
      <c r="G516" t="s">
        <v>219</v>
      </c>
      <c r="H516">
        <v>1400</v>
      </c>
      <c r="I516" s="49">
        <v>90129.5</v>
      </c>
      <c r="K516" s="115">
        <v>86282.62</v>
      </c>
      <c r="L516" s="49">
        <v>64.378214285714279</v>
      </c>
      <c r="M516" s="49">
        <v>61.630442857142853</v>
      </c>
      <c r="N516" s="49">
        <v>-3846.8800000000047</v>
      </c>
      <c r="O516" s="47">
        <v>-4.2681696891694779E-2</v>
      </c>
      <c r="P516" s="72">
        <f t="shared" si="8"/>
        <v>276619.36845814006</v>
      </c>
      <c r="Q516" s="49" t="str">
        <f>TEXT(Table1[[#This Row],[Closing Date]],"yyyy")</f>
        <v>2024</v>
      </c>
      <c r="R516" s="49" t="str">
        <f>TEXT(Table1[[#This Row],[Closing Date]],"mmmm")</f>
        <v>March</v>
      </c>
      <c r="S516" s="49" t="s">
        <v>368</v>
      </c>
      <c r="T516" s="49" t="s">
        <v>429</v>
      </c>
    </row>
    <row r="517" spans="1:20" x14ac:dyDescent="0.25">
      <c r="A517" t="s">
        <v>283</v>
      </c>
      <c r="B517" t="s">
        <v>434</v>
      </c>
      <c r="C517" t="s">
        <v>56</v>
      </c>
      <c r="D517" t="s">
        <v>38</v>
      </c>
      <c r="E517" s="49"/>
      <c r="F517" s="60">
        <v>45383</v>
      </c>
      <c r="G517" t="s">
        <v>379</v>
      </c>
      <c r="H517">
        <v>500</v>
      </c>
      <c r="I517" s="49">
        <v>386250</v>
      </c>
      <c r="K517" s="115">
        <v>378425</v>
      </c>
      <c r="L517" s="49">
        <v>772.5</v>
      </c>
      <c r="M517" s="49">
        <v>756.85</v>
      </c>
      <c r="N517" s="49">
        <v>-7825</v>
      </c>
      <c r="O517" s="47">
        <v>-2.0258899676375404E-2</v>
      </c>
      <c r="P517" s="72">
        <f t="shared" si="8"/>
        <v>268794.36845814006</v>
      </c>
      <c r="Q517" s="49" t="str">
        <f>TEXT(Table1[[#This Row],[Closing Date]],"yyyy")</f>
        <v>2024</v>
      </c>
      <c r="R517" s="49" t="str">
        <f>TEXT(Table1[[#This Row],[Closing Date]],"mmmm")</f>
        <v>April</v>
      </c>
      <c r="S517" s="49" t="s">
        <v>368</v>
      </c>
      <c r="T517" s="49" t="s">
        <v>429</v>
      </c>
    </row>
    <row r="518" spans="1:20" x14ac:dyDescent="0.25">
      <c r="A518" t="s">
        <v>283</v>
      </c>
      <c r="B518" t="s">
        <v>434</v>
      </c>
      <c r="C518" t="s">
        <v>51</v>
      </c>
      <c r="D518" t="s">
        <v>36</v>
      </c>
      <c r="E518" s="49"/>
      <c r="F518" s="60">
        <v>45383</v>
      </c>
      <c r="G518" t="s">
        <v>129</v>
      </c>
      <c r="H518">
        <v>1</v>
      </c>
      <c r="I518" s="49">
        <v>94827.03</v>
      </c>
      <c r="K518" s="115">
        <v>100832.97</v>
      </c>
      <c r="L518" s="49">
        <v>9482.7029999999995</v>
      </c>
      <c r="M518" s="49">
        <v>100.83297</v>
      </c>
      <c r="N518" s="49">
        <v>-6005.9400000000023</v>
      </c>
      <c r="O518" s="47">
        <v>-6.3335738765624136E-2</v>
      </c>
      <c r="P518" s="72">
        <f t="shared" si="8"/>
        <v>262788.42845814006</v>
      </c>
      <c r="Q518" s="49" t="str">
        <f>TEXT(Table1[[#This Row],[Closing Date]],"yyyy")</f>
        <v>2024</v>
      </c>
      <c r="R518" s="49" t="str">
        <f>TEXT(Table1[[#This Row],[Closing Date]],"mmmm")</f>
        <v>April</v>
      </c>
      <c r="S518" s="49" t="s">
        <v>368</v>
      </c>
      <c r="T518" s="49" t="s">
        <v>429</v>
      </c>
    </row>
    <row r="519" spans="1:20" x14ac:dyDescent="0.25">
      <c r="A519" t="s">
        <v>283</v>
      </c>
      <c r="B519" t="s">
        <v>433</v>
      </c>
      <c r="C519" t="s">
        <v>56</v>
      </c>
      <c r="D519" t="s">
        <v>38</v>
      </c>
      <c r="E519" s="90">
        <v>45355</v>
      </c>
      <c r="F519" s="60">
        <v>45383</v>
      </c>
      <c r="G519" t="s">
        <v>222</v>
      </c>
      <c r="H519">
        <v>1500</v>
      </c>
      <c r="I519" s="49">
        <f>81884.44+42950</f>
        <v>124834.44</v>
      </c>
      <c r="J519" s="106">
        <v>1</v>
      </c>
      <c r="K519" s="115">
        <v>122871.07</v>
      </c>
      <c r="L519" s="49">
        <f>Table1[[#This Row],[Open Value]]/Table1[[#This Row],[Shares]]/Table1[[#This Row],[Multiplier]]</f>
        <v>83.22296</v>
      </c>
      <c r="M519" s="49">
        <f>Table1[[#This Row],[Close Value]]/Table1[[#This Row],[Shares]]/Table1[[#This Row],[Multiplier]]</f>
        <v>81.914046666666678</v>
      </c>
      <c r="N519" s="49">
        <f>Table1[[#This Row],[Close Value]]-Table1[[#This Row],[Open Value]]</f>
        <v>-1963.3699999999953</v>
      </c>
      <c r="O519" s="47">
        <f>Table1[[#This Row],[PnL]]/Table1[[#This Row],[Open Value]]</f>
        <v>-1.5727791144815449E-2</v>
      </c>
      <c r="P519" s="72">
        <f t="shared" si="8"/>
        <v>260825.05845814006</v>
      </c>
      <c r="Q519" s="49" t="str">
        <f>TEXT(Table1[[#This Row],[Closing Date]],"yyyy")</f>
        <v>2024</v>
      </c>
      <c r="R519" s="49" t="str">
        <f>TEXT(Table1[[#This Row],[Closing Date]],"mmmm")</f>
        <v>April</v>
      </c>
      <c r="S519" s="49" t="s">
        <v>368</v>
      </c>
      <c r="T519" s="49" t="s">
        <v>285</v>
      </c>
    </row>
    <row r="520" spans="1:20" x14ac:dyDescent="0.25">
      <c r="A520" t="s">
        <v>283</v>
      </c>
      <c r="B520" t="s">
        <v>430</v>
      </c>
      <c r="C520" t="s">
        <v>56</v>
      </c>
      <c r="D520" t="s">
        <v>38</v>
      </c>
      <c r="E520" s="49"/>
      <c r="F520" s="60">
        <v>45384</v>
      </c>
      <c r="G520" t="s">
        <v>228</v>
      </c>
      <c r="H520">
        <v>3000</v>
      </c>
      <c r="I520" s="49">
        <v>110298</v>
      </c>
      <c r="K520" s="115">
        <v>104306.42</v>
      </c>
      <c r="L520" s="49">
        <v>36.765999999999998</v>
      </c>
      <c r="M520" s="49">
        <v>34.768806666666663</v>
      </c>
      <c r="N520" s="49">
        <v>-5991.5800000000017</v>
      </c>
      <c r="O520" s="47">
        <v>-5.4321746541188431E-2</v>
      </c>
      <c r="P520" s="72">
        <f t="shared" si="8"/>
        <v>254833.47845814005</v>
      </c>
      <c r="Q520" s="49" t="str">
        <f>TEXT(Table1[[#This Row],[Closing Date]],"yyyy")</f>
        <v>2024</v>
      </c>
      <c r="R520" s="49" t="str">
        <f>TEXT(Table1[[#This Row],[Closing Date]],"mmmm")</f>
        <v>April</v>
      </c>
      <c r="S520" s="49" t="s">
        <v>368</v>
      </c>
      <c r="T520" s="49" t="s">
        <v>429</v>
      </c>
    </row>
    <row r="521" spans="1:20" x14ac:dyDescent="0.25">
      <c r="A521" t="s">
        <v>283</v>
      </c>
      <c r="B521" t="s">
        <v>430</v>
      </c>
      <c r="C521" t="s">
        <v>56</v>
      </c>
      <c r="D521" t="s">
        <v>38</v>
      </c>
      <c r="E521" s="49"/>
      <c r="F521" s="60">
        <v>45384</v>
      </c>
      <c r="G521" t="s">
        <v>380</v>
      </c>
      <c r="H521">
        <v>1000</v>
      </c>
      <c r="I521" s="49">
        <v>150505</v>
      </c>
      <c r="K521" s="115">
        <v>146229.01999999999</v>
      </c>
      <c r="L521" s="49">
        <v>150.505</v>
      </c>
      <c r="M521" s="49">
        <v>146.22901999999999</v>
      </c>
      <c r="N521" s="49">
        <v>-4275.9800000000105</v>
      </c>
      <c r="O521" s="47">
        <v>-2.8410883359356903E-2</v>
      </c>
      <c r="P521" s="72">
        <f t="shared" si="8"/>
        <v>250557.49845814003</v>
      </c>
      <c r="Q521" s="49" t="str">
        <f>TEXT(Table1[[#This Row],[Closing Date]],"yyyy")</f>
        <v>2024</v>
      </c>
      <c r="R521" s="49" t="str">
        <f>TEXT(Table1[[#This Row],[Closing Date]],"mmmm")</f>
        <v>April</v>
      </c>
      <c r="S521" s="49" t="s">
        <v>368</v>
      </c>
      <c r="T521" s="49" t="s">
        <v>429</v>
      </c>
    </row>
    <row r="522" spans="1:20" x14ac:dyDescent="0.25">
      <c r="A522" t="s">
        <v>283</v>
      </c>
      <c r="B522" t="s">
        <v>434</v>
      </c>
      <c r="C522" t="s">
        <v>56</v>
      </c>
      <c r="D522" t="s">
        <v>38</v>
      </c>
      <c r="E522" s="49"/>
      <c r="F522" s="60">
        <v>45384</v>
      </c>
      <c r="G522" t="s">
        <v>383</v>
      </c>
      <c r="H522">
        <v>380</v>
      </c>
      <c r="I522" s="49">
        <v>121628.5</v>
      </c>
      <c r="K522" s="115">
        <v>117219.5</v>
      </c>
      <c r="L522" s="49">
        <v>320.07499999999999</v>
      </c>
      <c r="M522" s="49">
        <v>308.47236842105264</v>
      </c>
      <c r="N522" s="49">
        <v>-4409</v>
      </c>
      <c r="O522" s="47">
        <v>-3.6249727654291554E-2</v>
      </c>
      <c r="P522" s="72">
        <f t="shared" si="8"/>
        <v>246148.49845814003</v>
      </c>
      <c r="Q522" s="49" t="str">
        <f>TEXT(Table1[[#This Row],[Closing Date]],"yyyy")</f>
        <v>2024</v>
      </c>
      <c r="R522" s="49" t="str">
        <f>TEXT(Table1[[#This Row],[Closing Date]],"mmmm")</f>
        <v>April</v>
      </c>
      <c r="S522" s="49" t="s">
        <v>368</v>
      </c>
      <c r="T522" s="49" t="s">
        <v>429</v>
      </c>
    </row>
    <row r="523" spans="1:20" x14ac:dyDescent="0.25">
      <c r="A523" t="s">
        <v>283</v>
      </c>
      <c r="B523" t="s">
        <v>430</v>
      </c>
      <c r="C523" t="s">
        <v>56</v>
      </c>
      <c r="D523" t="s">
        <v>38</v>
      </c>
      <c r="E523" s="49"/>
      <c r="F523" s="60">
        <v>45384</v>
      </c>
      <c r="G523" t="s">
        <v>385</v>
      </c>
      <c r="H523">
        <v>700</v>
      </c>
      <c r="I523" s="49">
        <v>133636.15</v>
      </c>
      <c r="K523" s="115">
        <v>129639.15</v>
      </c>
      <c r="L523" s="49">
        <v>190.9087857142857</v>
      </c>
      <c r="M523" s="49">
        <v>185.19878571428572</v>
      </c>
      <c r="N523" s="49">
        <v>-3997</v>
      </c>
      <c r="O523" s="47">
        <v>-2.9909571624145113E-2</v>
      </c>
      <c r="P523" s="72">
        <f t="shared" si="8"/>
        <v>242151.49845814003</v>
      </c>
      <c r="Q523" s="49" t="str">
        <f>TEXT(Table1[[#This Row],[Closing Date]],"yyyy")</f>
        <v>2024</v>
      </c>
      <c r="R523" s="49" t="str">
        <f>TEXT(Table1[[#This Row],[Closing Date]],"mmmm")</f>
        <v>April</v>
      </c>
      <c r="S523" s="49" t="s">
        <v>368</v>
      </c>
      <c r="T523" s="49" t="s">
        <v>429</v>
      </c>
    </row>
    <row r="524" spans="1:20" x14ac:dyDescent="0.25">
      <c r="A524" t="s">
        <v>283</v>
      </c>
      <c r="B524" t="s">
        <v>434</v>
      </c>
      <c r="C524" t="s">
        <v>51</v>
      </c>
      <c r="D524" t="s">
        <v>38</v>
      </c>
      <c r="E524" s="49"/>
      <c r="F524" s="60">
        <v>45384</v>
      </c>
      <c r="G524" t="s">
        <v>134</v>
      </c>
      <c r="H524">
        <v>170</v>
      </c>
      <c r="I524" s="49">
        <v>737139</v>
      </c>
      <c r="K524" s="115">
        <v>789597.3</v>
      </c>
      <c r="L524" s="49">
        <v>4.3343999999999996</v>
      </c>
      <c r="M524" s="49">
        <v>4.6446899999999998</v>
      </c>
      <c r="N524" s="49">
        <v>52458.300000000047</v>
      </c>
      <c r="O524" s="47">
        <v>7.1164732838718409E-2</v>
      </c>
      <c r="P524" s="72">
        <f t="shared" si="8"/>
        <v>294609.79845814011</v>
      </c>
      <c r="Q524" s="49" t="str">
        <f>TEXT(Table1[[#This Row],[Closing Date]],"yyyy")</f>
        <v>2024</v>
      </c>
      <c r="R524" s="49" t="str">
        <f>TEXT(Table1[[#This Row],[Closing Date]],"mmmm")</f>
        <v>April</v>
      </c>
      <c r="S524" s="49" t="s">
        <v>368</v>
      </c>
      <c r="T524" s="49" t="s">
        <v>429</v>
      </c>
    </row>
    <row r="525" spans="1:20" x14ac:dyDescent="0.25">
      <c r="A525" t="s">
        <v>283</v>
      </c>
      <c r="B525" t="s">
        <v>434</v>
      </c>
      <c r="C525" t="s">
        <v>56</v>
      </c>
      <c r="D525" t="s">
        <v>38</v>
      </c>
      <c r="E525" s="49"/>
      <c r="F525" s="60">
        <v>45386</v>
      </c>
      <c r="G525" t="s">
        <v>201</v>
      </c>
      <c r="H525">
        <v>3100</v>
      </c>
      <c r="I525" s="49">
        <v>356050.5</v>
      </c>
      <c r="K525" s="115">
        <v>398756.8</v>
      </c>
      <c r="L525" s="49">
        <v>114.855</v>
      </c>
      <c r="M525" s="49">
        <v>128.6312258064516</v>
      </c>
      <c r="N525" s="49">
        <v>42706.299999999988</v>
      </c>
      <c r="O525" s="47">
        <v>0.11994450225459588</v>
      </c>
      <c r="P525" s="72">
        <f t="shared" si="8"/>
        <v>337316.0984581401</v>
      </c>
      <c r="Q525" s="49" t="str">
        <f>TEXT(Table1[[#This Row],[Closing Date]],"yyyy")</f>
        <v>2024</v>
      </c>
      <c r="R525" s="49" t="str">
        <f>TEXT(Table1[[#This Row],[Closing Date]],"mmmm")</f>
        <v>April</v>
      </c>
      <c r="S525" s="49" t="s">
        <v>368</v>
      </c>
      <c r="T525" s="49" t="s">
        <v>429</v>
      </c>
    </row>
    <row r="526" spans="1:20" x14ac:dyDescent="0.25">
      <c r="A526" t="s">
        <v>283</v>
      </c>
      <c r="B526" t="s">
        <v>431</v>
      </c>
      <c r="C526" t="s">
        <v>56</v>
      </c>
      <c r="D526" t="s">
        <v>38</v>
      </c>
      <c r="E526" s="49"/>
      <c r="F526" s="60">
        <v>45386</v>
      </c>
      <c r="G526" t="s">
        <v>244</v>
      </c>
      <c r="H526">
        <v>10000</v>
      </c>
      <c r="I526" s="49">
        <v>226978.44</v>
      </c>
      <c r="K526" s="115">
        <v>231025.12</v>
      </c>
      <c r="L526" s="49">
        <v>22.697844</v>
      </c>
      <c r="M526" s="49">
        <v>23.102512000000001</v>
      </c>
      <c r="N526" s="49">
        <v>-4046.679999999993</v>
      </c>
      <c r="O526" s="47">
        <v>-1.7828477453629487E-2</v>
      </c>
      <c r="P526" s="72">
        <f t="shared" si="8"/>
        <v>333269.41845814011</v>
      </c>
      <c r="Q526" s="49" t="str">
        <f>TEXT(Table1[[#This Row],[Closing Date]],"yyyy")</f>
        <v>2024</v>
      </c>
      <c r="R526" s="49" t="str">
        <f>TEXT(Table1[[#This Row],[Closing Date]],"mmmm")</f>
        <v>April</v>
      </c>
      <c r="S526" s="49" t="s">
        <v>368</v>
      </c>
      <c r="T526" s="49" t="s">
        <v>429</v>
      </c>
    </row>
    <row r="527" spans="1:20" x14ac:dyDescent="0.25">
      <c r="A527" t="s">
        <v>283</v>
      </c>
      <c r="B527" t="s">
        <v>434</v>
      </c>
      <c r="C527" t="s">
        <v>56</v>
      </c>
      <c r="D527" t="s">
        <v>38</v>
      </c>
      <c r="E527" s="49"/>
      <c r="F527" s="60">
        <v>45386</v>
      </c>
      <c r="G527" t="s">
        <v>386</v>
      </c>
      <c r="H527">
        <v>13000</v>
      </c>
      <c r="I527" s="49">
        <v>198935.57</v>
      </c>
      <c r="K527" s="115">
        <v>189197.68</v>
      </c>
      <c r="L527" s="49">
        <v>15.302736153846155</v>
      </c>
      <c r="M527" s="49">
        <v>14.553667692307691</v>
      </c>
      <c r="N527" s="49">
        <v>-9737.890000000014</v>
      </c>
      <c r="O527" s="47">
        <v>-4.8949969077928167E-2</v>
      </c>
      <c r="P527" s="72">
        <f t="shared" si="8"/>
        <v>323531.52845814009</v>
      </c>
      <c r="Q527" s="49" t="str">
        <f>TEXT(Table1[[#This Row],[Closing Date]],"yyyy")</f>
        <v>2024</v>
      </c>
      <c r="R527" s="49" t="str">
        <f>TEXT(Table1[[#This Row],[Closing Date]],"mmmm")</f>
        <v>April</v>
      </c>
      <c r="S527" s="49" t="s">
        <v>368</v>
      </c>
      <c r="T527" s="49" t="s">
        <v>429</v>
      </c>
    </row>
    <row r="528" spans="1:20" x14ac:dyDescent="0.25">
      <c r="A528" t="s">
        <v>276</v>
      </c>
      <c r="B528" t="s">
        <v>430</v>
      </c>
      <c r="C528" t="s">
        <v>149</v>
      </c>
      <c r="D528" t="s">
        <v>38</v>
      </c>
      <c r="E528" s="49"/>
      <c r="F528" s="60">
        <v>45386</v>
      </c>
      <c r="G528" t="s">
        <v>393</v>
      </c>
      <c r="H528">
        <v>200</v>
      </c>
      <c r="I528" s="49">
        <v>9020</v>
      </c>
      <c r="J528" s="106">
        <v>100</v>
      </c>
      <c r="K528" s="115">
        <v>3600</v>
      </c>
      <c r="L528" s="49">
        <v>0.45100000000000001</v>
      </c>
      <c r="M528" s="49">
        <v>0.18</v>
      </c>
      <c r="N528" s="49">
        <v>-5420</v>
      </c>
      <c r="O528" s="47">
        <v>-0.60088691796008875</v>
      </c>
      <c r="P528" s="72">
        <f t="shared" si="8"/>
        <v>318111.52845814009</v>
      </c>
      <c r="Q528" s="49" t="str">
        <f>TEXT(Table1[[#This Row],[Closing Date]],"yyyy")</f>
        <v>2024</v>
      </c>
      <c r="R528" s="49" t="str">
        <f>TEXT(Table1[[#This Row],[Closing Date]],"mmmm")</f>
        <v>April</v>
      </c>
      <c r="S528" s="49" t="s">
        <v>368</v>
      </c>
      <c r="T528" s="49" t="s">
        <v>429</v>
      </c>
    </row>
    <row r="529" spans="1:20" x14ac:dyDescent="0.25">
      <c r="A529" t="s">
        <v>283</v>
      </c>
      <c r="B529" t="s">
        <v>433</v>
      </c>
      <c r="C529" t="s">
        <v>56</v>
      </c>
      <c r="D529" t="s">
        <v>38</v>
      </c>
      <c r="E529" s="90">
        <v>45362</v>
      </c>
      <c r="F529" s="60">
        <v>45386</v>
      </c>
      <c r="G529" t="s">
        <v>228</v>
      </c>
      <c r="H529">
        <v>1350</v>
      </c>
      <c r="I529" s="49">
        <v>53392.5</v>
      </c>
      <c r="J529" s="106">
        <v>1</v>
      </c>
      <c r="K529" s="115">
        <v>45751.13</v>
      </c>
      <c r="L529" s="49">
        <f>Table1[[#This Row],[Open Value]]/Table1[[#This Row],[Shares]]/Table1[[#This Row],[Multiplier]]</f>
        <v>39.549999999999997</v>
      </c>
      <c r="M529" s="49">
        <f>Table1[[#This Row],[Close Value]]/Table1[[#This Row],[Shares]]/Table1[[#This Row],[Multiplier]]</f>
        <v>33.889725925925923</v>
      </c>
      <c r="N529" s="49">
        <f>Table1[[#This Row],[Close Value]]-Table1[[#This Row],[Open Value]]</f>
        <v>-7641.3700000000026</v>
      </c>
      <c r="O529" s="47">
        <f>Table1[[#This Row],[PnL]]/Table1[[#This Row],[Open Value]]</f>
        <v>-0.14311691717001457</v>
      </c>
      <c r="P529" s="72">
        <f t="shared" si="8"/>
        <v>310470.1584581401</v>
      </c>
      <c r="Q529" s="49" t="str">
        <f>TEXT(Table1[[#This Row],[Closing Date]],"yyyy")</f>
        <v>2024</v>
      </c>
      <c r="R529" s="49" t="str">
        <f>TEXT(Table1[[#This Row],[Closing Date]],"mmmm")</f>
        <v>April</v>
      </c>
      <c r="S529" s="49" t="s">
        <v>368</v>
      </c>
      <c r="T529" s="49" t="s">
        <v>285</v>
      </c>
    </row>
    <row r="530" spans="1:20" x14ac:dyDescent="0.25">
      <c r="A530" t="s">
        <v>283</v>
      </c>
      <c r="B530" t="s">
        <v>434</v>
      </c>
      <c r="C530" t="s">
        <v>51</v>
      </c>
      <c r="D530" t="s">
        <v>38</v>
      </c>
      <c r="E530" s="49"/>
      <c r="F530" s="60">
        <v>45387</v>
      </c>
      <c r="G530" t="s">
        <v>396</v>
      </c>
      <c r="H530">
        <v>3</v>
      </c>
      <c r="I530" s="49">
        <v>300007.40999999997</v>
      </c>
      <c r="K530" s="115">
        <v>331120.06</v>
      </c>
      <c r="L530" s="49">
        <v>4.0000988</v>
      </c>
      <c r="M530" s="49">
        <v>13.244802399999999</v>
      </c>
      <c r="N530" s="49">
        <v>37295.650000000023</v>
      </c>
      <c r="O530" s="47">
        <v>0.12431576273399389</v>
      </c>
      <c r="P530" s="72">
        <f t="shared" si="8"/>
        <v>347765.80845814012</v>
      </c>
      <c r="Q530" s="49" t="str">
        <f>TEXT(Table1[[#This Row],[Closing Date]],"yyyy")</f>
        <v>2024</v>
      </c>
      <c r="R530" s="49" t="str">
        <f>TEXT(Table1[[#This Row],[Closing Date]],"mmmm")</f>
        <v>April</v>
      </c>
      <c r="S530" s="49" t="s">
        <v>368</v>
      </c>
      <c r="T530" s="49" t="s">
        <v>429</v>
      </c>
    </row>
    <row r="531" spans="1:20" x14ac:dyDescent="0.25">
      <c r="A531" t="s">
        <v>276</v>
      </c>
      <c r="B531" t="s">
        <v>433</v>
      </c>
      <c r="C531" t="s">
        <v>152</v>
      </c>
      <c r="D531" t="s">
        <v>38</v>
      </c>
      <c r="E531" s="90">
        <v>45356</v>
      </c>
      <c r="F531" s="60">
        <v>45387</v>
      </c>
      <c r="G531" t="s">
        <v>154</v>
      </c>
      <c r="H531">
        <v>5</v>
      </c>
      <c r="I531" s="49">
        <f>18481.95+15881.3</f>
        <v>34363.25</v>
      </c>
      <c r="J531" s="106">
        <v>100</v>
      </c>
      <c r="K531" s="115">
        <v>31246.5</v>
      </c>
      <c r="L531" s="49">
        <f>Table1[[#This Row],[Open Value]]/Table1[[#This Row],[Shares]]/Table1[[#This Row],[Multiplier]]</f>
        <v>68.726500000000001</v>
      </c>
      <c r="M531" s="49">
        <f>Table1[[#This Row],[Close Value]]/Table1[[#This Row],[Shares]]/Table1[[#This Row],[Multiplier]]</f>
        <v>62.493000000000002</v>
      </c>
      <c r="N531" s="49">
        <f>Table1[[#This Row],[Close Value]]-Table1[[#This Row],[Open Value]]</f>
        <v>-3116.75</v>
      </c>
      <c r="O531" s="47">
        <f>Table1[[#This Row],[PnL]]/Table1[[#This Row],[Open Value]]</f>
        <v>-9.0700093850261537E-2</v>
      </c>
      <c r="P531" s="72">
        <f t="shared" si="8"/>
        <v>344649.05845814012</v>
      </c>
      <c r="Q531" s="49" t="str">
        <f>TEXT(Table1[[#This Row],[Closing Date]],"yyyy")</f>
        <v>2024</v>
      </c>
      <c r="R531" s="49" t="str">
        <f>TEXT(Table1[[#This Row],[Closing Date]],"mmmm")</f>
        <v>April</v>
      </c>
      <c r="S531" s="49" t="s">
        <v>368</v>
      </c>
      <c r="T531" s="49" t="s">
        <v>285</v>
      </c>
    </row>
    <row r="532" spans="1:20" x14ac:dyDescent="0.25">
      <c r="A532" t="s">
        <v>276</v>
      </c>
      <c r="B532" t="s">
        <v>430</v>
      </c>
      <c r="C532" t="s">
        <v>152</v>
      </c>
      <c r="D532" t="s">
        <v>38</v>
      </c>
      <c r="E532" s="49"/>
      <c r="F532" s="60">
        <v>45390</v>
      </c>
      <c r="G532" t="s">
        <v>48</v>
      </c>
      <c r="H532">
        <v>15</v>
      </c>
      <c r="I532" s="49">
        <v>4680</v>
      </c>
      <c r="J532" s="106">
        <v>100</v>
      </c>
      <c r="K532" s="115">
        <v>0</v>
      </c>
      <c r="L532" s="49">
        <v>3.12</v>
      </c>
      <c r="M532" s="49">
        <v>0</v>
      </c>
      <c r="N532" s="49">
        <v>-4680</v>
      </c>
      <c r="O532" s="47">
        <v>-1</v>
      </c>
      <c r="P532" s="72">
        <f t="shared" si="8"/>
        <v>339969.05845814012</v>
      </c>
      <c r="Q532" s="49" t="str">
        <f>TEXT(Table1[[#This Row],[Closing Date]],"yyyy")</f>
        <v>2024</v>
      </c>
      <c r="R532" s="49" t="str">
        <f>TEXT(Table1[[#This Row],[Closing Date]],"mmmm")</f>
        <v>April</v>
      </c>
      <c r="S532" s="49" t="s">
        <v>368</v>
      </c>
      <c r="T532" s="49" t="s">
        <v>429</v>
      </c>
    </row>
    <row r="533" spans="1:20" x14ac:dyDescent="0.25">
      <c r="A533" t="s">
        <v>283</v>
      </c>
      <c r="B533" t="s">
        <v>431</v>
      </c>
      <c r="C533" t="s">
        <v>56</v>
      </c>
      <c r="D533" t="s">
        <v>38</v>
      </c>
      <c r="E533" s="49"/>
      <c r="F533" s="60">
        <v>45391</v>
      </c>
      <c r="G533" t="s">
        <v>384</v>
      </c>
      <c r="H533">
        <v>1800</v>
      </c>
      <c r="I533" s="49">
        <v>218187</v>
      </c>
      <c r="K533" s="115">
        <v>225029.4</v>
      </c>
      <c r="L533" s="49">
        <v>121.215</v>
      </c>
      <c r="M533" s="49">
        <v>125.01633333333334</v>
      </c>
      <c r="N533" s="49">
        <v>6842.3999999999942</v>
      </c>
      <c r="O533" s="47">
        <v>3.1360255193939118E-2</v>
      </c>
      <c r="P533" s="72">
        <f t="shared" si="8"/>
        <v>346811.45845814014</v>
      </c>
      <c r="Q533" s="49" t="str">
        <f>TEXT(Table1[[#This Row],[Closing Date]],"yyyy")</f>
        <v>2024</v>
      </c>
      <c r="R533" s="49" t="str">
        <f>TEXT(Table1[[#This Row],[Closing Date]],"mmmm")</f>
        <v>April</v>
      </c>
      <c r="S533" s="49" t="s">
        <v>368</v>
      </c>
      <c r="T533" s="49" t="s">
        <v>429</v>
      </c>
    </row>
    <row r="534" spans="1:20" x14ac:dyDescent="0.25">
      <c r="A534" t="s">
        <v>283</v>
      </c>
      <c r="B534" t="s">
        <v>434</v>
      </c>
      <c r="C534" t="s">
        <v>56</v>
      </c>
      <c r="D534" t="s">
        <v>38</v>
      </c>
      <c r="E534" s="49"/>
      <c r="F534" s="60">
        <v>45392</v>
      </c>
      <c r="G534" t="s">
        <v>119</v>
      </c>
      <c r="H534">
        <v>170</v>
      </c>
      <c r="I534" s="49">
        <v>152256.9</v>
      </c>
      <c r="K534" s="115">
        <v>147114.12</v>
      </c>
      <c r="L534" s="49">
        <v>895.62882352941176</v>
      </c>
      <c r="M534" s="49">
        <v>865.37717647058821</v>
      </c>
      <c r="N534" s="49">
        <v>-5142.7799999999988</v>
      </c>
      <c r="O534" s="47">
        <v>-3.3776991387582431E-2</v>
      </c>
      <c r="P534" s="72">
        <f t="shared" si="8"/>
        <v>341668.67845814012</v>
      </c>
      <c r="Q534" s="49" t="str">
        <f>TEXT(Table1[[#This Row],[Closing Date]],"yyyy")</f>
        <v>2024</v>
      </c>
      <c r="R534" s="49" t="str">
        <f>TEXT(Table1[[#This Row],[Closing Date]],"mmmm")</f>
        <v>April</v>
      </c>
      <c r="S534" s="49" t="s">
        <v>368</v>
      </c>
      <c r="T534" s="49" t="s">
        <v>429</v>
      </c>
    </row>
    <row r="535" spans="1:20" x14ac:dyDescent="0.25">
      <c r="A535" t="s">
        <v>283</v>
      </c>
      <c r="B535" t="s">
        <v>433</v>
      </c>
      <c r="C535" t="s">
        <v>35</v>
      </c>
      <c r="D535" t="s">
        <v>36</v>
      </c>
      <c r="E535" s="49"/>
      <c r="F535" s="60">
        <v>45392</v>
      </c>
      <c r="G535" t="s">
        <v>377</v>
      </c>
      <c r="H535">
        <v>1000000</v>
      </c>
      <c r="I535" s="49">
        <v>1143163</v>
      </c>
      <c r="K535" s="115">
        <v>1149287</v>
      </c>
      <c r="L535" s="49">
        <v>1.1431629999999999</v>
      </c>
      <c r="M535" s="49"/>
      <c r="N535" s="49">
        <v>-6124</v>
      </c>
      <c r="O535" s="47">
        <v>0</v>
      </c>
      <c r="P535" s="72">
        <f t="shared" si="8"/>
        <v>335544.67845814012</v>
      </c>
      <c r="Q535" s="49" t="str">
        <f>TEXT(Table1[[#This Row],[Closing Date]],"yyyy")</f>
        <v>2024</v>
      </c>
      <c r="R535" s="49" t="str">
        <f>TEXT(Table1[[#This Row],[Closing Date]],"mmmm")</f>
        <v>April</v>
      </c>
      <c r="S535" s="49" t="s">
        <v>368</v>
      </c>
      <c r="T535" s="49" t="s">
        <v>429</v>
      </c>
    </row>
    <row r="536" spans="1:20" x14ac:dyDescent="0.25">
      <c r="A536" t="s">
        <v>283</v>
      </c>
      <c r="B536" t="s">
        <v>430</v>
      </c>
      <c r="C536" t="s">
        <v>51</v>
      </c>
      <c r="D536" t="s">
        <v>38</v>
      </c>
      <c r="E536" s="49"/>
      <c r="F536" s="60">
        <v>45392</v>
      </c>
      <c r="G536" t="s">
        <v>130</v>
      </c>
      <c r="H536">
        <v>2</v>
      </c>
      <c r="I536" s="49">
        <v>522729.5</v>
      </c>
      <c r="K536" s="115">
        <v>515219.5</v>
      </c>
      <c r="L536" s="49">
        <v>5227.2950000000001</v>
      </c>
      <c r="M536" s="49">
        <v>5152.1949999999997</v>
      </c>
      <c r="N536" s="49">
        <v>-7510</v>
      </c>
      <c r="O536" s="47">
        <v>-1.4366895306272174E-2</v>
      </c>
      <c r="P536" s="72">
        <f t="shared" si="8"/>
        <v>328034.67845814012</v>
      </c>
      <c r="Q536" s="49" t="str">
        <f>TEXT(Table1[[#This Row],[Closing Date]],"yyyy")</f>
        <v>2024</v>
      </c>
      <c r="R536" s="49" t="str">
        <f>TEXT(Table1[[#This Row],[Closing Date]],"mmmm")</f>
        <v>April</v>
      </c>
      <c r="S536" s="49" t="s">
        <v>368</v>
      </c>
      <c r="T536" s="49" t="s">
        <v>429</v>
      </c>
    </row>
    <row r="537" spans="1:20" x14ac:dyDescent="0.25">
      <c r="A537" t="s">
        <v>283</v>
      </c>
      <c r="B537" t="s">
        <v>431</v>
      </c>
      <c r="C537" t="s">
        <v>56</v>
      </c>
      <c r="D537" t="s">
        <v>38</v>
      </c>
      <c r="E537" s="49"/>
      <c r="F537" s="60">
        <v>45393</v>
      </c>
      <c r="G537" t="s">
        <v>381</v>
      </c>
      <c r="H537">
        <v>4200</v>
      </c>
      <c r="I537" s="49">
        <v>48720</v>
      </c>
      <c r="K537" s="115">
        <v>49427.39</v>
      </c>
      <c r="L537" s="49">
        <v>11.6</v>
      </c>
      <c r="M537" s="49">
        <v>11.768426190476191</v>
      </c>
      <c r="N537" s="49">
        <v>707.38999999999942</v>
      </c>
      <c r="O537" s="47">
        <v>1.4519499178981926E-2</v>
      </c>
      <c r="P537" s="72">
        <f t="shared" si="8"/>
        <v>328742.06845814013</v>
      </c>
      <c r="Q537" s="49" t="str">
        <f>TEXT(Table1[[#This Row],[Closing Date]],"yyyy")</f>
        <v>2024</v>
      </c>
      <c r="R537" s="49" t="str">
        <f>TEXT(Table1[[#This Row],[Closing Date]],"mmmm")</f>
        <v>April</v>
      </c>
      <c r="S537" s="49" t="s">
        <v>369</v>
      </c>
      <c r="T537" s="49" t="s">
        <v>429</v>
      </c>
    </row>
    <row r="538" spans="1:20" x14ac:dyDescent="0.25">
      <c r="A538" t="s">
        <v>283</v>
      </c>
      <c r="B538" t="s">
        <v>431</v>
      </c>
      <c r="C538" t="s">
        <v>56</v>
      </c>
      <c r="D538" t="s">
        <v>38</v>
      </c>
      <c r="E538" s="49"/>
      <c r="F538" s="60">
        <v>45393</v>
      </c>
      <c r="G538" t="s">
        <v>382</v>
      </c>
      <c r="H538">
        <v>965</v>
      </c>
      <c r="I538" s="49">
        <v>49802.95</v>
      </c>
      <c r="K538" s="115">
        <v>51554.55</v>
      </c>
      <c r="L538" s="49">
        <v>51.609274611398959</v>
      </c>
      <c r="M538" s="49">
        <v>53.424404145077723</v>
      </c>
      <c r="N538" s="49">
        <v>1751.6000000000058</v>
      </c>
      <c r="O538" s="47">
        <v>3.5170607363620147E-2</v>
      </c>
      <c r="P538" s="72">
        <f t="shared" si="8"/>
        <v>330493.66845814011</v>
      </c>
      <c r="Q538" s="49" t="str">
        <f>TEXT(Table1[[#This Row],[Closing Date]],"yyyy")</f>
        <v>2024</v>
      </c>
      <c r="R538" s="49" t="str">
        <f>TEXT(Table1[[#This Row],[Closing Date]],"mmmm")</f>
        <v>April</v>
      </c>
      <c r="S538" s="49" t="s">
        <v>369</v>
      </c>
      <c r="T538" s="49" t="s">
        <v>429</v>
      </c>
    </row>
    <row r="539" spans="1:20" x14ac:dyDescent="0.25">
      <c r="A539" t="s">
        <v>283</v>
      </c>
      <c r="B539" t="s">
        <v>431</v>
      </c>
      <c r="C539" t="s">
        <v>56</v>
      </c>
      <c r="D539" t="s">
        <v>38</v>
      </c>
      <c r="E539" s="49"/>
      <c r="F539" s="60">
        <v>45393</v>
      </c>
      <c r="G539" t="s">
        <v>338</v>
      </c>
      <c r="H539">
        <v>4800</v>
      </c>
      <c r="I539" s="49">
        <v>80250</v>
      </c>
      <c r="K539" s="115">
        <v>73894.61</v>
      </c>
      <c r="L539" s="49">
        <v>16.71875</v>
      </c>
      <c r="M539" s="49">
        <v>15.394710416666667</v>
      </c>
      <c r="N539" s="49">
        <v>-6355.3899999999994</v>
      </c>
      <c r="O539" s="47">
        <v>-7.9194890965732082E-2</v>
      </c>
      <c r="P539" s="72">
        <f t="shared" si="8"/>
        <v>324138.27845814009</v>
      </c>
      <c r="Q539" s="49" t="str">
        <f>TEXT(Table1[[#This Row],[Closing Date]],"yyyy")</f>
        <v>2024</v>
      </c>
      <c r="R539" s="49" t="str">
        <f>TEXT(Table1[[#This Row],[Closing Date]],"mmmm")</f>
        <v>April</v>
      </c>
      <c r="S539" s="49" t="s">
        <v>368</v>
      </c>
      <c r="T539" s="49" t="s">
        <v>429</v>
      </c>
    </row>
    <row r="540" spans="1:20" x14ac:dyDescent="0.25">
      <c r="A540" t="s">
        <v>283</v>
      </c>
      <c r="B540" t="s">
        <v>434</v>
      </c>
      <c r="C540" t="s">
        <v>51</v>
      </c>
      <c r="D540" t="s">
        <v>36</v>
      </c>
      <c r="E540" s="49"/>
      <c r="F540" s="60">
        <v>45393</v>
      </c>
      <c r="G540" t="s">
        <v>129</v>
      </c>
      <c r="H540">
        <v>1</v>
      </c>
      <c r="I540" s="49">
        <v>99997.03</v>
      </c>
      <c r="K540" s="115">
        <v>106522.97</v>
      </c>
      <c r="L540" s="49">
        <v>9999.7029999999995</v>
      </c>
      <c r="M540" s="49">
        <v>106.52297</v>
      </c>
      <c r="N540" s="49">
        <v>-6525.9400000000023</v>
      </c>
      <c r="O540" s="47">
        <v>-6.5261338261746404E-2</v>
      </c>
      <c r="P540" s="72">
        <f t="shared" si="8"/>
        <v>317612.33845814009</v>
      </c>
      <c r="Q540" s="49" t="str">
        <f>TEXT(Table1[[#This Row],[Closing Date]],"yyyy")</f>
        <v>2024</v>
      </c>
      <c r="R540" s="49" t="str">
        <f>TEXT(Table1[[#This Row],[Closing Date]],"mmmm")</f>
        <v>April</v>
      </c>
      <c r="S540" s="49" t="s">
        <v>368</v>
      </c>
      <c r="T540" s="49" t="s">
        <v>429</v>
      </c>
    </row>
    <row r="541" spans="1:20" x14ac:dyDescent="0.25">
      <c r="A541" t="s">
        <v>283</v>
      </c>
      <c r="B541" t="s">
        <v>431</v>
      </c>
      <c r="C541" t="s">
        <v>56</v>
      </c>
      <c r="D541" t="s">
        <v>38</v>
      </c>
      <c r="E541" s="49"/>
      <c r="F541" s="60">
        <v>45394</v>
      </c>
      <c r="G541" t="s">
        <v>215</v>
      </c>
      <c r="H541">
        <v>2500</v>
      </c>
      <c r="I541" s="49">
        <v>113015</v>
      </c>
      <c r="K541" s="115">
        <v>104216.9</v>
      </c>
      <c r="L541" s="49">
        <v>45.206000000000003</v>
      </c>
      <c r="M541" s="49">
        <v>41.68676</v>
      </c>
      <c r="N541" s="49">
        <v>-8798.1000000000058</v>
      </c>
      <c r="O541" s="47">
        <v>-7.7848958102906748E-2</v>
      </c>
      <c r="P541" s="72">
        <f t="shared" si="8"/>
        <v>308814.23845814005</v>
      </c>
      <c r="Q541" s="49" t="str">
        <f>TEXT(Table1[[#This Row],[Closing Date]],"yyyy")</f>
        <v>2024</v>
      </c>
      <c r="R541" s="49" t="str">
        <f>TEXT(Table1[[#This Row],[Closing Date]],"mmmm")</f>
        <v>April</v>
      </c>
      <c r="S541" s="49" t="s">
        <v>368</v>
      </c>
      <c r="T541" s="49" t="s">
        <v>429</v>
      </c>
    </row>
    <row r="542" spans="1:20" x14ac:dyDescent="0.25">
      <c r="A542" t="s">
        <v>276</v>
      </c>
      <c r="B542" t="s">
        <v>430</v>
      </c>
      <c r="C542" t="s">
        <v>152</v>
      </c>
      <c r="D542" t="s">
        <v>38</v>
      </c>
      <c r="E542" s="90">
        <v>45359</v>
      </c>
      <c r="F542" s="60">
        <v>45394</v>
      </c>
      <c r="G542" t="s">
        <v>97</v>
      </c>
      <c r="H542">
        <v>150</v>
      </c>
      <c r="I542" s="49">
        <f>12691+806.5</f>
        <v>13497.5</v>
      </c>
      <c r="J542" s="106">
        <v>100</v>
      </c>
      <c r="K542" s="115">
        <v>38302.19</v>
      </c>
      <c r="L542" s="49">
        <f>Table1[[#This Row],[Open Value]]/Table1[[#This Row],[Shares]]/Table1[[#This Row],[Multiplier]]</f>
        <v>0.89983333333333337</v>
      </c>
      <c r="M542" s="49">
        <f>Table1[[#This Row],[Close Value]]/Table1[[#This Row],[Shares]]/Table1[[#This Row],[Multiplier]]</f>
        <v>2.5534793333333337</v>
      </c>
      <c r="N542" s="49">
        <f>Table1[[#This Row],[Close Value]]-Table1[[#This Row],[Open Value]]</f>
        <v>24804.690000000002</v>
      </c>
      <c r="O542" s="47">
        <f>Table1[[#This Row],[PnL]]/Table1[[#This Row],[Open Value]]</f>
        <v>1.8377247638451566</v>
      </c>
      <c r="P542" s="72">
        <f t="shared" si="8"/>
        <v>333618.92845814006</v>
      </c>
      <c r="Q542" s="49" t="str">
        <f>TEXT(Table1[[#This Row],[Closing Date]],"yyyy")</f>
        <v>2024</v>
      </c>
      <c r="R542" s="49" t="str">
        <f>TEXT(Table1[[#This Row],[Closing Date]],"mmmm")</f>
        <v>April</v>
      </c>
      <c r="S542" s="49" t="s">
        <v>368</v>
      </c>
      <c r="T542" s="49" t="s">
        <v>285</v>
      </c>
    </row>
    <row r="543" spans="1:20" x14ac:dyDescent="0.25">
      <c r="A543" t="s">
        <v>283</v>
      </c>
      <c r="B543" t="s">
        <v>431</v>
      </c>
      <c r="C543" t="s">
        <v>56</v>
      </c>
      <c r="D543" t="s">
        <v>38</v>
      </c>
      <c r="E543" s="49"/>
      <c r="F543" s="60">
        <v>45397</v>
      </c>
      <c r="G543" t="s">
        <v>83</v>
      </c>
      <c r="H543">
        <v>2000</v>
      </c>
      <c r="I543" s="49">
        <v>852967.5</v>
      </c>
      <c r="K543" s="115">
        <v>827943.04</v>
      </c>
      <c r="L543" s="49">
        <v>426.48374999999999</v>
      </c>
      <c r="M543" s="49">
        <v>413.97152</v>
      </c>
      <c r="N543" s="49">
        <v>-25024.459999999963</v>
      </c>
      <c r="O543" s="47">
        <v>-2.9338116633986597E-2</v>
      </c>
      <c r="P543" s="72">
        <f t="shared" si="8"/>
        <v>308594.46845814009</v>
      </c>
      <c r="Q543" s="49" t="str">
        <f>TEXT(Table1[[#This Row],[Closing Date]],"yyyy")</f>
        <v>2024</v>
      </c>
      <c r="R543" s="49" t="str">
        <f>TEXT(Table1[[#This Row],[Closing Date]],"mmmm")</f>
        <v>April</v>
      </c>
      <c r="S543" s="49" t="s">
        <v>368</v>
      </c>
      <c r="T543" s="49" t="s">
        <v>429</v>
      </c>
    </row>
    <row r="544" spans="1:20" x14ac:dyDescent="0.25">
      <c r="A544" t="s">
        <v>283</v>
      </c>
      <c r="B544" t="s">
        <v>434</v>
      </c>
      <c r="C544" t="s">
        <v>56</v>
      </c>
      <c r="D544" t="s">
        <v>38</v>
      </c>
      <c r="E544" s="49"/>
      <c r="F544" s="60">
        <v>45397</v>
      </c>
      <c r="G544" t="s">
        <v>387</v>
      </c>
      <c r="H544">
        <v>10000</v>
      </c>
      <c r="I544" s="49">
        <v>248500</v>
      </c>
      <c r="K544" s="115">
        <v>245143.64</v>
      </c>
      <c r="L544" s="49">
        <v>24.85</v>
      </c>
      <c r="M544" s="49">
        <v>24.514364</v>
      </c>
      <c r="N544" s="49">
        <v>-3356.359999999986</v>
      </c>
      <c r="O544" s="47">
        <v>-1.3506478873239381E-2</v>
      </c>
      <c r="P544" s="72">
        <f t="shared" si="8"/>
        <v>305238.10845814011</v>
      </c>
      <c r="Q544" s="49" t="str">
        <f>TEXT(Table1[[#This Row],[Closing Date]],"yyyy")</f>
        <v>2024</v>
      </c>
      <c r="R544" s="49" t="str">
        <f>TEXT(Table1[[#This Row],[Closing Date]],"mmmm")</f>
        <v>April</v>
      </c>
      <c r="S544" s="49" t="s">
        <v>368</v>
      </c>
      <c r="T544" s="49" t="s">
        <v>429</v>
      </c>
    </row>
    <row r="545" spans="1:20" x14ac:dyDescent="0.25">
      <c r="A545" t="s">
        <v>283</v>
      </c>
      <c r="B545" t="s">
        <v>434</v>
      </c>
      <c r="C545" t="s">
        <v>56</v>
      </c>
      <c r="D545" t="s">
        <v>38</v>
      </c>
      <c r="E545" s="49"/>
      <c r="F545" s="60">
        <v>45397</v>
      </c>
      <c r="G545" t="s">
        <v>388</v>
      </c>
      <c r="H545">
        <v>700</v>
      </c>
      <c r="I545" s="49">
        <v>54180</v>
      </c>
      <c r="K545" s="115">
        <v>50203</v>
      </c>
      <c r="L545" s="49">
        <v>77.400000000000006</v>
      </c>
      <c r="M545" s="49">
        <v>71.718571428571423</v>
      </c>
      <c r="N545" s="49">
        <v>-3977</v>
      </c>
      <c r="O545" s="47">
        <v>-7.3403469915097816E-2</v>
      </c>
      <c r="P545" s="72">
        <f t="shared" si="8"/>
        <v>301261.10845814011</v>
      </c>
      <c r="Q545" s="49" t="str">
        <f>TEXT(Table1[[#This Row],[Closing Date]],"yyyy")</f>
        <v>2024</v>
      </c>
      <c r="R545" s="49" t="str">
        <f>TEXT(Table1[[#This Row],[Closing Date]],"mmmm")</f>
        <v>April</v>
      </c>
      <c r="S545" s="49" t="s">
        <v>368</v>
      </c>
      <c r="T545" s="49" t="s">
        <v>429</v>
      </c>
    </row>
    <row r="546" spans="1:20" x14ac:dyDescent="0.25">
      <c r="A546" t="s">
        <v>283</v>
      </c>
      <c r="B546" t="s">
        <v>434</v>
      </c>
      <c r="C546" t="s">
        <v>56</v>
      </c>
      <c r="D546" t="s">
        <v>38</v>
      </c>
      <c r="E546" s="49"/>
      <c r="F546" s="60">
        <v>45397</v>
      </c>
      <c r="G546" t="s">
        <v>389</v>
      </c>
      <c r="H546">
        <v>2500</v>
      </c>
      <c r="I546" s="49">
        <v>41650</v>
      </c>
      <c r="K546" s="115">
        <v>36927.269999999997</v>
      </c>
      <c r="L546" s="49">
        <v>16.66</v>
      </c>
      <c r="M546" s="49">
        <v>14.770907999999999</v>
      </c>
      <c r="N546" s="49">
        <v>-4722.7300000000032</v>
      </c>
      <c r="O546" s="47">
        <v>-0.11339087635054029</v>
      </c>
      <c r="P546" s="72">
        <f t="shared" si="8"/>
        <v>296538.37845814013</v>
      </c>
      <c r="Q546" s="49" t="str">
        <f>TEXT(Table1[[#This Row],[Closing Date]],"yyyy")</f>
        <v>2024</v>
      </c>
      <c r="R546" s="49" t="str">
        <f>TEXT(Table1[[#This Row],[Closing Date]],"mmmm")</f>
        <v>April</v>
      </c>
      <c r="S546" s="49" t="s">
        <v>368</v>
      </c>
      <c r="T546" s="49" t="s">
        <v>429</v>
      </c>
    </row>
    <row r="547" spans="1:20" x14ac:dyDescent="0.25">
      <c r="A547" t="s">
        <v>283</v>
      </c>
      <c r="B547" t="s">
        <v>431</v>
      </c>
      <c r="C547" t="s">
        <v>56</v>
      </c>
      <c r="D547" t="s">
        <v>38</v>
      </c>
      <c r="E547" s="49"/>
      <c r="F547" s="60">
        <v>45398</v>
      </c>
      <c r="G547" t="s">
        <v>390</v>
      </c>
      <c r="H547">
        <v>15000</v>
      </c>
      <c r="I547" s="49">
        <v>165968.85999999999</v>
      </c>
      <c r="K547" s="115">
        <v>171273.94</v>
      </c>
      <c r="L547" s="49">
        <v>11.064590666666666</v>
      </c>
      <c r="M547" s="49">
        <v>11.418262666666667</v>
      </c>
      <c r="N547" s="49">
        <v>5305.0800000000163</v>
      </c>
      <c r="O547" s="47">
        <v>3.1964309449375124E-2</v>
      </c>
      <c r="P547" s="72">
        <f t="shared" si="8"/>
        <v>301843.45845814014</v>
      </c>
      <c r="Q547" s="49" t="str">
        <f>TEXT(Table1[[#This Row],[Closing Date]],"yyyy")</f>
        <v>2024</v>
      </c>
      <c r="R547" s="49" t="str">
        <f>TEXT(Table1[[#This Row],[Closing Date]],"mmmm")</f>
        <v>April</v>
      </c>
      <c r="S547" s="49" t="s">
        <v>368</v>
      </c>
      <c r="T547" s="49" t="s">
        <v>429</v>
      </c>
    </row>
    <row r="548" spans="1:20" x14ac:dyDescent="0.25">
      <c r="A548" t="s">
        <v>283</v>
      </c>
      <c r="B548" t="s">
        <v>430</v>
      </c>
      <c r="C548" t="s">
        <v>51</v>
      </c>
      <c r="D548" t="s">
        <v>38</v>
      </c>
      <c r="E548" s="49"/>
      <c r="F548" s="60">
        <v>45398</v>
      </c>
      <c r="G548" t="s">
        <v>130</v>
      </c>
      <c r="H548">
        <v>4</v>
      </c>
      <c r="I548" s="49">
        <v>1021000</v>
      </c>
      <c r="K548" s="115">
        <v>1016882</v>
      </c>
      <c r="L548" s="49">
        <v>5105</v>
      </c>
      <c r="M548" s="49">
        <v>254.22049999999999</v>
      </c>
      <c r="N548" s="49">
        <v>-4118</v>
      </c>
      <c r="O548" s="47">
        <v>-4.033300685602351E-3</v>
      </c>
      <c r="P548" s="72">
        <f t="shared" si="8"/>
        <v>297725.45845814014</v>
      </c>
      <c r="Q548" s="49" t="str">
        <f>TEXT(Table1[[#This Row],[Closing Date]],"yyyy")</f>
        <v>2024</v>
      </c>
      <c r="R548" s="49" t="str">
        <f>TEXT(Table1[[#This Row],[Closing Date]],"mmmm")</f>
        <v>April</v>
      </c>
      <c r="S548" s="49" t="s">
        <v>368</v>
      </c>
      <c r="T548" s="49" t="s">
        <v>429</v>
      </c>
    </row>
    <row r="549" spans="1:20" x14ac:dyDescent="0.25">
      <c r="A549" t="s">
        <v>283</v>
      </c>
      <c r="B549" t="s">
        <v>431</v>
      </c>
      <c r="C549" t="s">
        <v>56</v>
      </c>
      <c r="D549" t="s">
        <v>38</v>
      </c>
      <c r="E549" s="49"/>
      <c r="F549" s="60">
        <v>45400</v>
      </c>
      <c r="G549" t="s">
        <v>50</v>
      </c>
      <c r="H549">
        <v>150</v>
      </c>
      <c r="I549" s="49">
        <v>128626.5</v>
      </c>
      <c r="K549" s="115">
        <v>122797.47</v>
      </c>
      <c r="L549" s="49">
        <v>857.51</v>
      </c>
      <c r="M549" s="49">
        <v>818.64980000000003</v>
      </c>
      <c r="N549" s="49">
        <v>-5829.0299999999988</v>
      </c>
      <c r="O549" s="47">
        <v>-4.5317489008874522E-2</v>
      </c>
      <c r="P549" s="72">
        <f t="shared" si="8"/>
        <v>291896.42845814012</v>
      </c>
      <c r="Q549" s="49" t="str">
        <f>TEXT(Table1[[#This Row],[Closing Date]],"yyyy")</f>
        <v>2024</v>
      </c>
      <c r="R549" s="49" t="str">
        <f>TEXT(Table1[[#This Row],[Closing Date]],"mmmm")</f>
        <v>April</v>
      </c>
      <c r="S549" s="49" t="s">
        <v>368</v>
      </c>
      <c r="T549" s="49" t="s">
        <v>429</v>
      </c>
    </row>
    <row r="550" spans="1:20" x14ac:dyDescent="0.25">
      <c r="A550" t="s">
        <v>283</v>
      </c>
      <c r="B550" t="s">
        <v>434</v>
      </c>
      <c r="C550" t="s">
        <v>51</v>
      </c>
      <c r="D550" t="s">
        <v>38</v>
      </c>
      <c r="E550" s="49"/>
      <c r="F550" s="60">
        <v>45400</v>
      </c>
      <c r="G550" t="s">
        <v>133</v>
      </c>
      <c r="H550">
        <v>10</v>
      </c>
      <c r="I550" s="49">
        <v>64052</v>
      </c>
      <c r="K550" s="115">
        <v>59905.3</v>
      </c>
      <c r="L550" s="49">
        <v>64052</v>
      </c>
      <c r="M550" s="49">
        <v>5.9905300000000006</v>
      </c>
      <c r="N550" s="49">
        <v>-4146.6999999999971</v>
      </c>
      <c r="O550" s="47">
        <v>-6.4739586585898914E-2</v>
      </c>
      <c r="P550" s="72">
        <f t="shared" si="8"/>
        <v>287749.7284581401</v>
      </c>
      <c r="Q550" s="49" t="str">
        <f>TEXT(Table1[[#This Row],[Closing Date]],"yyyy")</f>
        <v>2024</v>
      </c>
      <c r="R550" s="49" t="str">
        <f>TEXT(Table1[[#This Row],[Closing Date]],"mmmm")</f>
        <v>April</v>
      </c>
      <c r="S550" s="49" t="s">
        <v>368</v>
      </c>
      <c r="T550" s="49" t="s">
        <v>429</v>
      </c>
    </row>
    <row r="551" spans="1:20" x14ac:dyDescent="0.25">
      <c r="A551" t="s">
        <v>283</v>
      </c>
      <c r="B551" t="s">
        <v>431</v>
      </c>
      <c r="C551" t="s">
        <v>51</v>
      </c>
      <c r="D551" t="s">
        <v>38</v>
      </c>
      <c r="E551" s="49"/>
      <c r="F551" s="60">
        <v>45401</v>
      </c>
      <c r="G551" t="s">
        <v>88</v>
      </c>
      <c r="H551">
        <v>2</v>
      </c>
      <c r="I551" s="49">
        <v>394006.04</v>
      </c>
      <c r="K551" s="115">
        <v>376525</v>
      </c>
      <c r="L551" s="49">
        <v>39400.603999999999</v>
      </c>
      <c r="M551" s="49">
        <v>3765.25</v>
      </c>
      <c r="N551" s="49">
        <v>-17481.039999999979</v>
      </c>
      <c r="O551" s="47">
        <v>-4.4367441676782367E-2</v>
      </c>
      <c r="P551" s="72">
        <f t="shared" si="8"/>
        <v>270268.68845814012</v>
      </c>
      <c r="Q551" s="49" t="str">
        <f>TEXT(Table1[[#This Row],[Closing Date]],"yyyy")</f>
        <v>2024</v>
      </c>
      <c r="R551" s="49" t="str">
        <f>TEXT(Table1[[#This Row],[Closing Date]],"mmmm")</f>
        <v>April</v>
      </c>
      <c r="S551" s="49" t="s">
        <v>368</v>
      </c>
      <c r="T551" s="49" t="s">
        <v>429</v>
      </c>
    </row>
    <row r="552" spans="1:20" x14ac:dyDescent="0.25">
      <c r="A552" t="s">
        <v>283</v>
      </c>
      <c r="B552" t="s">
        <v>430</v>
      </c>
      <c r="C552" t="s">
        <v>51</v>
      </c>
      <c r="D552" t="s">
        <v>38</v>
      </c>
      <c r="E552" s="49"/>
      <c r="F552" s="60">
        <v>45404</v>
      </c>
      <c r="G552" t="s">
        <v>137</v>
      </c>
      <c r="H552">
        <v>4</v>
      </c>
      <c r="I552" s="49">
        <v>415923.8</v>
      </c>
      <c r="K552" s="115">
        <v>415890.8</v>
      </c>
      <c r="L552" s="49">
        <v>2079.6190000000001</v>
      </c>
      <c r="M552" s="49">
        <v>2079.4539999999997</v>
      </c>
      <c r="N552" s="49">
        <v>-33</v>
      </c>
      <c r="O552" s="47">
        <v>-7.9341456295600301E-5</v>
      </c>
      <c r="P552" s="72">
        <f t="shared" ref="P552:P615" si="9">N552+P551</f>
        <v>270235.68845814012</v>
      </c>
      <c r="Q552" s="49" t="str">
        <f>TEXT(Table1[[#This Row],[Closing Date]],"yyyy")</f>
        <v>2024</v>
      </c>
      <c r="R552" s="49" t="str">
        <f>TEXT(Table1[[#This Row],[Closing Date]],"mmmm")</f>
        <v>April</v>
      </c>
      <c r="S552" s="49" t="s">
        <v>368</v>
      </c>
      <c r="T552" s="49" t="s">
        <v>429</v>
      </c>
    </row>
    <row r="553" spans="1:20" x14ac:dyDescent="0.25">
      <c r="A553" t="s">
        <v>283</v>
      </c>
      <c r="B553" t="s">
        <v>430</v>
      </c>
      <c r="C553" t="s">
        <v>56</v>
      </c>
      <c r="D553" t="s">
        <v>38</v>
      </c>
      <c r="E553" s="49"/>
      <c r="F553" s="60">
        <v>45405</v>
      </c>
      <c r="G553" t="s">
        <v>244</v>
      </c>
      <c r="H553">
        <v>10000</v>
      </c>
      <c r="I553" s="49">
        <v>206728.24</v>
      </c>
      <c r="K553" s="115">
        <v>218874.94</v>
      </c>
      <c r="L553" s="49">
        <v>20.672823999999999</v>
      </c>
      <c r="M553" s="49">
        <v>21.887494</v>
      </c>
      <c r="N553" s="49">
        <v>12146.700000000012</v>
      </c>
      <c r="O553" s="47">
        <v>5.8756849088445834E-2</v>
      </c>
      <c r="P553" s="72">
        <f t="shared" si="9"/>
        <v>282382.38845814014</v>
      </c>
      <c r="Q553" s="49" t="str">
        <f>TEXT(Table1[[#This Row],[Closing Date]],"yyyy")</f>
        <v>2024</v>
      </c>
      <c r="R553" s="49" t="str">
        <f>TEXT(Table1[[#This Row],[Closing Date]],"mmmm")</f>
        <v>April</v>
      </c>
      <c r="S553" s="49" t="s">
        <v>368</v>
      </c>
      <c r="T553" s="49" t="s">
        <v>429</v>
      </c>
    </row>
    <row r="554" spans="1:20" x14ac:dyDescent="0.25">
      <c r="A554" t="s">
        <v>283</v>
      </c>
      <c r="B554" t="s">
        <v>431</v>
      </c>
      <c r="C554" t="s">
        <v>56</v>
      </c>
      <c r="D554" t="s">
        <v>38</v>
      </c>
      <c r="E554" s="49"/>
      <c r="F554" s="60">
        <v>45407</v>
      </c>
      <c r="G554" t="s">
        <v>391</v>
      </c>
      <c r="H554">
        <v>5000</v>
      </c>
      <c r="I554" s="49">
        <v>64872.5</v>
      </c>
      <c r="K554" s="115">
        <v>61623.68</v>
      </c>
      <c r="L554" s="49">
        <v>12.974500000000001</v>
      </c>
      <c r="M554" s="49">
        <v>12.324736</v>
      </c>
      <c r="N554" s="49">
        <v>-3248.8199999999997</v>
      </c>
      <c r="O554" s="47">
        <v>-5.0080080157231491E-2</v>
      </c>
      <c r="P554" s="72">
        <f t="shared" si="9"/>
        <v>279133.56845814013</v>
      </c>
      <c r="Q554" s="49" t="str">
        <f>TEXT(Table1[[#This Row],[Closing Date]],"yyyy")</f>
        <v>2024</v>
      </c>
      <c r="R554" s="49" t="str">
        <f>TEXT(Table1[[#This Row],[Closing Date]],"mmmm")</f>
        <v>April</v>
      </c>
      <c r="S554" s="49" t="s">
        <v>368</v>
      </c>
      <c r="T554" s="49" t="s">
        <v>429</v>
      </c>
    </row>
    <row r="555" spans="1:20" x14ac:dyDescent="0.25">
      <c r="A555" t="s">
        <v>283</v>
      </c>
      <c r="B555" t="s">
        <v>431</v>
      </c>
      <c r="C555" t="s">
        <v>56</v>
      </c>
      <c r="D555" t="s">
        <v>38</v>
      </c>
      <c r="E555" s="49"/>
      <c r="F555" s="60">
        <v>45407</v>
      </c>
      <c r="G555" t="s">
        <v>387</v>
      </c>
      <c r="H555">
        <v>3200</v>
      </c>
      <c r="I555" s="49">
        <v>79821.53</v>
      </c>
      <c r="K555" s="115">
        <v>91182.74</v>
      </c>
      <c r="L555" s="49">
        <v>24.944228124999999</v>
      </c>
      <c r="M555" s="49">
        <v>28.49460625</v>
      </c>
      <c r="N555" s="49">
        <v>11361.210000000006</v>
      </c>
      <c r="O555" s="47">
        <v>0.14233265135358852</v>
      </c>
      <c r="P555" s="72">
        <f t="shared" si="9"/>
        <v>290494.77845814015</v>
      </c>
      <c r="Q555" s="49" t="str">
        <f>TEXT(Table1[[#This Row],[Closing Date]],"yyyy")</f>
        <v>2024</v>
      </c>
      <c r="R555" s="49" t="str">
        <f>TEXT(Table1[[#This Row],[Closing Date]],"mmmm")</f>
        <v>April</v>
      </c>
      <c r="S555" s="49" t="s">
        <v>368</v>
      </c>
      <c r="T555" s="49" t="s">
        <v>429</v>
      </c>
    </row>
    <row r="556" spans="1:20" x14ac:dyDescent="0.25">
      <c r="A556" t="s">
        <v>283</v>
      </c>
      <c r="B556" t="s">
        <v>431</v>
      </c>
      <c r="C556" t="s">
        <v>56</v>
      </c>
      <c r="D556" t="s">
        <v>38</v>
      </c>
      <c r="E556" s="49"/>
      <c r="F556" s="60">
        <v>45408</v>
      </c>
      <c r="G556" t="s">
        <v>388</v>
      </c>
      <c r="H556">
        <v>1400</v>
      </c>
      <c r="I556" s="49">
        <v>115675</v>
      </c>
      <c r="K556" s="115">
        <v>111118.24</v>
      </c>
      <c r="L556" s="49">
        <v>82.625</v>
      </c>
      <c r="M556" s="49">
        <v>79.370171428571439</v>
      </c>
      <c r="N556" s="49">
        <v>-4726</v>
      </c>
      <c r="O556" s="47">
        <v>-4.0855846120596499E-2</v>
      </c>
      <c r="P556" s="72">
        <f t="shared" si="9"/>
        <v>285768.77845814015</v>
      </c>
      <c r="Q556" s="49" t="str">
        <f>TEXT(Table1[[#This Row],[Closing Date]],"yyyy")</f>
        <v>2024</v>
      </c>
      <c r="R556" s="49" t="str">
        <f>TEXT(Table1[[#This Row],[Closing Date]],"mmmm")</f>
        <v>April</v>
      </c>
      <c r="S556" s="49" t="s">
        <v>368</v>
      </c>
      <c r="T556" s="49" t="s">
        <v>429</v>
      </c>
    </row>
    <row r="557" spans="1:20" x14ac:dyDescent="0.25">
      <c r="A557" t="s">
        <v>283</v>
      </c>
      <c r="B557" t="s">
        <v>431</v>
      </c>
      <c r="C557" t="s">
        <v>56</v>
      </c>
      <c r="D557" t="s">
        <v>38</v>
      </c>
      <c r="E557" s="49"/>
      <c r="F557" s="60">
        <v>45408</v>
      </c>
      <c r="G557" t="s">
        <v>384</v>
      </c>
      <c r="H557">
        <v>1000</v>
      </c>
      <c r="I557" s="49">
        <v>110109.87</v>
      </c>
      <c r="K557" s="115">
        <v>109954.87</v>
      </c>
      <c r="L557" s="49">
        <v>110.10987</v>
      </c>
      <c r="M557" s="49">
        <v>109.95487</v>
      </c>
      <c r="N557" s="49">
        <v>-155</v>
      </c>
      <c r="O557" s="47">
        <v>-4.2920766321856527E-2</v>
      </c>
      <c r="P557" s="72">
        <f t="shared" si="9"/>
        <v>285613.77845814015</v>
      </c>
      <c r="Q557" s="49" t="str">
        <f>TEXT(Table1[[#This Row],[Closing Date]],"yyyy")</f>
        <v>2024</v>
      </c>
      <c r="R557" s="49" t="str">
        <f>TEXT(Table1[[#This Row],[Closing Date]],"mmmm")</f>
        <v>April</v>
      </c>
      <c r="S557" s="49" t="s">
        <v>368</v>
      </c>
      <c r="T557" s="49" t="s">
        <v>429</v>
      </c>
    </row>
    <row r="558" spans="1:20" x14ac:dyDescent="0.25">
      <c r="A558" t="s">
        <v>283</v>
      </c>
      <c r="B558" t="s">
        <v>434</v>
      </c>
      <c r="C558" t="s">
        <v>51</v>
      </c>
      <c r="D558" t="s">
        <v>38</v>
      </c>
      <c r="E558" s="49"/>
      <c r="F558" s="60">
        <v>45408</v>
      </c>
      <c r="G558" t="s">
        <v>134</v>
      </c>
      <c r="H558">
        <v>60</v>
      </c>
      <c r="I558" s="49">
        <v>281760</v>
      </c>
      <c r="K558" s="115">
        <v>273265.8</v>
      </c>
      <c r="L558" s="49">
        <v>4.6959999999999997</v>
      </c>
      <c r="M558" s="49">
        <v>4.55443</v>
      </c>
      <c r="N558" s="49">
        <v>-8494.2000000000116</v>
      </c>
      <c r="O558" s="47">
        <v>-3.0146933560477044E-2</v>
      </c>
      <c r="P558" s="72">
        <f t="shared" si="9"/>
        <v>277119.57845814014</v>
      </c>
      <c r="Q558" s="49" t="str">
        <f>TEXT(Table1[[#This Row],[Closing Date]],"yyyy")</f>
        <v>2024</v>
      </c>
      <c r="R558" s="49" t="str">
        <f>TEXT(Table1[[#This Row],[Closing Date]],"mmmm")</f>
        <v>April</v>
      </c>
      <c r="S558" s="49" t="s">
        <v>368</v>
      </c>
      <c r="T558" s="49" t="s">
        <v>429</v>
      </c>
    </row>
    <row r="559" spans="1:20" x14ac:dyDescent="0.25">
      <c r="A559" t="s">
        <v>276</v>
      </c>
      <c r="B559" t="s">
        <v>430</v>
      </c>
      <c r="C559" t="s">
        <v>152</v>
      </c>
      <c r="D559" t="s">
        <v>38</v>
      </c>
      <c r="E559" s="60">
        <v>45404</v>
      </c>
      <c r="F559" s="60">
        <v>45411</v>
      </c>
      <c r="G559" t="s">
        <v>55</v>
      </c>
      <c r="H559">
        <v>30</v>
      </c>
      <c r="I559" s="49">
        <v>6410.98</v>
      </c>
      <c r="J559" s="106">
        <v>100</v>
      </c>
      <c r="K559" s="115">
        <v>15997.11</v>
      </c>
      <c r="L559" s="49">
        <v>2.1369933333333333</v>
      </c>
      <c r="M559" s="49">
        <v>5.3323700000000001</v>
      </c>
      <c r="N559" s="49">
        <v>9586.130000000001</v>
      </c>
      <c r="O559" s="47">
        <v>1.4952674942052542</v>
      </c>
      <c r="P559" s="72">
        <f t="shared" si="9"/>
        <v>286705.70845814014</v>
      </c>
      <c r="Q559" s="49" t="str">
        <f>TEXT(Table1[[#This Row],[Closing Date]],"yyyy")</f>
        <v>2024</v>
      </c>
      <c r="R559" s="49" t="str">
        <f>TEXT(Table1[[#This Row],[Closing Date]],"mmmm")</f>
        <v>April</v>
      </c>
      <c r="S559" s="49" t="s">
        <v>368</v>
      </c>
      <c r="T559" s="49" t="s">
        <v>429</v>
      </c>
    </row>
    <row r="560" spans="1:20" x14ac:dyDescent="0.25">
      <c r="A560" t="s">
        <v>283</v>
      </c>
      <c r="B560" t="s">
        <v>431</v>
      </c>
      <c r="C560" t="s">
        <v>56</v>
      </c>
      <c r="D560" t="s">
        <v>38</v>
      </c>
      <c r="E560" s="49"/>
      <c r="F560" s="60">
        <v>45413</v>
      </c>
      <c r="G560" t="s">
        <v>222</v>
      </c>
      <c r="H560">
        <v>2300</v>
      </c>
      <c r="I560" s="49">
        <v>171361.5</v>
      </c>
      <c r="K560" s="115">
        <v>171206.5</v>
      </c>
      <c r="L560" s="49">
        <v>74.504999999999995</v>
      </c>
      <c r="M560" s="49">
        <v>74.437608695652173</v>
      </c>
      <c r="N560" s="49">
        <v>-5306.1000000000058</v>
      </c>
      <c r="O560" s="47">
        <v>-2.7579123665467449E-2</v>
      </c>
      <c r="P560" s="72">
        <f t="shared" si="9"/>
        <v>281399.60845814017</v>
      </c>
      <c r="Q560" s="49" t="str">
        <f>TEXT(Table1[[#This Row],[Closing Date]],"yyyy")</f>
        <v>2024</v>
      </c>
      <c r="R560" s="49" t="str">
        <f>TEXT(Table1[[#This Row],[Closing Date]],"mmmm")</f>
        <v>May</v>
      </c>
      <c r="S560" s="49" t="s">
        <v>368</v>
      </c>
      <c r="T560" s="49" t="s">
        <v>429</v>
      </c>
    </row>
    <row r="561" spans="1:20" x14ac:dyDescent="0.25">
      <c r="A561" t="s">
        <v>276</v>
      </c>
      <c r="B561" t="s">
        <v>431</v>
      </c>
      <c r="C561" t="s">
        <v>152</v>
      </c>
      <c r="D561" t="s">
        <v>38</v>
      </c>
      <c r="E561" s="49"/>
      <c r="F561" s="60">
        <v>45413</v>
      </c>
      <c r="G561" t="s">
        <v>217</v>
      </c>
      <c r="H561">
        <v>9</v>
      </c>
      <c r="I561" s="49">
        <v>4756.5</v>
      </c>
      <c r="J561" s="106">
        <v>100</v>
      </c>
      <c r="K561" s="115">
        <v>6867.5</v>
      </c>
      <c r="L561" s="49">
        <v>5.2850000000000001</v>
      </c>
      <c r="M561" s="49">
        <v>7.6305555555555555</v>
      </c>
      <c r="N561" s="49">
        <v>2111</v>
      </c>
      <c r="O561" s="47">
        <v>0.44381372858194046</v>
      </c>
      <c r="P561" s="72">
        <f t="shared" si="9"/>
        <v>283510.60845814017</v>
      </c>
      <c r="Q561" s="49" t="str">
        <f>TEXT(Table1[[#This Row],[Closing Date]],"yyyy")</f>
        <v>2024</v>
      </c>
      <c r="R561" s="49" t="str">
        <f>TEXT(Table1[[#This Row],[Closing Date]],"mmmm")</f>
        <v>May</v>
      </c>
      <c r="S561" s="49" t="s">
        <v>368</v>
      </c>
      <c r="T561" s="49" t="s">
        <v>429</v>
      </c>
    </row>
    <row r="562" spans="1:20" x14ac:dyDescent="0.25">
      <c r="A562" t="s">
        <v>283</v>
      </c>
      <c r="B562" t="s">
        <v>431</v>
      </c>
      <c r="C562" t="s">
        <v>51</v>
      </c>
      <c r="D562" t="s">
        <v>38</v>
      </c>
      <c r="E562" s="49"/>
      <c r="F562" s="60">
        <v>45414</v>
      </c>
      <c r="G562" t="s">
        <v>397</v>
      </c>
      <c r="H562">
        <v>10</v>
      </c>
      <c r="I562" s="49">
        <v>352986.2</v>
      </c>
      <c r="K562" s="115">
        <v>367993.8</v>
      </c>
      <c r="L562" s="49">
        <v>17649.310000000001</v>
      </c>
      <c r="M562" s="49">
        <v>36.799379999999999</v>
      </c>
      <c r="N562" s="49">
        <v>15007.599999999977</v>
      </c>
      <c r="O562" s="47">
        <v>4.2516109694939845E-2</v>
      </c>
      <c r="P562" s="72">
        <f t="shared" si="9"/>
        <v>298518.20845814014</v>
      </c>
      <c r="Q562" s="49" t="str">
        <f>TEXT(Table1[[#This Row],[Closing Date]],"yyyy")</f>
        <v>2024</v>
      </c>
      <c r="R562" s="49" t="str">
        <f>TEXT(Table1[[#This Row],[Closing Date]],"mmmm")</f>
        <v>May</v>
      </c>
      <c r="S562" s="49" t="s">
        <v>368</v>
      </c>
      <c r="T562" s="49" t="s">
        <v>429</v>
      </c>
    </row>
    <row r="563" spans="1:20" x14ac:dyDescent="0.25">
      <c r="A563" t="s">
        <v>276</v>
      </c>
      <c r="B563" t="s">
        <v>431</v>
      </c>
      <c r="C563" t="s">
        <v>152</v>
      </c>
      <c r="D563" t="s">
        <v>38</v>
      </c>
      <c r="E563" s="49"/>
      <c r="F563" s="60">
        <v>45415</v>
      </c>
      <c r="G563" t="s">
        <v>201</v>
      </c>
      <c r="H563">
        <v>10</v>
      </c>
      <c r="I563" s="49">
        <v>1997.0000000000002</v>
      </c>
      <c r="J563" s="106">
        <v>100</v>
      </c>
      <c r="K563" s="115">
        <v>0</v>
      </c>
      <c r="L563" s="49">
        <v>1.9970000000000001</v>
      </c>
      <c r="M563" s="49">
        <v>0</v>
      </c>
      <c r="N563" s="49">
        <v>-1997.0000000000002</v>
      </c>
      <c r="O563" s="47">
        <v>-1</v>
      </c>
      <c r="P563" s="72">
        <f t="shared" si="9"/>
        <v>296521.20845814014</v>
      </c>
      <c r="Q563" s="49" t="str">
        <f>TEXT(Table1[[#This Row],[Closing Date]],"yyyy")</f>
        <v>2024</v>
      </c>
      <c r="R563" s="49" t="str">
        <f>TEXT(Table1[[#This Row],[Closing Date]],"mmmm")</f>
        <v>May</v>
      </c>
      <c r="S563" s="49" t="s">
        <v>368</v>
      </c>
      <c r="T563" s="49" t="s">
        <v>429</v>
      </c>
    </row>
    <row r="564" spans="1:20" x14ac:dyDescent="0.25">
      <c r="A564" t="s">
        <v>283</v>
      </c>
      <c r="B564" t="s">
        <v>431</v>
      </c>
      <c r="C564" t="s">
        <v>56</v>
      </c>
      <c r="D564" t="s">
        <v>38</v>
      </c>
      <c r="E564" s="49"/>
      <c r="F564" s="60">
        <v>45419</v>
      </c>
      <c r="G564" t="s">
        <v>200</v>
      </c>
      <c r="H564">
        <v>530</v>
      </c>
      <c r="I564" s="49">
        <v>109606.65</v>
      </c>
      <c r="K564" s="115">
        <v>104637.90000000001</v>
      </c>
      <c r="L564" s="49">
        <v>206.80499999999998</v>
      </c>
      <c r="M564" s="49">
        <v>197.43</v>
      </c>
      <c r="N564" s="49">
        <v>-4968.7499999999854</v>
      </c>
      <c r="O564" s="47">
        <v>-4.5332559657648382E-2</v>
      </c>
      <c r="P564" s="72">
        <f t="shared" si="9"/>
        <v>291552.45845814014</v>
      </c>
      <c r="Q564" s="49" t="str">
        <f>TEXT(Table1[[#This Row],[Closing Date]],"yyyy")</f>
        <v>2024</v>
      </c>
      <c r="R564" s="49" t="str">
        <f>TEXT(Table1[[#This Row],[Closing Date]],"mmmm")</f>
        <v>May</v>
      </c>
      <c r="S564" s="49" t="s">
        <v>368</v>
      </c>
      <c r="T564" s="49" t="s">
        <v>429</v>
      </c>
    </row>
    <row r="565" spans="1:20" x14ac:dyDescent="0.25">
      <c r="A565" t="s">
        <v>276</v>
      </c>
      <c r="B565" t="s">
        <v>433</v>
      </c>
      <c r="C565" t="s">
        <v>152</v>
      </c>
      <c r="D565" t="s">
        <v>38</v>
      </c>
      <c r="E565" s="90">
        <v>45314</v>
      </c>
      <c r="F565" s="60">
        <v>45419</v>
      </c>
      <c r="G565" t="s">
        <v>420</v>
      </c>
      <c r="H565">
        <v>10</v>
      </c>
      <c r="I565" s="49">
        <v>25006.5</v>
      </c>
      <c r="J565" s="106">
        <v>100</v>
      </c>
      <c r="K565" s="115">
        <f>15997.27+16398.57+13230.59+11498.61</f>
        <v>57125.04</v>
      </c>
      <c r="L565" s="49">
        <f>Table1[[#This Row],[Open Value]]/Table1[[#This Row],[Shares]]/Table1[[#This Row],[Multiplier]]</f>
        <v>25.006500000000003</v>
      </c>
      <c r="M565" s="49">
        <f>Table1[[#This Row],[Close Value]]/Table1[[#This Row],[Shares]]/Table1[[#This Row],[Multiplier]]</f>
        <v>57.125039999999998</v>
      </c>
      <c r="N565" s="49">
        <f>Table1[[#This Row],[Close Value]]-Table1[[#This Row],[Open Value]]</f>
        <v>32118.54</v>
      </c>
      <c r="O565" s="47">
        <f>Table1[[#This Row],[PnL]]/Table1[[#This Row],[Open Value]]</f>
        <v>1.2844076540099574</v>
      </c>
      <c r="P565" s="72">
        <f t="shared" si="9"/>
        <v>323670.99845814012</v>
      </c>
      <c r="Q565" s="49" t="str">
        <f>TEXT(Table1[[#This Row],[Closing Date]],"yyyy")</f>
        <v>2024</v>
      </c>
      <c r="R565" s="49" t="str">
        <f>TEXT(Table1[[#This Row],[Closing Date]],"mmmm")</f>
        <v>May</v>
      </c>
      <c r="S565" s="49" t="s">
        <v>368</v>
      </c>
      <c r="T565" s="49" t="s">
        <v>285</v>
      </c>
    </row>
    <row r="566" spans="1:20" x14ac:dyDescent="0.25">
      <c r="A566" t="s">
        <v>276</v>
      </c>
      <c r="B566" t="s">
        <v>430</v>
      </c>
      <c r="C566" t="s">
        <v>148</v>
      </c>
      <c r="D566" t="s">
        <v>38</v>
      </c>
      <c r="E566" s="90">
        <v>45412</v>
      </c>
      <c r="F566" s="60">
        <v>45422</v>
      </c>
      <c r="G566" t="s">
        <v>394</v>
      </c>
      <c r="H566">
        <v>100</v>
      </c>
      <c r="I566" s="49">
        <v>8110.0000000000009</v>
      </c>
      <c r="J566" s="106">
        <v>100</v>
      </c>
      <c r="K566" s="115">
        <v>800</v>
      </c>
      <c r="L566" s="49">
        <v>0.81100000000000005</v>
      </c>
      <c r="M566" s="49">
        <v>0.08</v>
      </c>
      <c r="N566" s="49">
        <v>-7310.0000000000009</v>
      </c>
      <c r="O566" s="47">
        <v>-0.90135635018495686</v>
      </c>
      <c r="P566" s="72">
        <f t="shared" si="9"/>
        <v>316360.99845814012</v>
      </c>
      <c r="Q566" s="49" t="str">
        <f>TEXT(Table1[[#This Row],[Closing Date]],"yyyy")</f>
        <v>2024</v>
      </c>
      <c r="R566" s="49" t="str">
        <f>TEXT(Table1[[#This Row],[Closing Date]],"mmmm")</f>
        <v>May</v>
      </c>
      <c r="S566" s="49" t="s">
        <v>368</v>
      </c>
      <c r="T566" s="49" t="s">
        <v>429</v>
      </c>
    </row>
    <row r="567" spans="1:20" x14ac:dyDescent="0.25">
      <c r="A567" t="s">
        <v>283</v>
      </c>
      <c r="B567" t="s">
        <v>431</v>
      </c>
      <c r="C567" t="s">
        <v>56</v>
      </c>
      <c r="D567" t="s">
        <v>38</v>
      </c>
      <c r="E567" s="49"/>
      <c r="F567" s="60">
        <v>45422</v>
      </c>
      <c r="G567" t="s">
        <v>394</v>
      </c>
      <c r="H567">
        <v>10000</v>
      </c>
      <c r="I567" s="49">
        <v>430000</v>
      </c>
      <c r="K567" s="115">
        <v>453604.79</v>
      </c>
      <c r="L567" s="49">
        <v>43</v>
      </c>
      <c r="M567" s="49">
        <v>45.360478999999998</v>
      </c>
      <c r="N567" s="49">
        <v>-14030</v>
      </c>
      <c r="O567" s="47">
        <v>-5.4894860465116227E-2</v>
      </c>
      <c r="P567" s="72">
        <f t="shared" si="9"/>
        <v>302330.99845814012</v>
      </c>
      <c r="Q567" s="49" t="str">
        <f>TEXT(Table1[[#This Row],[Closing Date]],"yyyy")</f>
        <v>2024</v>
      </c>
      <c r="R567" s="49" t="str">
        <f>TEXT(Table1[[#This Row],[Closing Date]],"mmmm")</f>
        <v>May</v>
      </c>
      <c r="S567" s="49" t="s">
        <v>368</v>
      </c>
      <c r="T567" s="49" t="s">
        <v>429</v>
      </c>
    </row>
    <row r="568" spans="1:20" x14ac:dyDescent="0.25">
      <c r="A568" t="s">
        <v>283</v>
      </c>
      <c r="B568" t="s">
        <v>431</v>
      </c>
      <c r="C568" t="s">
        <v>56</v>
      </c>
      <c r="D568" t="s">
        <v>38</v>
      </c>
      <c r="E568" s="49"/>
      <c r="F568" s="60">
        <v>45423</v>
      </c>
      <c r="G568" t="s">
        <v>400</v>
      </c>
      <c r="H568">
        <v>2700</v>
      </c>
      <c r="I568" s="49">
        <v>72913.5</v>
      </c>
      <c r="K568" s="115">
        <v>61986.05</v>
      </c>
      <c r="L568" s="49">
        <v>27.004999999999999</v>
      </c>
      <c r="M568" s="49">
        <v>22.957796296296298</v>
      </c>
      <c r="N568" s="49">
        <v>-10927.449999999997</v>
      </c>
      <c r="O568" s="47">
        <v>-0.14986868001124617</v>
      </c>
      <c r="P568" s="72">
        <f t="shared" si="9"/>
        <v>291403.54845814011</v>
      </c>
      <c r="Q568" s="49" t="str">
        <f>TEXT(Table1[[#This Row],[Closing Date]],"yyyy")</f>
        <v>2024</v>
      </c>
      <c r="R568" s="49" t="str">
        <f>TEXT(Table1[[#This Row],[Closing Date]],"mmmm")</f>
        <v>May</v>
      </c>
      <c r="S568" s="49" t="s">
        <v>368</v>
      </c>
      <c r="T568" s="49" t="s">
        <v>429</v>
      </c>
    </row>
    <row r="569" spans="1:20" x14ac:dyDescent="0.25">
      <c r="A569" t="s">
        <v>283</v>
      </c>
      <c r="B569" t="s">
        <v>431</v>
      </c>
      <c r="C569" t="s">
        <v>51</v>
      </c>
      <c r="D569" t="s">
        <v>38</v>
      </c>
      <c r="E569" s="49"/>
      <c r="F569" s="60">
        <v>45425</v>
      </c>
      <c r="G569" t="s">
        <v>136</v>
      </c>
      <c r="H569">
        <v>15</v>
      </c>
      <c r="I569" s="49">
        <v>335624</v>
      </c>
      <c r="K569" s="115">
        <v>315499</v>
      </c>
      <c r="L569" s="49">
        <v>19.977619047619047</v>
      </c>
      <c r="M569" s="49">
        <v>21.03326666666667</v>
      </c>
      <c r="N569" s="49">
        <v>-20123</v>
      </c>
      <c r="O569" s="47">
        <v>-5.99569756632422E-2</v>
      </c>
      <c r="P569" s="72">
        <f t="shared" si="9"/>
        <v>271280.54845814011</v>
      </c>
      <c r="Q569" s="49" t="str">
        <f>TEXT(Table1[[#This Row],[Closing Date]],"yyyy")</f>
        <v>2024</v>
      </c>
      <c r="R569" s="49" t="str">
        <f>TEXT(Table1[[#This Row],[Closing Date]],"mmmm")</f>
        <v>May</v>
      </c>
      <c r="S569" s="49" t="s">
        <v>368</v>
      </c>
      <c r="T569" s="49" t="s">
        <v>429</v>
      </c>
    </row>
    <row r="570" spans="1:20" x14ac:dyDescent="0.25">
      <c r="A570" t="s">
        <v>276</v>
      </c>
      <c r="B570" t="s">
        <v>434</v>
      </c>
      <c r="C570" t="s">
        <v>276</v>
      </c>
      <c r="D570" t="s">
        <v>38</v>
      </c>
      <c r="E570" s="90">
        <v>45330</v>
      </c>
      <c r="F570" s="60">
        <v>45426</v>
      </c>
      <c r="G570" t="s">
        <v>426</v>
      </c>
      <c r="H570">
        <v>210</v>
      </c>
      <c r="I570" s="49">
        <v>28878</v>
      </c>
      <c r="J570" s="106">
        <v>100</v>
      </c>
      <c r="K570" s="115">
        <f>16773.87+19483.59+30312.01</f>
        <v>66569.47</v>
      </c>
      <c r="L570" s="49">
        <f>Table1[[#This Row],[Open Value]]/Table1[[#This Row],[Shares]]/Table1[[#This Row],[Multiplier]]</f>
        <v>1.375142857142857</v>
      </c>
      <c r="M570" s="49">
        <f>Table1[[#This Row],[Close Value]]/Table1[[#This Row],[Shares]]/Table1[[#This Row],[Multiplier]]</f>
        <v>3.1699747619047622</v>
      </c>
      <c r="N570" s="49">
        <f>Table1[[#This Row],[Close Value]]-Table1[[#This Row],[Open Value]]</f>
        <v>37691.47</v>
      </c>
      <c r="O570" s="47">
        <f>Table1[[#This Row],[PnL]]/Table1[[#This Row],[Open Value]]</f>
        <v>1.3051966895214351</v>
      </c>
      <c r="P570" s="72">
        <f t="shared" si="9"/>
        <v>308972.01845814008</v>
      </c>
      <c r="Q570" s="49" t="str">
        <f>TEXT(Table1[[#This Row],[Closing Date]],"yyyy")</f>
        <v>2024</v>
      </c>
      <c r="R570" s="49" t="str">
        <f>TEXT(Table1[[#This Row],[Closing Date]],"mmmm")</f>
        <v>May</v>
      </c>
      <c r="S570" s="49" t="s">
        <v>368</v>
      </c>
      <c r="T570" s="49" t="s">
        <v>285</v>
      </c>
    </row>
    <row r="571" spans="1:20" x14ac:dyDescent="0.25">
      <c r="A571" t="s">
        <v>283</v>
      </c>
      <c r="B571" t="s">
        <v>433</v>
      </c>
      <c r="C571" t="s">
        <v>56</v>
      </c>
      <c r="D571" t="s">
        <v>38</v>
      </c>
      <c r="E571" s="49"/>
      <c r="F571" s="60">
        <v>45428</v>
      </c>
      <c r="G571" t="s">
        <v>97</v>
      </c>
      <c r="H571">
        <v>5000</v>
      </c>
      <c r="I571" s="49">
        <v>134805.20000000001</v>
      </c>
      <c r="K571" s="115">
        <v>134895.20000000001</v>
      </c>
      <c r="L571" s="49">
        <v>26.961040000000001</v>
      </c>
      <c r="M571" s="49">
        <v>26.979040000000001</v>
      </c>
      <c r="N571" s="49">
        <v>90</v>
      </c>
      <c r="O571" s="47">
        <v>6.6763003207591398E-4</v>
      </c>
      <c r="P571" s="72">
        <f t="shared" si="9"/>
        <v>309062.01845814008</v>
      </c>
      <c r="Q571" s="49" t="str">
        <f>TEXT(Table1[[#This Row],[Closing Date]],"yyyy")</f>
        <v>2024</v>
      </c>
      <c r="R571" s="49" t="str">
        <f>TEXT(Table1[[#This Row],[Closing Date]],"mmmm")</f>
        <v>May</v>
      </c>
      <c r="S571" s="49" t="s">
        <v>368</v>
      </c>
      <c r="T571" s="49" t="s">
        <v>429</v>
      </c>
    </row>
    <row r="572" spans="1:20" x14ac:dyDescent="0.25">
      <c r="A572" t="s">
        <v>283</v>
      </c>
      <c r="B572" t="s">
        <v>433</v>
      </c>
      <c r="C572" t="s">
        <v>56</v>
      </c>
      <c r="D572" t="s">
        <v>38</v>
      </c>
      <c r="E572" s="49"/>
      <c r="F572" s="60">
        <v>45428</v>
      </c>
      <c r="G572" t="s">
        <v>401</v>
      </c>
      <c r="H572">
        <v>2800</v>
      </c>
      <c r="I572" s="49">
        <v>32298</v>
      </c>
      <c r="K572" s="115">
        <v>27200.78</v>
      </c>
      <c r="L572" s="49">
        <v>11.535</v>
      </c>
      <c r="M572" s="49">
        <v>9.7145642857142853</v>
      </c>
      <c r="N572" s="49">
        <v>-5097.2200000000012</v>
      </c>
      <c r="O572" s="47">
        <v>-0.15781844077032636</v>
      </c>
      <c r="P572" s="72">
        <f t="shared" si="9"/>
        <v>303964.79845814011</v>
      </c>
      <c r="Q572" s="49" t="str">
        <f>TEXT(Table1[[#This Row],[Closing Date]],"yyyy")</f>
        <v>2024</v>
      </c>
      <c r="R572" s="49" t="str">
        <f>TEXT(Table1[[#This Row],[Closing Date]],"mmmm")</f>
        <v>May</v>
      </c>
      <c r="S572" s="49" t="s">
        <v>368</v>
      </c>
      <c r="T572" s="49" t="s">
        <v>429</v>
      </c>
    </row>
    <row r="573" spans="1:20" x14ac:dyDescent="0.25">
      <c r="A573" t="s">
        <v>283</v>
      </c>
      <c r="B573" t="s">
        <v>431</v>
      </c>
      <c r="C573" t="s">
        <v>56</v>
      </c>
      <c r="D573" t="s">
        <v>38</v>
      </c>
      <c r="E573" s="49"/>
      <c r="F573" s="60">
        <v>45429</v>
      </c>
      <c r="G573" t="s">
        <v>217</v>
      </c>
      <c r="H573">
        <v>610</v>
      </c>
      <c r="I573" s="49">
        <v>185504.05</v>
      </c>
      <c r="K573" s="115">
        <v>197936.24</v>
      </c>
      <c r="L573" s="49">
        <v>304.10499999999996</v>
      </c>
      <c r="M573" s="49">
        <v>942.55352380952377</v>
      </c>
      <c r="N573" s="49">
        <v>12432.190000000002</v>
      </c>
      <c r="O573" s="47">
        <v>6.7018428977696193E-2</v>
      </c>
      <c r="P573" s="72">
        <f t="shared" si="9"/>
        <v>316396.98845814011</v>
      </c>
      <c r="Q573" s="49" t="str">
        <f>TEXT(Table1[[#This Row],[Closing Date]],"yyyy")</f>
        <v>2024</v>
      </c>
      <c r="R573" s="49" t="str">
        <f>TEXT(Table1[[#This Row],[Closing Date]],"mmmm")</f>
        <v>May</v>
      </c>
      <c r="S573" s="49" t="s">
        <v>368</v>
      </c>
      <c r="T573" s="49" t="s">
        <v>429</v>
      </c>
    </row>
    <row r="574" spans="1:20" x14ac:dyDescent="0.25">
      <c r="A574" t="s">
        <v>283</v>
      </c>
      <c r="B574" t="s">
        <v>433</v>
      </c>
      <c r="C574" t="s">
        <v>56</v>
      </c>
      <c r="D574" t="s">
        <v>38</v>
      </c>
      <c r="E574" s="49"/>
      <c r="F574" s="60">
        <v>45429</v>
      </c>
      <c r="G574" t="s">
        <v>79</v>
      </c>
      <c r="H574">
        <v>820</v>
      </c>
      <c r="I574" s="49">
        <v>145729.4</v>
      </c>
      <c r="K574" s="115">
        <v>140579.98000000001</v>
      </c>
      <c r="L574" s="49">
        <v>177.71878048780488</v>
      </c>
      <c r="M574" s="49">
        <v>171.43900000000002</v>
      </c>
      <c r="N574" s="49">
        <v>-5149.4199999999837</v>
      </c>
      <c r="O574" s="47">
        <v>-3.5335491671550034E-2</v>
      </c>
      <c r="P574" s="72">
        <f t="shared" si="9"/>
        <v>311247.56845814013</v>
      </c>
      <c r="Q574" s="49" t="str">
        <f>TEXT(Table1[[#This Row],[Closing Date]],"yyyy")</f>
        <v>2024</v>
      </c>
      <c r="R574" s="49" t="str">
        <f>TEXT(Table1[[#This Row],[Closing Date]],"mmmm")</f>
        <v>May</v>
      </c>
      <c r="S574" s="49" t="s">
        <v>368</v>
      </c>
      <c r="T574" s="49" t="s">
        <v>429</v>
      </c>
    </row>
    <row r="575" spans="1:20" x14ac:dyDescent="0.25">
      <c r="A575" t="s">
        <v>283</v>
      </c>
      <c r="B575" t="s">
        <v>433</v>
      </c>
      <c r="C575" t="s">
        <v>56</v>
      </c>
      <c r="D575" t="s">
        <v>38</v>
      </c>
      <c r="E575" s="49"/>
      <c r="F575" s="60">
        <v>45430</v>
      </c>
      <c r="G575" t="s">
        <v>204</v>
      </c>
      <c r="H575">
        <v>800</v>
      </c>
      <c r="I575" s="49">
        <v>98573.94</v>
      </c>
      <c r="K575" s="115">
        <v>93249.78</v>
      </c>
      <c r="L575" s="49">
        <v>123.21742500000001</v>
      </c>
      <c r="M575" s="49">
        <v>116.562225</v>
      </c>
      <c r="N575" s="49">
        <v>-5324.1600000000035</v>
      </c>
      <c r="O575" s="47">
        <v>-5.4011841263522625E-2</v>
      </c>
      <c r="P575" s="72">
        <f t="shared" si="9"/>
        <v>305923.4084581401</v>
      </c>
      <c r="Q575" s="49" t="str">
        <f>TEXT(Table1[[#This Row],[Closing Date]],"yyyy")</f>
        <v>2024</v>
      </c>
      <c r="R575" s="49" t="str">
        <f>TEXT(Table1[[#This Row],[Closing Date]],"mmmm")</f>
        <v>May</v>
      </c>
      <c r="S575" s="49" t="s">
        <v>368</v>
      </c>
      <c r="T575" s="49" t="s">
        <v>429</v>
      </c>
    </row>
    <row r="576" spans="1:20" x14ac:dyDescent="0.25">
      <c r="A576" t="s">
        <v>283</v>
      </c>
      <c r="B576" t="s">
        <v>433</v>
      </c>
      <c r="C576" t="s">
        <v>56</v>
      </c>
      <c r="D576" t="s">
        <v>38</v>
      </c>
      <c r="E576" s="49"/>
      <c r="F576" s="60">
        <v>45432</v>
      </c>
      <c r="G576" t="s">
        <v>146</v>
      </c>
      <c r="H576">
        <v>1300</v>
      </c>
      <c r="I576" s="49">
        <v>240506.5</v>
      </c>
      <c r="K576" s="115">
        <v>233279.78</v>
      </c>
      <c r="L576" s="49">
        <v>185.005</v>
      </c>
      <c r="M576" s="49">
        <v>179.44598461538462</v>
      </c>
      <c r="N576" s="49">
        <v>-7226.7200000000012</v>
      </c>
      <c r="O576" s="47">
        <v>-3.0047919702793899E-2</v>
      </c>
      <c r="P576" s="72">
        <f t="shared" si="9"/>
        <v>298696.68845814012</v>
      </c>
      <c r="Q576" s="49" t="str">
        <f>TEXT(Table1[[#This Row],[Closing Date]],"yyyy")</f>
        <v>2024</v>
      </c>
      <c r="R576" s="49" t="str">
        <f>TEXT(Table1[[#This Row],[Closing Date]],"mmmm")</f>
        <v>May</v>
      </c>
      <c r="S576" s="49" t="s">
        <v>368</v>
      </c>
      <c r="T576" s="49" t="s">
        <v>429</v>
      </c>
    </row>
    <row r="577" spans="1:20" x14ac:dyDescent="0.25">
      <c r="A577" t="s">
        <v>283</v>
      </c>
      <c r="B577" t="s">
        <v>431</v>
      </c>
      <c r="C577" t="s">
        <v>56</v>
      </c>
      <c r="D577" t="s">
        <v>38</v>
      </c>
      <c r="E577" s="49"/>
      <c r="F577" s="60">
        <v>45432</v>
      </c>
      <c r="G577" t="s">
        <v>208</v>
      </c>
      <c r="H577">
        <v>2500</v>
      </c>
      <c r="I577" s="49">
        <v>209862.5</v>
      </c>
      <c r="K577" s="115">
        <v>199162.76</v>
      </c>
      <c r="L577" s="49">
        <v>83.944999999999993</v>
      </c>
      <c r="M577" s="49">
        <v>79.665103999999999</v>
      </c>
      <c r="N577" s="49">
        <v>-10699.739999999991</v>
      </c>
      <c r="O577" s="47">
        <v>-5.0984525582226416E-2</v>
      </c>
      <c r="P577" s="72">
        <f t="shared" si="9"/>
        <v>287996.94845814013</v>
      </c>
      <c r="Q577" s="49" t="str">
        <f>TEXT(Table1[[#This Row],[Closing Date]],"yyyy")</f>
        <v>2024</v>
      </c>
      <c r="R577" s="49" t="str">
        <f>TEXT(Table1[[#This Row],[Closing Date]],"mmmm")</f>
        <v>May</v>
      </c>
      <c r="S577" s="49" t="s">
        <v>368</v>
      </c>
      <c r="T577" s="49" t="s">
        <v>429</v>
      </c>
    </row>
    <row r="578" spans="1:20" x14ac:dyDescent="0.25">
      <c r="A578" t="s">
        <v>283</v>
      </c>
      <c r="B578" t="s">
        <v>431</v>
      </c>
      <c r="C578" t="s">
        <v>56</v>
      </c>
      <c r="D578" t="s">
        <v>38</v>
      </c>
      <c r="E578" s="49"/>
      <c r="F578" s="60">
        <v>45432</v>
      </c>
      <c r="G578" t="s">
        <v>63</v>
      </c>
      <c r="H578">
        <v>3500</v>
      </c>
      <c r="I578" s="49">
        <v>77717.5</v>
      </c>
      <c r="K578" s="115">
        <v>72920.5</v>
      </c>
      <c r="L578" s="49">
        <v>22.204999999999998</v>
      </c>
      <c r="M578" s="49">
        <v>20.834428571428571</v>
      </c>
      <c r="N578" s="49">
        <v>-4797</v>
      </c>
      <c r="O578" s="47">
        <v>-6.1723550036992952E-2</v>
      </c>
      <c r="P578" s="72">
        <f t="shared" si="9"/>
        <v>283199.94845814013</v>
      </c>
      <c r="Q578" s="49" t="str">
        <f>TEXT(Table1[[#This Row],[Closing Date]],"yyyy")</f>
        <v>2024</v>
      </c>
      <c r="R578" s="49" t="str">
        <f>TEXT(Table1[[#This Row],[Closing Date]],"mmmm")</f>
        <v>May</v>
      </c>
      <c r="S578" s="49" t="s">
        <v>368</v>
      </c>
      <c r="T578" s="49" t="s">
        <v>429</v>
      </c>
    </row>
    <row r="579" spans="1:20" x14ac:dyDescent="0.25">
      <c r="A579" t="s">
        <v>283</v>
      </c>
      <c r="B579" t="s">
        <v>431</v>
      </c>
      <c r="C579" t="s">
        <v>56</v>
      </c>
      <c r="D579" t="s">
        <v>38</v>
      </c>
      <c r="E579" s="49"/>
      <c r="F579" s="60">
        <v>45432</v>
      </c>
      <c r="G579" t="s">
        <v>119</v>
      </c>
      <c r="H579">
        <v>100</v>
      </c>
      <c r="I579" s="49">
        <v>89990.200000000012</v>
      </c>
      <c r="K579" s="115">
        <v>83797.650000000009</v>
      </c>
      <c r="L579" s="49">
        <v>899.90200000000016</v>
      </c>
      <c r="M579" s="49">
        <v>837.9765000000001</v>
      </c>
      <c r="N579" s="49">
        <v>-6192.5500000000029</v>
      </c>
      <c r="O579" s="47">
        <v>-6.8813604148007246E-2</v>
      </c>
      <c r="P579" s="72">
        <f t="shared" si="9"/>
        <v>277007.39845814015</v>
      </c>
      <c r="Q579" s="49" t="str">
        <f>TEXT(Table1[[#This Row],[Closing Date]],"yyyy")</f>
        <v>2024</v>
      </c>
      <c r="R579" s="49" t="str">
        <f>TEXT(Table1[[#This Row],[Closing Date]],"mmmm")</f>
        <v>May</v>
      </c>
      <c r="S579" s="49" t="s">
        <v>368</v>
      </c>
      <c r="T579" s="49" t="s">
        <v>429</v>
      </c>
    </row>
    <row r="580" spans="1:20" x14ac:dyDescent="0.25">
      <c r="A580" t="s">
        <v>283</v>
      </c>
      <c r="B580" t="s">
        <v>431</v>
      </c>
      <c r="C580" t="s">
        <v>51</v>
      </c>
      <c r="D580" t="s">
        <v>38</v>
      </c>
      <c r="E580" s="49"/>
      <c r="F580" s="60">
        <v>45433</v>
      </c>
      <c r="G580" t="s">
        <v>398</v>
      </c>
      <c r="H580">
        <v>5</v>
      </c>
      <c r="I580" s="49">
        <v>157514.85</v>
      </c>
      <c r="K580" s="115">
        <v>174985.15</v>
      </c>
      <c r="L580" s="49">
        <v>630.05939999999998</v>
      </c>
      <c r="M580" s="49">
        <v>34.997030000000002</v>
      </c>
      <c r="N580" s="49">
        <v>17470.299999999988</v>
      </c>
      <c r="O580" s="47">
        <v>0.11091208225764103</v>
      </c>
      <c r="P580" s="72">
        <f t="shared" si="9"/>
        <v>294477.69845814013</v>
      </c>
      <c r="Q580" s="49" t="str">
        <f>TEXT(Table1[[#This Row],[Closing Date]],"yyyy")</f>
        <v>2024</v>
      </c>
      <c r="R580" s="49" t="str">
        <f>TEXT(Table1[[#This Row],[Closing Date]],"mmmm")</f>
        <v>May</v>
      </c>
      <c r="S580" s="49" t="s">
        <v>368</v>
      </c>
      <c r="T580" s="49" t="s">
        <v>429</v>
      </c>
    </row>
    <row r="581" spans="1:20" x14ac:dyDescent="0.25">
      <c r="A581" t="s">
        <v>283</v>
      </c>
      <c r="B581" t="s">
        <v>431</v>
      </c>
      <c r="C581" t="s">
        <v>56</v>
      </c>
      <c r="D581" t="s">
        <v>38</v>
      </c>
      <c r="E581" s="49"/>
      <c r="F581" s="60">
        <v>45433</v>
      </c>
      <c r="G581" t="s">
        <v>402</v>
      </c>
      <c r="H581">
        <v>5000</v>
      </c>
      <c r="I581" s="49">
        <v>204145</v>
      </c>
      <c r="K581" s="115">
        <v>196498.3</v>
      </c>
      <c r="L581" s="49">
        <v>40.829000000000001</v>
      </c>
      <c r="M581" s="49">
        <v>39.299659999999996</v>
      </c>
      <c r="N581" s="49">
        <v>-7646.7000000000116</v>
      </c>
      <c r="O581" s="47">
        <v>-3.7457199539543032E-2</v>
      </c>
      <c r="P581" s="72">
        <f t="shared" si="9"/>
        <v>286830.99845814012</v>
      </c>
      <c r="Q581" s="49" t="str">
        <f>TEXT(Table1[[#This Row],[Closing Date]],"yyyy")</f>
        <v>2024</v>
      </c>
      <c r="R581" s="49" t="str">
        <f>TEXT(Table1[[#This Row],[Closing Date]],"mmmm")</f>
        <v>May</v>
      </c>
      <c r="S581" s="49" t="s">
        <v>368</v>
      </c>
      <c r="T581" s="49" t="s">
        <v>429</v>
      </c>
    </row>
    <row r="582" spans="1:20" x14ac:dyDescent="0.25">
      <c r="A582" t="s">
        <v>283</v>
      </c>
      <c r="B582" t="s">
        <v>433</v>
      </c>
      <c r="C582" t="s">
        <v>56</v>
      </c>
      <c r="D582" t="s">
        <v>38</v>
      </c>
      <c r="E582" s="90">
        <v>45427</v>
      </c>
      <c r="F582" s="60">
        <v>45434</v>
      </c>
      <c r="G582" t="s">
        <v>428</v>
      </c>
      <c r="H582">
        <v>1200</v>
      </c>
      <c r="I582" s="49">
        <v>141911.88</v>
      </c>
      <c r="J582" s="106">
        <v>1</v>
      </c>
      <c r="K582" s="115">
        <v>137973.35999999999</v>
      </c>
      <c r="L582" s="49">
        <f>Table1[[#This Row],[Open Value]]/Table1[[#This Row],[Shares]]/Table1[[#This Row],[Multiplier]]</f>
        <v>118.2599</v>
      </c>
      <c r="M582" s="49">
        <f>Table1[[#This Row],[Close Value]]/Table1[[#This Row],[Shares]]/Table1[[#This Row],[Multiplier]]</f>
        <v>114.97779999999999</v>
      </c>
      <c r="N582" s="49">
        <f>Table1[[#This Row],[Close Value]]-Table1[[#This Row],[Open Value]]</f>
        <v>-3938.5200000000186</v>
      </c>
      <c r="O582" s="47">
        <f>Table1[[#This Row],[PnL]]/Table1[[#This Row],[Open Value]]</f>
        <v>-2.7753279006662575E-2</v>
      </c>
      <c r="P582" s="72">
        <f t="shared" si="9"/>
        <v>282892.4784581401</v>
      </c>
      <c r="Q582" s="49" t="str">
        <f>TEXT(Table1[[#This Row],[Closing Date]],"yyyy")</f>
        <v>2024</v>
      </c>
      <c r="R582" s="49" t="str">
        <f>TEXT(Table1[[#This Row],[Closing Date]],"mmmm")</f>
        <v>May</v>
      </c>
      <c r="S582" s="49" t="s">
        <v>368</v>
      </c>
      <c r="T582" s="49" t="s">
        <v>285</v>
      </c>
    </row>
    <row r="583" spans="1:20" x14ac:dyDescent="0.25">
      <c r="A583" t="s">
        <v>276</v>
      </c>
      <c r="B583" t="s">
        <v>434</v>
      </c>
      <c r="C583" t="s">
        <v>152</v>
      </c>
      <c r="D583" t="s">
        <v>38</v>
      </c>
      <c r="E583" s="49"/>
      <c r="F583" s="60">
        <v>45435</v>
      </c>
      <c r="G583" t="s">
        <v>198</v>
      </c>
      <c r="H583">
        <v>5</v>
      </c>
      <c r="I583" s="49">
        <v>8698.48</v>
      </c>
      <c r="J583" s="106">
        <v>100</v>
      </c>
      <c r="K583" s="115">
        <v>6487</v>
      </c>
      <c r="L583" s="49">
        <v>17.39696</v>
      </c>
      <c r="M583" s="49">
        <v>12.974</v>
      </c>
      <c r="N583" s="49">
        <v>-2211.4799999999996</v>
      </c>
      <c r="O583" s="47">
        <v>-0.25423752195785931</v>
      </c>
      <c r="P583" s="72">
        <f t="shared" si="9"/>
        <v>280680.99845814012</v>
      </c>
      <c r="Q583" s="49" t="str">
        <f>TEXT(Table1[[#This Row],[Closing Date]],"yyyy")</f>
        <v>2024</v>
      </c>
      <c r="R583" s="49" t="str">
        <f>TEXT(Table1[[#This Row],[Closing Date]],"mmmm")</f>
        <v>May</v>
      </c>
      <c r="S583" s="49" t="s">
        <v>368</v>
      </c>
      <c r="T583" s="49" t="s">
        <v>429</v>
      </c>
    </row>
    <row r="584" spans="1:20" x14ac:dyDescent="0.25">
      <c r="A584" t="s">
        <v>276</v>
      </c>
      <c r="B584" t="s">
        <v>430</v>
      </c>
      <c r="C584" t="s">
        <v>152</v>
      </c>
      <c r="D584" t="s">
        <v>38</v>
      </c>
      <c r="E584" s="90">
        <v>45371</v>
      </c>
      <c r="F584" s="60">
        <v>45435</v>
      </c>
      <c r="G584" t="s">
        <v>291</v>
      </c>
      <c r="H584">
        <v>100</v>
      </c>
      <c r="I584" s="49">
        <v>9992.23</v>
      </c>
      <c r="J584" s="106">
        <v>100</v>
      </c>
      <c r="K584" s="115">
        <v>0</v>
      </c>
      <c r="L584" s="49">
        <f>Table1[[#This Row],[Open Value]]/Table1[[#This Row],[Shares]]/Table1[[#This Row],[Multiplier]]</f>
        <v>0.99922299999999997</v>
      </c>
      <c r="M584" s="49">
        <f>Table1[[#This Row],[Close Value]]/Table1[[#This Row],[Shares]]/Table1[[#This Row],[Multiplier]]</f>
        <v>0</v>
      </c>
      <c r="N584" s="49">
        <f>79.57-1870.97</f>
        <v>-1791.4</v>
      </c>
      <c r="O584" s="47">
        <f>Table1[[#This Row],[PnL]]/Table1[[#This Row],[Open Value]]</f>
        <v>-0.17927930001611253</v>
      </c>
      <c r="P584" s="72">
        <f t="shared" si="9"/>
        <v>278889.5984581401</v>
      </c>
      <c r="Q584" s="49" t="str">
        <f>TEXT(Table1[[#This Row],[Closing Date]],"yyyy")</f>
        <v>2024</v>
      </c>
      <c r="R584" s="49" t="str">
        <f>TEXT(Table1[[#This Row],[Closing Date]],"mmmm")</f>
        <v>May</v>
      </c>
      <c r="S584" s="49"/>
      <c r="T584" s="49"/>
    </row>
    <row r="585" spans="1:20" x14ac:dyDescent="0.25">
      <c r="A585" t="s">
        <v>276</v>
      </c>
      <c r="B585" t="s">
        <v>430</v>
      </c>
      <c r="C585" t="s">
        <v>152</v>
      </c>
      <c r="D585" t="s">
        <v>38</v>
      </c>
      <c r="E585" s="90">
        <v>45432</v>
      </c>
      <c r="F585" s="60">
        <v>45436</v>
      </c>
      <c r="G585" t="s">
        <v>79</v>
      </c>
      <c r="H585">
        <v>10</v>
      </c>
      <c r="I585" s="49">
        <v>2607</v>
      </c>
      <c r="J585" s="106">
        <v>100</v>
      </c>
      <c r="K585" s="115">
        <v>5535.96</v>
      </c>
      <c r="L585" s="49">
        <v>2.6069999999999998</v>
      </c>
      <c r="M585" s="49">
        <v>7.9085142857142854</v>
      </c>
      <c r="N585" s="49">
        <v>2928.96</v>
      </c>
      <c r="O585" s="47">
        <v>2.0335689626828866</v>
      </c>
      <c r="P585" s="72">
        <f t="shared" si="9"/>
        <v>281818.55845814012</v>
      </c>
      <c r="Q585" s="49" t="str">
        <f>TEXT(Table1[[#This Row],[Closing Date]],"yyyy")</f>
        <v>2024</v>
      </c>
      <c r="R585" s="49" t="str">
        <f>TEXT(Table1[[#This Row],[Closing Date]],"mmmm")</f>
        <v>May</v>
      </c>
      <c r="S585" s="49" t="s">
        <v>368</v>
      </c>
      <c r="T585" s="49" t="s">
        <v>429</v>
      </c>
    </row>
    <row r="586" spans="1:20" x14ac:dyDescent="0.25">
      <c r="A586" t="s">
        <v>283</v>
      </c>
      <c r="B586" t="s">
        <v>431</v>
      </c>
      <c r="C586" t="s">
        <v>51</v>
      </c>
      <c r="D586" t="s">
        <v>38</v>
      </c>
      <c r="E586" s="49"/>
      <c r="F586" s="60">
        <v>45440</v>
      </c>
      <c r="G586" t="s">
        <v>133</v>
      </c>
      <c r="H586">
        <v>13</v>
      </c>
      <c r="I586" s="49">
        <v>84173.51</v>
      </c>
      <c r="K586" s="115">
        <v>88161</v>
      </c>
      <c r="L586" s="49">
        <v>64748.853846153841</v>
      </c>
      <c r="M586" s="49">
        <v>6.7816153846153844</v>
      </c>
      <c r="N586" s="49">
        <v>3987.4900000000052</v>
      </c>
      <c r="O586" s="47">
        <v>4.7372267118241898E-2</v>
      </c>
      <c r="P586" s="72">
        <f t="shared" si="9"/>
        <v>285806.04845814011</v>
      </c>
      <c r="Q586" s="49" t="str">
        <f>TEXT(Table1[[#This Row],[Closing Date]],"yyyy")</f>
        <v>2024</v>
      </c>
      <c r="R586" s="49" t="str">
        <f>TEXT(Table1[[#This Row],[Closing Date]],"mmmm")</f>
        <v>May</v>
      </c>
      <c r="S586" s="49" t="s">
        <v>368</v>
      </c>
      <c r="T586" s="49" t="s">
        <v>429</v>
      </c>
    </row>
    <row r="587" spans="1:20" x14ac:dyDescent="0.25">
      <c r="A587" t="s">
        <v>283</v>
      </c>
      <c r="B587" t="s">
        <v>431</v>
      </c>
      <c r="C587" t="s">
        <v>51</v>
      </c>
      <c r="D587" t="s">
        <v>38</v>
      </c>
      <c r="E587" s="49"/>
      <c r="F587" s="60">
        <v>45440</v>
      </c>
      <c r="G587" t="s">
        <v>399</v>
      </c>
      <c r="H587">
        <v>350</v>
      </c>
      <c r="I587" s="49">
        <v>100234</v>
      </c>
      <c r="K587" s="115">
        <v>111571.65</v>
      </c>
      <c r="L587" s="49">
        <v>0.25569897959183674</v>
      </c>
      <c r="M587" s="49">
        <v>0.31877614285714284</v>
      </c>
      <c r="N587" s="49">
        <v>11337.649999999994</v>
      </c>
      <c r="O587" s="47">
        <v>0.11311181834507247</v>
      </c>
      <c r="P587" s="72">
        <f t="shared" si="9"/>
        <v>297143.69845814013</v>
      </c>
      <c r="Q587" s="49" t="str">
        <f>TEXT(Table1[[#This Row],[Closing Date]],"yyyy")</f>
        <v>2024</v>
      </c>
      <c r="R587" s="49" t="str">
        <f>TEXT(Table1[[#This Row],[Closing Date]],"mmmm")</f>
        <v>May</v>
      </c>
      <c r="S587" s="49" t="s">
        <v>368</v>
      </c>
      <c r="T587" s="49" t="s">
        <v>429</v>
      </c>
    </row>
    <row r="588" spans="1:20" x14ac:dyDescent="0.25">
      <c r="A588" t="s">
        <v>283</v>
      </c>
      <c r="B588" t="s">
        <v>431</v>
      </c>
      <c r="C588" t="s">
        <v>56</v>
      </c>
      <c r="D588" t="s">
        <v>38</v>
      </c>
      <c r="E588" s="49"/>
      <c r="F588" s="60">
        <v>45440</v>
      </c>
      <c r="G588" t="s">
        <v>338</v>
      </c>
      <c r="H588">
        <v>3800</v>
      </c>
      <c r="I588" s="49">
        <v>70699</v>
      </c>
      <c r="K588" s="115">
        <v>63360.93</v>
      </c>
      <c r="L588" s="49">
        <v>18.605</v>
      </c>
      <c r="M588" s="49">
        <v>16.67392894736842</v>
      </c>
      <c r="N588" s="49">
        <v>-7338.07</v>
      </c>
      <c r="O588" s="47">
        <v>-0.10379312295789191</v>
      </c>
      <c r="P588" s="72">
        <f t="shared" si="9"/>
        <v>289805.62845814013</v>
      </c>
      <c r="Q588" s="49" t="str">
        <f>TEXT(Table1[[#This Row],[Closing Date]],"yyyy")</f>
        <v>2024</v>
      </c>
      <c r="R588" s="49" t="str">
        <f>TEXT(Table1[[#This Row],[Closing Date]],"mmmm")</f>
        <v>May</v>
      </c>
      <c r="S588" s="49" t="s">
        <v>368</v>
      </c>
      <c r="T588" s="49" t="s">
        <v>429</v>
      </c>
    </row>
    <row r="589" spans="1:20" x14ac:dyDescent="0.25">
      <c r="A589" t="s">
        <v>283</v>
      </c>
      <c r="B589" t="s">
        <v>431</v>
      </c>
      <c r="C589" t="s">
        <v>56</v>
      </c>
      <c r="D589" t="s">
        <v>38</v>
      </c>
      <c r="E589" s="49"/>
      <c r="F589" s="60">
        <v>45440</v>
      </c>
      <c r="G589" t="s">
        <v>63</v>
      </c>
      <c r="H589">
        <v>2700</v>
      </c>
      <c r="I589" s="49">
        <v>61030.689999999995</v>
      </c>
      <c r="K589" s="115">
        <v>55792.92</v>
      </c>
      <c r="L589" s="49">
        <v>22.603959259259259</v>
      </c>
      <c r="M589" s="49">
        <v>20.664044444444443</v>
      </c>
      <c r="N589" s="49">
        <v>-5237.7699999999968</v>
      </c>
      <c r="O589" s="47">
        <v>-8.5821903701236171E-2</v>
      </c>
      <c r="P589" s="72">
        <f t="shared" si="9"/>
        <v>284567.85845814011</v>
      </c>
      <c r="Q589" s="49" t="str">
        <f>TEXT(Table1[[#This Row],[Closing Date]],"yyyy")</f>
        <v>2024</v>
      </c>
      <c r="R589" s="49" t="str">
        <f>TEXT(Table1[[#This Row],[Closing Date]],"mmmm")</f>
        <v>May</v>
      </c>
      <c r="S589" s="49" t="s">
        <v>368</v>
      </c>
      <c r="T589" s="49" t="s">
        <v>429</v>
      </c>
    </row>
    <row r="590" spans="1:20" x14ac:dyDescent="0.25">
      <c r="A590" t="s">
        <v>283</v>
      </c>
      <c r="B590" t="s">
        <v>431</v>
      </c>
      <c r="C590" t="s">
        <v>51</v>
      </c>
      <c r="D590" t="s">
        <v>38</v>
      </c>
      <c r="E590" s="49"/>
      <c r="F590" s="60">
        <v>45440</v>
      </c>
      <c r="G590" t="s">
        <v>399</v>
      </c>
      <c r="H590">
        <v>300</v>
      </c>
      <c r="I590" s="49">
        <v>116851</v>
      </c>
      <c r="K590" s="115">
        <v>106275.2</v>
      </c>
      <c r="L590" s="49">
        <v>3895.0333333333333</v>
      </c>
      <c r="M590" s="49">
        <v>0.35425066666666666</v>
      </c>
      <c r="N590" s="49">
        <v>-10575.800000000003</v>
      </c>
      <c r="O590" s="47">
        <v>-9.050671367810291E-2</v>
      </c>
      <c r="P590" s="72">
        <f t="shared" si="9"/>
        <v>273992.05845814012</v>
      </c>
      <c r="Q590" s="49" t="str">
        <f>TEXT(Table1[[#This Row],[Closing Date]],"yyyy")</f>
        <v>2024</v>
      </c>
      <c r="R590" s="49" t="str">
        <f>TEXT(Table1[[#This Row],[Closing Date]],"mmmm")</f>
        <v>May</v>
      </c>
      <c r="S590" s="49" t="s">
        <v>368</v>
      </c>
      <c r="T590" s="49" t="s">
        <v>429</v>
      </c>
    </row>
    <row r="591" spans="1:20" x14ac:dyDescent="0.25">
      <c r="A591" t="s">
        <v>283</v>
      </c>
      <c r="B591" t="s">
        <v>431</v>
      </c>
      <c r="C591" t="s">
        <v>51</v>
      </c>
      <c r="D591" t="s">
        <v>38</v>
      </c>
      <c r="E591" s="49"/>
      <c r="F591" s="60">
        <v>45442</v>
      </c>
      <c r="G591" t="s">
        <v>52</v>
      </c>
      <c r="H591">
        <v>7</v>
      </c>
      <c r="I591" s="49">
        <v>539086.59</v>
      </c>
      <c r="K591" s="115">
        <v>529533.40999999992</v>
      </c>
      <c r="L591" s="49">
        <v>77.01236999999999</v>
      </c>
      <c r="M591" s="49">
        <v>75.647629999999978</v>
      </c>
      <c r="N591" s="49">
        <v>-9553.1800000000512</v>
      </c>
      <c r="O591" s="47">
        <v>-1.7721049228844762E-2</v>
      </c>
      <c r="P591" s="72">
        <f t="shared" si="9"/>
        <v>264438.87845814007</v>
      </c>
      <c r="Q591" s="49" t="str">
        <f>TEXT(Table1[[#This Row],[Closing Date]],"yyyy")</f>
        <v>2024</v>
      </c>
      <c r="R591" s="49" t="str">
        <f>TEXT(Table1[[#This Row],[Closing Date]],"mmmm")</f>
        <v>May</v>
      </c>
      <c r="S591" s="49" t="s">
        <v>368</v>
      </c>
      <c r="T591" s="49" t="s">
        <v>429</v>
      </c>
    </row>
    <row r="592" spans="1:20" x14ac:dyDescent="0.25">
      <c r="A592" t="s">
        <v>283</v>
      </c>
      <c r="B592" t="s">
        <v>431</v>
      </c>
      <c r="C592" t="s">
        <v>56</v>
      </c>
      <c r="D592" t="s">
        <v>38</v>
      </c>
      <c r="E592" s="49"/>
      <c r="F592" s="60">
        <v>45442</v>
      </c>
      <c r="G592" t="s">
        <v>208</v>
      </c>
      <c r="H592">
        <v>1500</v>
      </c>
      <c r="I592" s="49">
        <v>125954</v>
      </c>
      <c r="K592" s="115">
        <v>116454.26</v>
      </c>
      <c r="L592" s="49">
        <v>83.969333333333338</v>
      </c>
      <c r="M592" s="49">
        <v>77.636173333333332</v>
      </c>
      <c r="N592" s="49">
        <v>-9499.7400000000052</v>
      </c>
      <c r="O592" s="47">
        <v>-7.5422297029074145E-2</v>
      </c>
      <c r="P592" s="72">
        <f t="shared" si="9"/>
        <v>254939.13845814008</v>
      </c>
      <c r="Q592" s="49" t="str">
        <f>TEXT(Table1[[#This Row],[Closing Date]],"yyyy")</f>
        <v>2024</v>
      </c>
      <c r="R592" s="49" t="str">
        <f>TEXT(Table1[[#This Row],[Closing Date]],"mmmm")</f>
        <v>May</v>
      </c>
      <c r="S592" s="49" t="s">
        <v>368</v>
      </c>
      <c r="T592" s="49" t="s">
        <v>429</v>
      </c>
    </row>
    <row r="593" spans="1:20" x14ac:dyDescent="0.25">
      <c r="A593" t="s">
        <v>283</v>
      </c>
      <c r="B593" t="s">
        <v>433</v>
      </c>
      <c r="C593" t="s">
        <v>56</v>
      </c>
      <c r="D593" t="s">
        <v>38</v>
      </c>
      <c r="E593" s="90">
        <v>45432</v>
      </c>
      <c r="F593" s="60">
        <v>45443</v>
      </c>
      <c r="G593" t="s">
        <v>146</v>
      </c>
      <c r="H593">
        <v>650</v>
      </c>
      <c r="I593" s="49">
        <v>121296.37</v>
      </c>
      <c r="J593" s="106">
        <v>1</v>
      </c>
      <c r="K593" s="115">
        <v>116285.32</v>
      </c>
      <c r="L593" s="49">
        <f>Table1[[#This Row],[Open Value]]/Table1[[#This Row],[Shares]]/Table1[[#This Row],[Multiplier]]</f>
        <v>186.60980000000001</v>
      </c>
      <c r="M593" s="49">
        <f>Table1[[#This Row],[Close Value]]/Table1[[#This Row],[Shares]]/Table1[[#This Row],[Multiplier]]</f>
        <v>178.90049230769233</v>
      </c>
      <c r="N593" s="49">
        <f>Table1[[#This Row],[Close Value]]-Table1[[#This Row],[Open Value]]</f>
        <v>-5011.0499999999884</v>
      </c>
      <c r="O593" s="47">
        <f>Table1[[#This Row],[PnL]]/Table1[[#This Row],[Open Value]]</f>
        <v>-4.1312448179611549E-2</v>
      </c>
      <c r="P593" s="72">
        <f t="shared" si="9"/>
        <v>249928.08845814009</v>
      </c>
      <c r="Q593" s="49" t="str">
        <f>TEXT(Table1[[#This Row],[Closing Date]],"yyyy")</f>
        <v>2024</v>
      </c>
      <c r="R593" s="49" t="str">
        <f>TEXT(Table1[[#This Row],[Closing Date]],"mmmm")</f>
        <v>May</v>
      </c>
      <c r="S593" s="49" t="s">
        <v>368</v>
      </c>
      <c r="T593" s="49" t="s">
        <v>285</v>
      </c>
    </row>
    <row r="594" spans="1:20" x14ac:dyDescent="0.25">
      <c r="A594" t="s">
        <v>283</v>
      </c>
      <c r="B594" t="s">
        <v>431</v>
      </c>
      <c r="C594" t="s">
        <v>51</v>
      </c>
      <c r="D594" t="s">
        <v>38</v>
      </c>
      <c r="E594" s="49"/>
      <c r="F594" s="60">
        <v>45446</v>
      </c>
      <c r="G594" t="s">
        <v>135</v>
      </c>
      <c r="H594">
        <v>5</v>
      </c>
      <c r="I594" s="49">
        <v>304000</v>
      </c>
      <c r="K594" s="115">
        <v>299295.3</v>
      </c>
      <c r="L594" s="49">
        <v>1216</v>
      </c>
      <c r="M594" s="49">
        <v>59.859059999999999</v>
      </c>
      <c r="N594" s="49">
        <v>-4704.7000000000116</v>
      </c>
      <c r="O594" s="47">
        <v>-1.5475986842105301E-2</v>
      </c>
      <c r="P594" s="72">
        <f t="shared" si="9"/>
        <v>245223.38845814008</v>
      </c>
      <c r="Q594" s="49" t="str">
        <f>TEXT(Table1[[#This Row],[Closing Date]],"yyyy")</f>
        <v>2024</v>
      </c>
      <c r="R594" s="49" t="str">
        <f>TEXT(Table1[[#This Row],[Closing Date]],"mmmm")</f>
        <v>June</v>
      </c>
      <c r="S594" s="49" t="s">
        <v>368</v>
      </c>
      <c r="T594" s="49" t="s">
        <v>429</v>
      </c>
    </row>
    <row r="595" spans="1:20" x14ac:dyDescent="0.25">
      <c r="A595" t="s">
        <v>283</v>
      </c>
      <c r="B595" t="s">
        <v>431</v>
      </c>
      <c r="C595" t="s">
        <v>51</v>
      </c>
      <c r="D595" t="s">
        <v>38</v>
      </c>
      <c r="E595" s="49"/>
      <c r="F595" s="60">
        <v>45448</v>
      </c>
      <c r="G595" t="s">
        <v>398</v>
      </c>
      <c r="H595">
        <v>4</v>
      </c>
      <c r="I595" s="49">
        <v>139150</v>
      </c>
      <c r="K595" s="115">
        <v>130050</v>
      </c>
      <c r="L595" s="49">
        <v>695.75</v>
      </c>
      <c r="M595" s="49">
        <v>32.512500000000003</v>
      </c>
      <c r="N595" s="49">
        <v>-9100</v>
      </c>
      <c r="O595" s="47">
        <v>-6.5397053539346023E-2</v>
      </c>
      <c r="P595" s="72">
        <f t="shared" si="9"/>
        <v>236123.38845814008</v>
      </c>
      <c r="Q595" s="49" t="str">
        <f>TEXT(Table1[[#This Row],[Closing Date]],"yyyy")</f>
        <v>2024</v>
      </c>
      <c r="R595" s="49" t="str">
        <f>TEXT(Table1[[#This Row],[Closing Date]],"mmmm")</f>
        <v>June</v>
      </c>
      <c r="S595" s="49" t="s">
        <v>368</v>
      </c>
      <c r="T595" s="49" t="s">
        <v>429</v>
      </c>
    </row>
    <row r="596" spans="1:20" x14ac:dyDescent="0.25">
      <c r="A596" t="s">
        <v>276</v>
      </c>
      <c r="B596" t="s">
        <v>430</v>
      </c>
      <c r="C596" t="s">
        <v>152</v>
      </c>
      <c r="D596" t="s">
        <v>38</v>
      </c>
      <c r="E596" s="90">
        <v>45440</v>
      </c>
      <c r="F596" s="60">
        <v>45450</v>
      </c>
      <c r="G596" t="s">
        <v>155</v>
      </c>
      <c r="H596">
        <v>10</v>
      </c>
      <c r="I596" s="49">
        <v>3296.97</v>
      </c>
      <c r="J596" s="106">
        <v>100</v>
      </c>
      <c r="K596" s="115">
        <v>0</v>
      </c>
      <c r="L596" s="49">
        <v>3.29697</v>
      </c>
      <c r="M596" s="49">
        <v>0</v>
      </c>
      <c r="N596" s="49">
        <v>-3296.97</v>
      </c>
      <c r="O596" s="47">
        <v>-1</v>
      </c>
      <c r="P596" s="72">
        <f t="shared" si="9"/>
        <v>232826.41845814008</v>
      </c>
      <c r="Q596" s="49" t="str">
        <f>TEXT(Table1[[#This Row],[Closing Date]],"yyyy")</f>
        <v>2024</v>
      </c>
      <c r="R596" s="49" t="str">
        <f>TEXT(Table1[[#This Row],[Closing Date]],"mmmm")</f>
        <v>June</v>
      </c>
      <c r="S596" s="49" t="s">
        <v>368</v>
      </c>
      <c r="T596" s="49" t="s">
        <v>429</v>
      </c>
    </row>
    <row r="597" spans="1:20" x14ac:dyDescent="0.25">
      <c r="A597" t="s">
        <v>283</v>
      </c>
      <c r="B597" t="s">
        <v>431</v>
      </c>
      <c r="C597" t="s">
        <v>56</v>
      </c>
      <c r="D597" t="s">
        <v>38</v>
      </c>
      <c r="E597" s="49"/>
      <c r="F597" s="60">
        <v>45450</v>
      </c>
      <c r="G597" t="s">
        <v>201</v>
      </c>
      <c r="H597">
        <v>1000</v>
      </c>
      <c r="I597" s="49">
        <v>138552.85</v>
      </c>
      <c r="K597" s="115">
        <v>128582.36</v>
      </c>
      <c r="L597" s="49">
        <v>138.55285000000001</v>
      </c>
      <c r="M597" s="49">
        <v>128.58235999999999</v>
      </c>
      <c r="N597" s="49">
        <v>-9970.4900000000052</v>
      </c>
      <c r="O597" s="47">
        <v>-7.1961637743287163E-2</v>
      </c>
      <c r="P597" s="72">
        <f t="shared" si="9"/>
        <v>222855.92845814006</v>
      </c>
      <c r="Q597" s="49" t="str">
        <f>TEXT(Table1[[#This Row],[Closing Date]],"yyyy")</f>
        <v>2024</v>
      </c>
      <c r="R597" s="49" t="str">
        <f>TEXT(Table1[[#This Row],[Closing Date]],"mmmm")</f>
        <v>June</v>
      </c>
      <c r="S597" s="49" t="s">
        <v>368</v>
      </c>
      <c r="T597" s="49" t="s">
        <v>429</v>
      </c>
    </row>
    <row r="598" spans="1:20" x14ac:dyDescent="0.25">
      <c r="A598" t="s">
        <v>276</v>
      </c>
      <c r="B598" t="s">
        <v>430</v>
      </c>
      <c r="C598" t="s">
        <v>147</v>
      </c>
      <c r="D598" t="s">
        <v>38</v>
      </c>
      <c r="E598" s="90">
        <v>45433</v>
      </c>
      <c r="F598" s="60">
        <v>45450</v>
      </c>
      <c r="G598" t="s">
        <v>224</v>
      </c>
      <c r="H598">
        <v>4</v>
      </c>
      <c r="I598" s="49">
        <v>3202.79</v>
      </c>
      <c r="J598" s="106">
        <v>100</v>
      </c>
      <c r="K598" s="115">
        <v>9321</v>
      </c>
      <c r="L598" s="49">
        <v>8.0069750000000006</v>
      </c>
      <c r="M598" s="49">
        <v>23.302499999999998</v>
      </c>
      <c r="N598" s="49">
        <v>6118.21</v>
      </c>
      <c r="O598" s="47">
        <v>1.9102751038937922</v>
      </c>
      <c r="P598" s="72">
        <f t="shared" si="9"/>
        <v>228974.13845814005</v>
      </c>
      <c r="Q598" s="49" t="str">
        <f>TEXT(Table1[[#This Row],[Closing Date]],"yyyy")</f>
        <v>2024</v>
      </c>
      <c r="R598" s="49" t="str">
        <f>TEXT(Table1[[#This Row],[Closing Date]],"mmmm")</f>
        <v>June</v>
      </c>
      <c r="S598" s="49" t="s">
        <v>368</v>
      </c>
      <c r="T598" s="49" t="s">
        <v>429</v>
      </c>
    </row>
    <row r="599" spans="1:20" x14ac:dyDescent="0.25">
      <c r="A599" t="s">
        <v>283</v>
      </c>
      <c r="B599" t="s">
        <v>434</v>
      </c>
      <c r="C599" t="s">
        <v>56</v>
      </c>
      <c r="D599" t="s">
        <v>38</v>
      </c>
      <c r="E599" s="90">
        <v>45385</v>
      </c>
      <c r="F599" s="60">
        <v>45450</v>
      </c>
      <c r="G599" t="s">
        <v>271</v>
      </c>
      <c r="H599">
        <v>9000</v>
      </c>
      <c r="I599" s="49">
        <v>195120</v>
      </c>
      <c r="J599" s="106">
        <v>1</v>
      </c>
      <c r="K599" s="115">
        <v>169908.09</v>
      </c>
      <c r="L599" s="49">
        <f>Table1[[#This Row],[Open Value]]/Table1[[#This Row],[Shares]]/Table1[[#This Row],[Multiplier]]</f>
        <v>21.68</v>
      </c>
      <c r="M599" s="49">
        <f>Table1[[#This Row],[Close Value]]/Table1[[#This Row],[Shares]]/Table1[[#This Row],[Multiplier]]</f>
        <v>18.878676666666667</v>
      </c>
      <c r="N599" s="49">
        <f>Table1[[#This Row],[Close Value]]-Table1[[#This Row],[Open Value]]</f>
        <v>-25211.910000000003</v>
      </c>
      <c r="O599" s="47">
        <f>Table1[[#This Row],[PnL]]/Table1[[#This Row],[Open Value]]</f>
        <v>-0.12921233087330875</v>
      </c>
      <c r="P599" s="72">
        <f t="shared" si="9"/>
        <v>203762.22845814005</v>
      </c>
      <c r="Q599" s="49" t="str">
        <f>TEXT(Table1[[#This Row],[Closing Date]],"yyyy")</f>
        <v>2024</v>
      </c>
      <c r="R599" s="49" t="str">
        <f>TEXT(Table1[[#This Row],[Closing Date]],"mmmm")</f>
        <v>June</v>
      </c>
      <c r="S599" s="49" t="s">
        <v>368</v>
      </c>
      <c r="T599" s="49" t="s">
        <v>285</v>
      </c>
    </row>
    <row r="600" spans="1:20" x14ac:dyDescent="0.25">
      <c r="A600" t="s">
        <v>283</v>
      </c>
      <c r="B600" t="s">
        <v>431</v>
      </c>
      <c r="C600" t="s">
        <v>56</v>
      </c>
      <c r="D600" t="s">
        <v>38</v>
      </c>
      <c r="E600" s="49"/>
      <c r="F600" s="60">
        <v>45453</v>
      </c>
      <c r="G600" t="s">
        <v>403</v>
      </c>
      <c r="H600">
        <v>1100</v>
      </c>
      <c r="I600" s="49">
        <v>25724</v>
      </c>
      <c r="K600" s="115">
        <v>36888.239999999998</v>
      </c>
      <c r="L600" s="49">
        <v>23.385454545454547</v>
      </c>
      <c r="M600" s="49">
        <v>46.110299999999995</v>
      </c>
      <c r="N600" s="49">
        <v>11164.239999999998</v>
      </c>
      <c r="O600" s="47">
        <v>0.43400093298087383</v>
      </c>
      <c r="P600" s="72">
        <f t="shared" si="9"/>
        <v>214926.46845814004</v>
      </c>
      <c r="Q600" s="49" t="str">
        <f>TEXT(Table1[[#This Row],[Closing Date]],"yyyy")</f>
        <v>2024</v>
      </c>
      <c r="R600" s="49" t="str">
        <f>TEXT(Table1[[#This Row],[Closing Date]],"mmmm")</f>
        <v>June</v>
      </c>
      <c r="S600" s="49" t="s">
        <v>368</v>
      </c>
      <c r="T600" s="49" t="s">
        <v>429</v>
      </c>
    </row>
    <row r="601" spans="1:20" x14ac:dyDescent="0.25">
      <c r="A601" t="s">
        <v>283</v>
      </c>
      <c r="B601" t="s">
        <v>433</v>
      </c>
      <c r="C601" t="s">
        <v>56</v>
      </c>
      <c r="D601" t="s">
        <v>38</v>
      </c>
      <c r="E601" s="90">
        <v>45364</v>
      </c>
      <c r="F601" s="60">
        <v>45454</v>
      </c>
      <c r="G601" t="s">
        <v>423</v>
      </c>
      <c r="H601">
        <v>1000</v>
      </c>
      <c r="I601" s="49">
        <v>93000</v>
      </c>
      <c r="J601" s="106">
        <v>1</v>
      </c>
      <c r="K601" s="115">
        <f>23.73+54949.56+53433.52</f>
        <v>108406.81</v>
      </c>
      <c r="L601" s="49">
        <f>Table1[[#This Row],[Open Value]]/Table1[[#This Row],[Shares]]/Table1[[#This Row],[Multiplier]]</f>
        <v>93</v>
      </c>
      <c r="M601" s="49">
        <f>Table1[[#This Row],[Close Value]]/Table1[[#This Row],[Shares]]/Table1[[#This Row],[Multiplier]]</f>
        <v>108.40680999999999</v>
      </c>
      <c r="N601" s="49">
        <f>Table1[[#This Row],[Close Value]]-Table1[[#This Row],[Open Value]]</f>
        <v>15406.809999999998</v>
      </c>
      <c r="O601" s="47">
        <f>Table1[[#This Row],[PnL]]/Table1[[#This Row],[Open Value]]</f>
        <v>0.16566462365591395</v>
      </c>
      <c r="P601" s="72">
        <f t="shared" si="9"/>
        <v>230333.27845814003</v>
      </c>
      <c r="Q601" s="49" t="str">
        <f>TEXT(Table1[[#This Row],[Closing Date]],"yyyy")</f>
        <v>2024</v>
      </c>
      <c r="R601" s="49" t="str">
        <f>TEXT(Table1[[#This Row],[Closing Date]],"mmmm")</f>
        <v>June</v>
      </c>
      <c r="S601" s="49" t="s">
        <v>368</v>
      </c>
      <c r="T601" s="49" t="s">
        <v>285</v>
      </c>
    </row>
    <row r="602" spans="1:20" x14ac:dyDescent="0.25">
      <c r="A602" t="s">
        <v>276</v>
      </c>
      <c r="B602" t="s">
        <v>430</v>
      </c>
      <c r="C602" t="s">
        <v>152</v>
      </c>
      <c r="D602" t="s">
        <v>38</v>
      </c>
      <c r="E602" s="90">
        <v>45443</v>
      </c>
      <c r="F602" s="60">
        <v>45455</v>
      </c>
      <c r="G602" t="s">
        <v>48</v>
      </c>
      <c r="H602">
        <v>7</v>
      </c>
      <c r="I602" s="49">
        <v>3853.13</v>
      </c>
      <c r="J602" s="106">
        <v>100</v>
      </c>
      <c r="K602" s="115">
        <f>Table1[[#This Row],[Open Value]]+Table1[[#This Row],[PnL]]</f>
        <v>5502.24</v>
      </c>
      <c r="L602" s="49">
        <f>Table1[[#This Row],[Open Value]]/Table1[[#This Row],[Shares]]</f>
        <v>550.44714285714292</v>
      </c>
      <c r="M602" s="49">
        <f>Table1[[#This Row],[Close Value]]/Table1[[#This Row],[Shares]]/Table1[[#This Row],[Multiplier]]</f>
        <v>7.8603428571428573</v>
      </c>
      <c r="N602" s="49">
        <v>1649.11</v>
      </c>
      <c r="O602" s="47">
        <f>Table1[[#This Row],[PnL]]/Table1[[#This Row],[Open Value]]</f>
        <v>0.42799230755256112</v>
      </c>
      <c r="P602" s="72">
        <f t="shared" si="9"/>
        <v>231982.38845814002</v>
      </c>
      <c r="Q602" s="49" t="str">
        <f>TEXT(Table1[[#This Row],[Closing Date]],"yyyy")</f>
        <v>2024</v>
      </c>
      <c r="R602" s="49" t="str">
        <f>TEXT(Table1[[#This Row],[Closing Date]],"mmmm")</f>
        <v>June</v>
      </c>
      <c r="S602" s="49" t="s">
        <v>368</v>
      </c>
      <c r="T602" s="49" t="s">
        <v>429</v>
      </c>
    </row>
    <row r="603" spans="1:20" x14ac:dyDescent="0.25">
      <c r="A603" t="s">
        <v>283</v>
      </c>
      <c r="B603" t="s">
        <v>431</v>
      </c>
      <c r="C603" t="s">
        <v>56</v>
      </c>
      <c r="D603" t="s">
        <v>38</v>
      </c>
      <c r="E603" s="49"/>
      <c r="F603" s="60">
        <v>45456</v>
      </c>
      <c r="G603" t="s">
        <v>391</v>
      </c>
      <c r="H603">
        <v>6000</v>
      </c>
      <c r="I603" s="49">
        <v>78450</v>
      </c>
      <c r="K603" s="115">
        <v>73169.95</v>
      </c>
      <c r="L603" s="49">
        <v>13.074999999999999</v>
      </c>
      <c r="M603" s="49">
        <v>12.194991666666667</v>
      </c>
      <c r="N603" s="49">
        <v>-5280.0500000000029</v>
      </c>
      <c r="O603" s="47">
        <v>-6.7304652644996854E-2</v>
      </c>
      <c r="P603" s="72">
        <f t="shared" si="9"/>
        <v>226702.33845814003</v>
      </c>
      <c r="Q603" s="49" t="str">
        <f>TEXT(Table1[[#This Row],[Closing Date]],"yyyy")</f>
        <v>2024</v>
      </c>
      <c r="R603" s="49" t="str">
        <f>TEXT(Table1[[#This Row],[Closing Date]],"mmmm")</f>
        <v>June</v>
      </c>
      <c r="S603" s="49" t="s">
        <v>368</v>
      </c>
      <c r="T603" s="49" t="s">
        <v>429</v>
      </c>
    </row>
    <row r="604" spans="1:20" x14ac:dyDescent="0.25">
      <c r="A604" t="s">
        <v>283</v>
      </c>
      <c r="B604" t="s">
        <v>431</v>
      </c>
      <c r="C604" t="s">
        <v>56</v>
      </c>
      <c r="D604" t="s">
        <v>38</v>
      </c>
      <c r="E604" s="49"/>
      <c r="F604" s="60">
        <v>45456</v>
      </c>
      <c r="G604" t="s">
        <v>409</v>
      </c>
      <c r="H604">
        <v>2600</v>
      </c>
      <c r="I604" s="49">
        <v>42913</v>
      </c>
      <c r="K604" s="115">
        <v>40075.11</v>
      </c>
      <c r="L604" s="49">
        <v>16.504999999999999</v>
      </c>
      <c r="M604" s="49">
        <v>15.413503846153846</v>
      </c>
      <c r="N604" s="49">
        <v>-2837.8899999999994</v>
      </c>
      <c r="O604" s="47">
        <v>-6.6131242280893884E-2</v>
      </c>
      <c r="P604" s="72">
        <f t="shared" si="9"/>
        <v>223864.44845814002</v>
      </c>
      <c r="Q604" s="49" t="str">
        <f>TEXT(Table1[[#This Row],[Closing Date]],"yyyy")</f>
        <v>2024</v>
      </c>
      <c r="R604" s="49" t="str">
        <f>TEXT(Table1[[#This Row],[Closing Date]],"mmmm")</f>
        <v>June</v>
      </c>
      <c r="S604" s="49" t="s">
        <v>368</v>
      </c>
      <c r="T604" s="49" t="s">
        <v>429</v>
      </c>
    </row>
    <row r="605" spans="1:20" x14ac:dyDescent="0.25">
      <c r="A605" t="s">
        <v>276</v>
      </c>
      <c r="B605" t="s">
        <v>430</v>
      </c>
      <c r="C605" t="s">
        <v>147</v>
      </c>
      <c r="D605" t="s">
        <v>38</v>
      </c>
      <c r="E605" s="90">
        <v>45448</v>
      </c>
      <c r="F605" s="60">
        <v>45457</v>
      </c>
      <c r="G605" t="s">
        <v>405</v>
      </c>
      <c r="H605">
        <v>15</v>
      </c>
      <c r="I605" s="49">
        <v>3555</v>
      </c>
      <c r="J605" s="106">
        <v>100</v>
      </c>
      <c r="K605" s="115">
        <v>2435</v>
      </c>
      <c r="L605" s="49">
        <v>2.37</v>
      </c>
      <c r="M605" s="49">
        <v>1.6233333333333335</v>
      </c>
      <c r="N605" s="49">
        <v>-1120</v>
      </c>
      <c r="O605" s="47">
        <v>-0.31504922644163147</v>
      </c>
      <c r="P605" s="72">
        <f t="shared" si="9"/>
        <v>222744.44845814002</v>
      </c>
      <c r="Q605" s="49" t="str">
        <f>TEXT(Table1[[#This Row],[Closing Date]],"yyyy")</f>
        <v>2024</v>
      </c>
      <c r="R605" s="49" t="str">
        <f>TEXT(Table1[[#This Row],[Closing Date]],"mmmm")</f>
        <v>June</v>
      </c>
      <c r="S605" s="49" t="s">
        <v>368</v>
      </c>
      <c r="T605" s="49" t="s">
        <v>429</v>
      </c>
    </row>
    <row r="606" spans="1:20" x14ac:dyDescent="0.25">
      <c r="A606" t="s">
        <v>283</v>
      </c>
      <c r="B606" t="s">
        <v>430</v>
      </c>
      <c r="C606" t="s">
        <v>56</v>
      </c>
      <c r="D606" t="s">
        <v>38</v>
      </c>
      <c r="E606" s="90">
        <v>45457</v>
      </c>
      <c r="F606" s="60">
        <v>45457</v>
      </c>
      <c r="G606" t="s">
        <v>232</v>
      </c>
      <c r="H606">
        <v>3000</v>
      </c>
      <c r="I606" s="49">
        <v>106233</v>
      </c>
      <c r="K606" s="115">
        <v>103655.87</v>
      </c>
      <c r="L606" s="49">
        <v>35.411000000000001</v>
      </c>
      <c r="M606" s="49">
        <v>34.551956666666662</v>
      </c>
      <c r="N606" s="49">
        <v>-2577.1300000000047</v>
      </c>
      <c r="O606" s="47">
        <v>-2.4259222652094969E-2</v>
      </c>
      <c r="P606" s="72">
        <f t="shared" si="9"/>
        <v>220167.31845814001</v>
      </c>
      <c r="Q606" s="49" t="str">
        <f>TEXT(Table1[[#This Row],[Closing Date]],"yyyy")</f>
        <v>2024</v>
      </c>
      <c r="R606" s="49" t="str">
        <f>TEXT(Table1[[#This Row],[Closing Date]],"mmmm")</f>
        <v>June</v>
      </c>
      <c r="S606" s="49" t="s">
        <v>368</v>
      </c>
      <c r="T606" s="49" t="s">
        <v>429</v>
      </c>
    </row>
    <row r="607" spans="1:20" x14ac:dyDescent="0.25">
      <c r="A607" t="s">
        <v>276</v>
      </c>
      <c r="B607" t="s">
        <v>431</v>
      </c>
      <c r="C607" t="s">
        <v>147</v>
      </c>
      <c r="D607" t="s">
        <v>38</v>
      </c>
      <c r="E607" s="90">
        <v>45448</v>
      </c>
      <c r="F607" s="60">
        <v>45457</v>
      </c>
      <c r="G607" t="s">
        <v>405</v>
      </c>
      <c r="H607">
        <v>15</v>
      </c>
      <c r="I607" s="49">
        <f>-275.4+3849.55</f>
        <v>3574.15</v>
      </c>
      <c r="J607" s="106">
        <v>100</v>
      </c>
      <c r="K607" s="115">
        <f>Table1[[#This Row],[Open Value]]+Table1[[#This Row],[PnL]]</f>
        <v>2427.91</v>
      </c>
      <c r="L607" s="49">
        <f>Table1[[#This Row],[Open Value]]/Table1[[#This Row],[Shares]]</f>
        <v>238.27666666666667</v>
      </c>
      <c r="M607" s="49">
        <f>Table1[[#This Row],[Close Value]]/Table1[[#This Row],[Shares]]/Table1[[#This Row],[Multiplier]]</f>
        <v>1.6186066666666665</v>
      </c>
      <c r="N607" s="49">
        <f>-1218.14+71.9</f>
        <v>-1146.24</v>
      </c>
      <c r="O607" s="47">
        <f>Table1[[#This Row],[PnL]]/Table1[[#This Row],[Open Value]]</f>
        <v>-0.32070282444777082</v>
      </c>
      <c r="P607" s="72">
        <f t="shared" si="9"/>
        <v>219021.07845814002</v>
      </c>
      <c r="Q607" s="49" t="str">
        <f>TEXT(Table1[[#This Row],[Closing Date]],"yyyy")</f>
        <v>2024</v>
      </c>
      <c r="R607" s="49" t="str">
        <f>TEXT(Table1[[#This Row],[Closing Date]],"mmmm")</f>
        <v>June</v>
      </c>
      <c r="S607" s="49" t="s">
        <v>368</v>
      </c>
      <c r="T607" s="49" t="s">
        <v>429</v>
      </c>
    </row>
    <row r="608" spans="1:20" x14ac:dyDescent="0.25">
      <c r="A608" t="s">
        <v>283</v>
      </c>
      <c r="B608" t="s">
        <v>431</v>
      </c>
      <c r="C608" t="s">
        <v>56</v>
      </c>
      <c r="D608" t="s">
        <v>38</v>
      </c>
      <c r="E608" s="90">
        <v>45449</v>
      </c>
      <c r="F608" s="60">
        <v>45460</v>
      </c>
      <c r="G608" t="s">
        <v>408</v>
      </c>
      <c r="H608">
        <v>575</v>
      </c>
      <c r="I608" s="49">
        <v>101214.38</v>
      </c>
      <c r="K608" s="115">
        <v>105561.07</v>
      </c>
      <c r="L608" s="49">
        <v>176.02500869565219</v>
      </c>
      <c r="M608" s="49">
        <v>183.5844695652174</v>
      </c>
      <c r="N608" s="49">
        <v>4346.6900000000023</v>
      </c>
      <c r="O608" s="47">
        <v>4.2945379895623546E-2</v>
      </c>
      <c r="P608" s="72">
        <f t="shared" si="9"/>
        <v>223367.76845814002</v>
      </c>
      <c r="Q608" s="49" t="str">
        <f>TEXT(Table1[[#This Row],[Closing Date]],"yyyy")</f>
        <v>2024</v>
      </c>
      <c r="R608" s="49" t="str">
        <f>TEXT(Table1[[#This Row],[Closing Date]],"mmmm")</f>
        <v>June</v>
      </c>
      <c r="S608" s="49" t="s">
        <v>368</v>
      </c>
      <c r="T608" s="49" t="s">
        <v>429</v>
      </c>
    </row>
    <row r="609" spans="1:20" x14ac:dyDescent="0.25">
      <c r="A609" t="s">
        <v>283</v>
      </c>
      <c r="B609" t="s">
        <v>431</v>
      </c>
      <c r="C609" t="s">
        <v>51</v>
      </c>
      <c r="D609" t="s">
        <v>38</v>
      </c>
      <c r="E609" s="90">
        <v>45437</v>
      </c>
      <c r="F609" s="60">
        <v>45460</v>
      </c>
      <c r="G609" t="s">
        <v>414</v>
      </c>
      <c r="H609">
        <v>2</v>
      </c>
      <c r="I609" s="49">
        <v>154280.94</v>
      </c>
      <c r="J609" s="106">
        <v>375</v>
      </c>
      <c r="K609" s="115">
        <f>Table1[[#This Row],[Open Value]]+Table1[[#This Row],[PnL]]</f>
        <v>170356.56</v>
      </c>
      <c r="L609" s="49">
        <f>Table1[[#This Row],[Open Value]]/Table1[[#This Row],[Shares]]/Table1[[#This Row],[Multiplier]]</f>
        <v>205.70792</v>
      </c>
      <c r="M609" s="49">
        <f>Table1[[#This Row],[Close Value]]/Table1[[#This Row],[Shares]]/Table1[[#This Row],[Multiplier]]</f>
        <v>227.14207999999999</v>
      </c>
      <c r="N609" s="49">
        <v>16075.62</v>
      </c>
      <c r="O609" s="47">
        <f>Table1[[#This Row],[PnL]]/Table1[[#This Row],[Open Value]]</f>
        <v>0.10419705765339517</v>
      </c>
      <c r="P609" s="72">
        <f t="shared" si="9"/>
        <v>239443.38845814002</v>
      </c>
      <c r="Q609" s="49" t="str">
        <f>TEXT(Table1[[#This Row],[Closing Date]],"yyyy")</f>
        <v>2024</v>
      </c>
      <c r="R609" s="49" t="str">
        <f>TEXT(Table1[[#This Row],[Closing Date]],"mmmm")</f>
        <v>June</v>
      </c>
      <c r="S609" s="49" t="s">
        <v>368</v>
      </c>
      <c r="T609" s="49" t="s">
        <v>429</v>
      </c>
    </row>
    <row r="610" spans="1:20" x14ac:dyDescent="0.25">
      <c r="A610" t="s">
        <v>276</v>
      </c>
      <c r="B610" t="s">
        <v>431</v>
      </c>
      <c r="C610" t="s">
        <v>152</v>
      </c>
      <c r="D610" t="s">
        <v>38</v>
      </c>
      <c r="E610" s="49"/>
      <c r="F610" s="60">
        <v>45461</v>
      </c>
      <c r="G610" t="s">
        <v>43</v>
      </c>
      <c r="H610">
        <v>40</v>
      </c>
      <c r="I610" s="49">
        <v>10064</v>
      </c>
      <c r="J610" s="106">
        <v>100</v>
      </c>
      <c r="K610" s="115">
        <v>10584</v>
      </c>
      <c r="L610" s="49">
        <f>Table1[[#This Row],[Open Value]]/Table1[[#This Row],[Shares]]/Table1[[#This Row],[Multiplier]]</f>
        <v>2.516</v>
      </c>
      <c r="M610" s="49">
        <f>Table1[[#This Row],[Close Value]]/Table1[[#This Row],[Shares]]/Table1[[#This Row],[Multiplier]]</f>
        <v>2.6460000000000004</v>
      </c>
      <c r="N610" s="49">
        <v>520</v>
      </c>
      <c r="O610" s="47">
        <v>5.1669316375198865E-2</v>
      </c>
      <c r="P610" s="72">
        <f t="shared" si="9"/>
        <v>239963.38845814002</v>
      </c>
      <c r="Q610" s="49" t="str">
        <f>TEXT(Table1[[#This Row],[Closing Date]],"yyyy")</f>
        <v>2024</v>
      </c>
      <c r="R610" s="49" t="str">
        <f>TEXT(Table1[[#This Row],[Closing Date]],"mmmm")</f>
        <v>June</v>
      </c>
      <c r="S610" s="49" t="s">
        <v>368</v>
      </c>
      <c r="T610" s="49" t="s">
        <v>429</v>
      </c>
    </row>
    <row r="611" spans="1:20" x14ac:dyDescent="0.25">
      <c r="A611" t="s">
        <v>283</v>
      </c>
      <c r="B611" t="s">
        <v>431</v>
      </c>
      <c r="C611" t="s">
        <v>51</v>
      </c>
      <c r="D611" t="s">
        <v>38</v>
      </c>
      <c r="E611" s="90">
        <v>45448</v>
      </c>
      <c r="F611" s="60">
        <v>45461</v>
      </c>
      <c r="G611" t="s">
        <v>133</v>
      </c>
      <c r="H611">
        <v>7</v>
      </c>
      <c r="I611" s="49">
        <v>50530.89</v>
      </c>
      <c r="J611" s="106">
        <v>0.1</v>
      </c>
      <c r="K611" s="115">
        <f>Table1[[#This Row],[Open Value]]+Table1[[#This Row],[PnL]]</f>
        <v>45325.89</v>
      </c>
      <c r="L611" s="49">
        <f>Table1[[#This Row],[Open Value]]/Table1[[#This Row],[Shares]]/Table1[[#This Row],[Multiplier]]</f>
        <v>72186.985714285707</v>
      </c>
      <c r="M611" s="49">
        <f>Table1[[#This Row],[Close Value]]/Table1[[#This Row],[Shares]]/Table1[[#This Row],[Multiplier]]</f>
        <v>64751.271428571425</v>
      </c>
      <c r="N611" s="49">
        <v>-5205</v>
      </c>
      <c r="O611" s="47">
        <f>Table1[[#This Row],[PnL]]/Table1[[#This Row],[Open Value]]</f>
        <v>-0.1030062997109293</v>
      </c>
      <c r="P611" s="72">
        <f t="shared" si="9"/>
        <v>234758.38845814002</v>
      </c>
      <c r="Q611" s="49" t="str">
        <f>TEXT(Table1[[#This Row],[Closing Date]],"yyyy")</f>
        <v>2024</v>
      </c>
      <c r="R611" s="49" t="str">
        <f>TEXT(Table1[[#This Row],[Closing Date]],"mmmm")</f>
        <v>June</v>
      </c>
      <c r="S611" s="49" t="s">
        <v>368</v>
      </c>
      <c r="T611" s="49" t="s">
        <v>429</v>
      </c>
    </row>
    <row r="612" spans="1:20" x14ac:dyDescent="0.25">
      <c r="A612" t="s">
        <v>283</v>
      </c>
      <c r="B612" t="s">
        <v>431</v>
      </c>
      <c r="C612" t="s">
        <v>56</v>
      </c>
      <c r="D612" t="s">
        <v>38</v>
      </c>
      <c r="E612" s="90">
        <v>45449</v>
      </c>
      <c r="F612" s="60">
        <v>45463</v>
      </c>
      <c r="G612" t="s">
        <v>347</v>
      </c>
      <c r="H612">
        <v>5000</v>
      </c>
      <c r="I612" s="49">
        <v>75421</v>
      </c>
      <c r="J612" s="106">
        <v>1</v>
      </c>
      <c r="K612" s="115">
        <f>Table1[[#This Row],[Open Value]]+Table1[[#This Row],[PnL]]</f>
        <v>78684.73</v>
      </c>
      <c r="L612" s="49">
        <f>Table1[[#This Row],[Open Value]]/Table1[[#This Row],[Shares]]/Table1[[#This Row],[Multiplier]]</f>
        <v>15.084199999999999</v>
      </c>
      <c r="M612" s="49">
        <f>Table1[[#This Row],[Close Value]]/Table1[[#This Row],[Shares]]/Table1[[#This Row],[Multiplier]]</f>
        <v>15.736946</v>
      </c>
      <c r="N612" s="49">
        <v>3263.73</v>
      </c>
      <c r="O612" s="47">
        <f>Table1[[#This Row],[PnL]]/Table1[[#This Row],[Open Value]]</f>
        <v>4.3273491467893554E-2</v>
      </c>
      <c r="P612" s="72">
        <f t="shared" si="9"/>
        <v>238022.11845814003</v>
      </c>
      <c r="Q612" s="49" t="str">
        <f>TEXT(Table1[[#This Row],[Closing Date]],"yyyy")</f>
        <v>2024</v>
      </c>
      <c r="R612" s="49" t="str">
        <f>TEXT(Table1[[#This Row],[Closing Date]],"mmmm")</f>
        <v>June</v>
      </c>
      <c r="S612" s="49" t="s">
        <v>368</v>
      </c>
      <c r="T612" s="49" t="s">
        <v>429</v>
      </c>
    </row>
    <row r="613" spans="1:20" x14ac:dyDescent="0.25">
      <c r="A613" t="s">
        <v>276</v>
      </c>
      <c r="B613" t="s">
        <v>430</v>
      </c>
      <c r="C613" t="s">
        <v>147</v>
      </c>
      <c r="D613" t="s">
        <v>38</v>
      </c>
      <c r="E613" s="90">
        <v>45453</v>
      </c>
      <c r="F613" s="60">
        <v>45463</v>
      </c>
      <c r="G613" t="s">
        <v>189</v>
      </c>
      <c r="H613">
        <v>40</v>
      </c>
      <c r="I613" s="49">
        <f>4682.68-1037.17</f>
        <v>3645.51</v>
      </c>
      <c r="J613" s="106">
        <v>100</v>
      </c>
      <c r="K613" s="115">
        <f>Table1[[#This Row],[Open Value]]+Table1[[#This Row],[PnL]]</f>
        <v>1333.0100000000002</v>
      </c>
      <c r="L613" s="49">
        <f>Table1[[#This Row],[Open Value]]/Table1[[#This Row],[Shares]]/Table1[[#This Row],[Multiplier]]</f>
        <v>0.91137750000000006</v>
      </c>
      <c r="M613" s="49">
        <f>Table1[[#This Row],[Close Value]]/Table1[[#This Row],[Shares]]/Table1[[#This Row],[Multiplier]]</f>
        <v>0.33325250000000006</v>
      </c>
      <c r="N613" s="49">
        <f>-3025.76+713.26</f>
        <v>-2312.5</v>
      </c>
      <c r="O613" s="47">
        <f>Table1[[#This Row],[PnL]]/Table1[[#This Row],[Open Value]]</f>
        <v>-0.63434197135654546</v>
      </c>
      <c r="P613" s="72">
        <f t="shared" si="9"/>
        <v>235709.61845814003</v>
      </c>
      <c r="Q613" s="49" t="str">
        <f>TEXT(Table1[[#This Row],[Closing Date]],"yyyy")</f>
        <v>2024</v>
      </c>
      <c r="R613" s="49" t="str">
        <f>TEXT(Table1[[#This Row],[Closing Date]],"mmmm")</f>
        <v>June</v>
      </c>
      <c r="S613" s="49" t="s">
        <v>368</v>
      </c>
      <c r="T613" s="49" t="s">
        <v>429</v>
      </c>
    </row>
    <row r="614" spans="1:20" x14ac:dyDescent="0.25">
      <c r="A614" t="s">
        <v>276</v>
      </c>
      <c r="B614" t="s">
        <v>430</v>
      </c>
      <c r="C614" t="s">
        <v>149</v>
      </c>
      <c r="D614" t="s">
        <v>38</v>
      </c>
      <c r="E614" s="90">
        <v>45453</v>
      </c>
      <c r="F614" s="60">
        <v>45464</v>
      </c>
      <c r="G614" t="s">
        <v>193</v>
      </c>
      <c r="H614">
        <v>10</v>
      </c>
      <c r="I614" s="49">
        <v>3326.92</v>
      </c>
      <c r="J614" s="106">
        <v>100</v>
      </c>
      <c r="K614" s="115">
        <v>0</v>
      </c>
      <c r="L614" s="49">
        <f>Table1[[#This Row],[Open Value]]/Table1[[#This Row],[Shares]]/Table1[[#This Row],[Multiplier]]</f>
        <v>3.3269199999999999</v>
      </c>
      <c r="M614" s="49">
        <f>Table1[[#This Row],[Close Value]]/Table1[[#This Row],[Shares]]/Table1[[#This Row],[Multiplier]]</f>
        <v>0</v>
      </c>
      <c r="N614" s="49">
        <v>-3326.92</v>
      </c>
      <c r="O614" s="47">
        <v>-1</v>
      </c>
      <c r="P614" s="72">
        <f t="shared" si="9"/>
        <v>232382.69845814002</v>
      </c>
      <c r="Q614" s="49" t="str">
        <f>TEXT(Table1[[#This Row],[Closing Date]],"yyyy")</f>
        <v>2024</v>
      </c>
      <c r="R614" s="49" t="str">
        <f>TEXT(Table1[[#This Row],[Closing Date]],"mmmm")</f>
        <v>June</v>
      </c>
      <c r="S614" s="49" t="s">
        <v>368</v>
      </c>
      <c r="T614" s="49" t="s">
        <v>429</v>
      </c>
    </row>
    <row r="615" spans="1:20" x14ac:dyDescent="0.25">
      <c r="A615" t="s">
        <v>283</v>
      </c>
      <c r="B615" t="s">
        <v>431</v>
      </c>
      <c r="C615" t="s">
        <v>56</v>
      </c>
      <c r="D615" t="s">
        <v>38</v>
      </c>
      <c r="E615" s="49"/>
      <c r="F615" s="60">
        <v>45464</v>
      </c>
      <c r="G615" t="s">
        <v>50</v>
      </c>
      <c r="H615">
        <v>125</v>
      </c>
      <c r="I615" s="49">
        <v>112327.5</v>
      </c>
      <c r="J615" s="106">
        <v>1</v>
      </c>
      <c r="K615" s="115">
        <v>140081.62</v>
      </c>
      <c r="L615" s="49">
        <f>Table1[[#This Row],[Open Value]]/Table1[[#This Row],[Shares]]/Table1[[#This Row],[Multiplier]]</f>
        <v>898.62</v>
      </c>
      <c r="M615" s="49">
        <f>Table1[[#This Row],[Close Value]]/Table1[[#This Row],[Shares]]/Table1[[#This Row],[Multiplier]]</f>
        <v>1120.6529599999999</v>
      </c>
      <c r="N615" s="49">
        <v>27401</v>
      </c>
      <c r="O615" s="47">
        <v>0.24708214818276911</v>
      </c>
      <c r="P615" s="72">
        <f t="shared" si="9"/>
        <v>259783.69845814002</v>
      </c>
      <c r="Q615" s="49" t="str">
        <f>TEXT(Table1[[#This Row],[Closing Date]],"yyyy")</f>
        <v>2024</v>
      </c>
      <c r="R615" s="49" t="str">
        <f>TEXT(Table1[[#This Row],[Closing Date]],"mmmm")</f>
        <v>June</v>
      </c>
      <c r="S615" s="49" t="s">
        <v>368</v>
      </c>
      <c r="T615" s="49" t="s">
        <v>429</v>
      </c>
    </row>
    <row r="616" spans="1:20" x14ac:dyDescent="0.25">
      <c r="A616" t="s">
        <v>283</v>
      </c>
      <c r="B616" t="s">
        <v>431</v>
      </c>
      <c r="C616" t="s">
        <v>56</v>
      </c>
      <c r="D616" t="s">
        <v>38</v>
      </c>
      <c r="E616" s="49"/>
      <c r="F616" s="60">
        <v>45464</v>
      </c>
      <c r="G616" t="s">
        <v>119</v>
      </c>
      <c r="H616">
        <v>200</v>
      </c>
      <c r="I616" s="49">
        <v>42913</v>
      </c>
      <c r="J616" s="106">
        <v>1</v>
      </c>
      <c r="K616" s="115">
        <v>40260.79</v>
      </c>
      <c r="L616" s="49">
        <f>Table1[[#This Row],[Open Value]]/Table1[[#This Row],[Shares]]/Table1[[#This Row],[Multiplier]]</f>
        <v>214.565</v>
      </c>
      <c r="M616" s="49">
        <f>Table1[[#This Row],[Close Value]]/Table1[[#This Row],[Shares]]/Table1[[#This Row],[Multiplier]]</f>
        <v>201.30395000000001</v>
      </c>
      <c r="N616" s="49">
        <v>-2652.2099999999991</v>
      </c>
      <c r="O616" s="47">
        <v>-2.5000000000000001E-2</v>
      </c>
      <c r="P616" s="72">
        <f t="shared" ref="P616:P670" si="10">N616+P615</f>
        <v>257131.48845814003</v>
      </c>
      <c r="Q616" s="49" t="str">
        <f>TEXT(Table1[[#This Row],[Closing Date]],"yyyy")</f>
        <v>2024</v>
      </c>
      <c r="R616" s="49" t="str">
        <f>TEXT(Table1[[#This Row],[Closing Date]],"mmmm")</f>
        <v>June</v>
      </c>
      <c r="S616" s="49" t="s">
        <v>368</v>
      </c>
      <c r="T616" s="49" t="s">
        <v>429</v>
      </c>
    </row>
    <row r="617" spans="1:20" x14ac:dyDescent="0.25">
      <c r="A617" t="s">
        <v>283</v>
      </c>
      <c r="B617" t="s">
        <v>430</v>
      </c>
      <c r="C617" t="s">
        <v>51</v>
      </c>
      <c r="D617" t="s">
        <v>38</v>
      </c>
      <c r="E617" s="90">
        <v>45464</v>
      </c>
      <c r="F617" s="60">
        <v>45467</v>
      </c>
      <c r="G617" t="s">
        <v>396</v>
      </c>
      <c r="H617">
        <v>3</v>
      </c>
      <c r="I617" s="49">
        <v>335182.40999999997</v>
      </c>
      <c r="J617" s="106">
        <v>25000</v>
      </c>
      <c r="K617" s="115">
        <f>Table1[[#This Row],[Open Value]]+Table1[[#This Row],[PnL]]</f>
        <v>332355.08999999997</v>
      </c>
      <c r="L617" s="49">
        <f>Table1[[#This Row],[Open Value]]/Table1[[#This Row],[Shares]]/Table1[[#This Row],[Multiplier]]</f>
        <v>4.4690987999999994</v>
      </c>
      <c r="M617" s="49">
        <f>Table1[[#This Row],[Close Value]]/Table1[[#This Row],[Shares]]/Table1[[#This Row],[Multiplier]]</f>
        <v>4.4314011999999989</v>
      </c>
      <c r="N617" s="49">
        <v>-2827.32</v>
      </c>
      <c r="O617" s="47">
        <f>Table1[[#This Row],[PnL]]/Table1[[#This Row],[Open Value]]</f>
        <v>-8.4351681820057332E-3</v>
      </c>
      <c r="P617" s="72">
        <f t="shared" si="10"/>
        <v>254304.16845814002</v>
      </c>
      <c r="Q617" s="49" t="str">
        <f>TEXT(Table1[[#This Row],[Closing Date]],"yyyy")</f>
        <v>2024</v>
      </c>
      <c r="R617" s="49" t="str">
        <f>TEXT(Table1[[#This Row],[Closing Date]],"mmmm")</f>
        <v>June</v>
      </c>
      <c r="S617" s="49" t="s">
        <v>368</v>
      </c>
      <c r="T617" s="49" t="s">
        <v>429</v>
      </c>
    </row>
    <row r="618" spans="1:20" x14ac:dyDescent="0.25">
      <c r="A618" t="s">
        <v>276</v>
      </c>
      <c r="B618" t="s">
        <v>433</v>
      </c>
      <c r="C618" t="s">
        <v>152</v>
      </c>
      <c r="D618" t="s">
        <v>38</v>
      </c>
      <c r="E618" s="90">
        <v>45359</v>
      </c>
      <c r="F618" s="60">
        <v>45467</v>
      </c>
      <c r="G618" t="s">
        <v>55</v>
      </c>
      <c r="H618">
        <v>50</v>
      </c>
      <c r="I618" s="49">
        <v>30282.5</v>
      </c>
      <c r="J618" s="106">
        <v>1</v>
      </c>
      <c r="K618" s="115">
        <v>0</v>
      </c>
      <c r="L618" s="49">
        <f>Table1[[#This Row],[Open Value]]/Table1[[#This Row],[Shares]]/Table1[[#This Row],[Multiplier]]</f>
        <v>605.65</v>
      </c>
      <c r="M618" s="49">
        <f>Table1[[#This Row],[Close Value]]/Table1[[#This Row],[Shares]]/Table1[[#This Row],[Multiplier]]</f>
        <v>0</v>
      </c>
      <c r="N618" s="49">
        <f>Table1[[#This Row],[Close Value]]-Table1[[#This Row],[Open Value]]</f>
        <v>-30282.5</v>
      </c>
      <c r="O618" s="47">
        <f>Table1[[#This Row],[PnL]]/Table1[[#This Row],[Open Value]]</f>
        <v>-1</v>
      </c>
      <c r="P618" s="72">
        <f t="shared" si="10"/>
        <v>224021.66845814002</v>
      </c>
      <c r="Q618" s="49" t="str">
        <f>TEXT(Table1[[#This Row],[Closing Date]],"yyyy")</f>
        <v>2024</v>
      </c>
      <c r="R618" s="49" t="str">
        <f>TEXT(Table1[[#This Row],[Closing Date]],"mmmm")</f>
        <v>June</v>
      </c>
      <c r="S618" s="49" t="s">
        <v>368</v>
      </c>
      <c r="T618" s="49" t="s">
        <v>285</v>
      </c>
    </row>
    <row r="619" spans="1:20" x14ac:dyDescent="0.25">
      <c r="A619" t="s">
        <v>276</v>
      </c>
      <c r="B619" t="s">
        <v>431</v>
      </c>
      <c r="C619" t="s">
        <v>152</v>
      </c>
      <c r="D619" t="s">
        <v>38</v>
      </c>
      <c r="E619" s="90">
        <v>45356</v>
      </c>
      <c r="F619" s="60">
        <v>45467</v>
      </c>
      <c r="G619" t="s">
        <v>421</v>
      </c>
      <c r="H619">
        <v>400</v>
      </c>
      <c r="I619" s="49">
        <v>30260</v>
      </c>
      <c r="J619" s="106">
        <v>100</v>
      </c>
      <c r="K619" s="115">
        <v>0</v>
      </c>
      <c r="L619" s="49">
        <f>Table1[[#This Row],[Open Value]]/Table1[[#This Row],[Shares]]/Table1[[#This Row],[Multiplier]]</f>
        <v>0.75650000000000006</v>
      </c>
      <c r="M619" s="49">
        <f>Table1[[#This Row],[Close Value]]/Table1[[#This Row],[Shares]]/Table1[[#This Row],[Multiplier]]</f>
        <v>0</v>
      </c>
      <c r="N619" s="49">
        <f>Table1[[#This Row],[Close Value]]-Table1[[#This Row],[Open Value]]</f>
        <v>-30260</v>
      </c>
      <c r="O619" s="47">
        <f>Table1[[#This Row],[PnL]]/Table1[[#This Row],[Open Value]]</f>
        <v>-1</v>
      </c>
      <c r="P619" s="72">
        <f t="shared" si="10"/>
        <v>193761.66845814002</v>
      </c>
      <c r="Q619" s="49" t="str">
        <f>TEXT(Table1[[#This Row],[Closing Date]],"yyyy")</f>
        <v>2024</v>
      </c>
      <c r="R619" s="49" t="str">
        <f>TEXT(Table1[[#This Row],[Closing Date]],"mmmm")</f>
        <v>June</v>
      </c>
      <c r="S619" s="49" t="s">
        <v>368</v>
      </c>
      <c r="T619" s="49" t="s">
        <v>285</v>
      </c>
    </row>
    <row r="620" spans="1:20" x14ac:dyDescent="0.25">
      <c r="A620" t="s">
        <v>283</v>
      </c>
      <c r="B620" t="s">
        <v>431</v>
      </c>
      <c r="C620" t="s">
        <v>56</v>
      </c>
      <c r="D620" t="s">
        <v>38</v>
      </c>
      <c r="E620" s="49"/>
      <c r="F620" s="60">
        <v>45468</v>
      </c>
      <c r="G620" t="s">
        <v>274</v>
      </c>
      <c r="H620">
        <v>1450</v>
      </c>
      <c r="I620" s="49">
        <v>71920</v>
      </c>
      <c r="J620" s="106">
        <v>1</v>
      </c>
      <c r="K620" s="115">
        <v>72664.66</v>
      </c>
      <c r="L620" s="49">
        <f>Table1[[#This Row],[Open Value]]/Table1[[#This Row],[Shares]]/Table1[[#This Row],[Multiplier]]</f>
        <v>49.6</v>
      </c>
      <c r="M620" s="49">
        <f>Table1[[#This Row],[Close Value]]/Table1[[#This Row],[Shares]]/Table1[[#This Row],[Multiplier]]</f>
        <v>50.113558620689659</v>
      </c>
      <c r="N620" s="49">
        <v>744.66000000000349</v>
      </c>
      <c r="O620" s="47">
        <v>1.0354004449388257E-2</v>
      </c>
      <c r="P620" s="72">
        <f t="shared" si="10"/>
        <v>194506.32845814002</v>
      </c>
      <c r="Q620" s="49" t="str">
        <f>TEXT(Table1[[#This Row],[Closing Date]],"yyyy")</f>
        <v>2024</v>
      </c>
      <c r="R620" s="49" t="str">
        <f>TEXT(Table1[[#This Row],[Closing Date]],"mmmm")</f>
        <v>June</v>
      </c>
      <c r="S620" s="49" t="s">
        <v>368</v>
      </c>
      <c r="T620" s="49" t="s">
        <v>429</v>
      </c>
    </row>
    <row r="621" spans="1:20" x14ac:dyDescent="0.25">
      <c r="A621" t="s">
        <v>283</v>
      </c>
      <c r="B621" t="s">
        <v>431</v>
      </c>
      <c r="C621" t="s">
        <v>56</v>
      </c>
      <c r="D621" t="s">
        <v>38</v>
      </c>
      <c r="E621" s="90">
        <v>45461</v>
      </c>
      <c r="F621" s="60">
        <v>45468</v>
      </c>
      <c r="G621" t="s">
        <v>412</v>
      </c>
      <c r="H621">
        <v>6500</v>
      </c>
      <c r="I621" s="49">
        <v>275625.15999999997</v>
      </c>
      <c r="J621" s="106">
        <v>1</v>
      </c>
      <c r="K621" s="115">
        <f>Table1[[#This Row],[Open Value]]+Table1[[#This Row],[PnL]]</f>
        <v>270801.52999999997</v>
      </c>
      <c r="L621" s="49">
        <f>Table1[[#This Row],[Open Value]]/Table1[[#This Row],[Shares]]/Table1[[#This Row],[Multiplier]]</f>
        <v>42.403870769230764</v>
      </c>
      <c r="M621" s="49">
        <f>Table1[[#This Row],[Close Value]]/Table1[[#This Row],[Shares]]/Table1[[#This Row],[Multiplier]]</f>
        <v>41.661773846153842</v>
      </c>
      <c r="N621" s="49">
        <v>-4823.63</v>
      </c>
      <c r="O621" s="47">
        <f>Table1[[#This Row],[PnL]]/Table1[[#This Row],[Open Value]]</f>
        <v>-1.7500688253568725E-2</v>
      </c>
      <c r="P621" s="72">
        <f t="shared" si="10"/>
        <v>189682.69845814002</v>
      </c>
      <c r="Q621" s="49" t="str">
        <f>TEXT(Table1[[#This Row],[Closing Date]],"yyyy")</f>
        <v>2024</v>
      </c>
      <c r="R621" s="49" t="str">
        <f>TEXT(Table1[[#This Row],[Closing Date]],"mmmm")</f>
        <v>June</v>
      </c>
      <c r="S621" s="49" t="s">
        <v>368</v>
      </c>
      <c r="T621" s="49" t="s">
        <v>429</v>
      </c>
    </row>
    <row r="622" spans="1:20" x14ac:dyDescent="0.25">
      <c r="A622" t="s">
        <v>283</v>
      </c>
      <c r="B622" t="s">
        <v>430</v>
      </c>
      <c r="C622" t="s">
        <v>51</v>
      </c>
      <c r="D622" t="s">
        <v>38</v>
      </c>
      <c r="E622" s="90">
        <v>45467</v>
      </c>
      <c r="F622" s="60">
        <v>45468</v>
      </c>
      <c r="G622" t="s">
        <v>396</v>
      </c>
      <c r="H622">
        <v>3</v>
      </c>
      <c r="I622" s="49">
        <v>331762.5</v>
      </c>
      <c r="J622" s="106">
        <v>25000</v>
      </c>
      <c r="K622" s="115">
        <f>Table1[[#This Row],[Open Value]]+Table1[[#This Row],[PnL]]</f>
        <v>326835.18</v>
      </c>
      <c r="L622" s="49">
        <f>Table1[[#This Row],[Open Value]]/Table1[[#This Row],[Shares]]/Table1[[#This Row],[Multiplier]]</f>
        <v>4.4234999999999998</v>
      </c>
      <c r="M622" s="49">
        <f>Table1[[#This Row],[Close Value]]/Table1[[#This Row],[Shares]]/Table1[[#This Row],[Multiplier]]</f>
        <v>4.3578023999999997</v>
      </c>
      <c r="N622" s="49">
        <v>-4927.32</v>
      </c>
      <c r="O622" s="47">
        <f>Table1[[#This Row],[PnL]]/Table1[[#This Row],[Open Value]]</f>
        <v>-1.48519498134961E-2</v>
      </c>
      <c r="P622" s="72">
        <f t="shared" si="10"/>
        <v>184755.37845814001</v>
      </c>
      <c r="Q622" s="49" t="str">
        <f>TEXT(Table1[[#This Row],[Closing Date]],"yyyy")</f>
        <v>2024</v>
      </c>
      <c r="R622" s="49" t="str">
        <f>TEXT(Table1[[#This Row],[Closing Date]],"mmmm")</f>
        <v>June</v>
      </c>
      <c r="S622" s="49" t="s">
        <v>368</v>
      </c>
      <c r="T622" s="49" t="s">
        <v>429</v>
      </c>
    </row>
    <row r="623" spans="1:20" x14ac:dyDescent="0.25">
      <c r="A623" t="s">
        <v>283</v>
      </c>
      <c r="B623" t="s">
        <v>431</v>
      </c>
      <c r="C623" t="s">
        <v>51</v>
      </c>
      <c r="D623" t="s">
        <v>38</v>
      </c>
      <c r="E623" s="90">
        <v>45448</v>
      </c>
      <c r="F623" s="60">
        <v>45469</v>
      </c>
      <c r="G623" t="s">
        <v>136</v>
      </c>
      <c r="H623">
        <v>10</v>
      </c>
      <c r="I623" s="49">
        <v>210544.9</v>
      </c>
      <c r="J623" s="106">
        <v>1120</v>
      </c>
      <c r="K623" s="115">
        <f>Table1[[#This Row],[Open Value]]+Table1[[#This Row],[PnL]]</f>
        <v>213106.3</v>
      </c>
      <c r="L623" s="49">
        <f>Table1[[#This Row],[Open Value]]/Table1[[#This Row],[Shares]]/Table1[[#This Row],[Multiplier]]</f>
        <v>18.798651785714284</v>
      </c>
      <c r="M623" s="49">
        <f>Table1[[#This Row],[Close Value]]/Table1[[#This Row],[Shares]]/Table1[[#This Row],[Multiplier]]</f>
        <v>19.027348214285713</v>
      </c>
      <c r="N623" s="49">
        <v>2561.4</v>
      </c>
      <c r="O623" s="47">
        <f>Table1[[#This Row],[PnL]]/Table1[[#This Row],[Open Value]]</f>
        <v>1.2165576083771206E-2</v>
      </c>
      <c r="P623" s="72">
        <f t="shared" si="10"/>
        <v>187316.77845814</v>
      </c>
      <c r="Q623" s="49" t="str">
        <f>TEXT(Table1[[#This Row],[Closing Date]],"yyyy")</f>
        <v>2024</v>
      </c>
      <c r="R623" s="49" t="str">
        <f>TEXT(Table1[[#This Row],[Closing Date]],"mmmm")</f>
        <v>June</v>
      </c>
      <c r="S623" s="49" t="s">
        <v>368</v>
      </c>
      <c r="T623" s="49" t="s">
        <v>429</v>
      </c>
    </row>
    <row r="624" spans="1:20" x14ac:dyDescent="0.25">
      <c r="A624" t="s">
        <v>276</v>
      </c>
      <c r="B624" t="s">
        <v>430</v>
      </c>
      <c r="C624" t="s">
        <v>147</v>
      </c>
      <c r="D624" t="s">
        <v>38</v>
      </c>
      <c r="E624" s="90">
        <v>45457</v>
      </c>
      <c r="F624" s="60">
        <v>45470</v>
      </c>
      <c r="G624" t="s">
        <v>265</v>
      </c>
      <c r="H624">
        <v>8</v>
      </c>
      <c r="I624" s="49">
        <v>2824</v>
      </c>
      <c r="J624" s="106">
        <v>100</v>
      </c>
      <c r="K624" s="115">
        <v>3020.57</v>
      </c>
      <c r="L624" s="49">
        <v>3.53</v>
      </c>
      <c r="M624" s="49">
        <v>3.7757125</v>
      </c>
      <c r="N624" s="49">
        <v>196.57000000000016</v>
      </c>
      <c r="O624" s="47">
        <v>6.9606940509915075E-2</v>
      </c>
      <c r="P624" s="72">
        <f t="shared" si="10"/>
        <v>187513.34845814001</v>
      </c>
      <c r="Q624" s="49" t="str">
        <f>TEXT(Table1[[#This Row],[Closing Date]],"yyyy")</f>
        <v>2024</v>
      </c>
      <c r="R624" s="49" t="str">
        <f>TEXT(Table1[[#This Row],[Closing Date]],"mmmm")</f>
        <v>June</v>
      </c>
      <c r="S624" s="49" t="s">
        <v>368</v>
      </c>
      <c r="T624" s="49" t="s">
        <v>429</v>
      </c>
    </row>
    <row r="625" spans="1:20" x14ac:dyDescent="0.25">
      <c r="A625" t="s">
        <v>276</v>
      </c>
      <c r="B625" t="s">
        <v>430</v>
      </c>
      <c r="C625" t="s">
        <v>148</v>
      </c>
      <c r="D625" t="s">
        <v>38</v>
      </c>
      <c r="E625" s="90">
        <v>45464</v>
      </c>
      <c r="F625" s="60">
        <v>45470</v>
      </c>
      <c r="G625" t="s">
        <v>379</v>
      </c>
      <c r="H625">
        <v>2</v>
      </c>
      <c r="I625" s="49">
        <f>3803.05-300.94</f>
        <v>3502.11</v>
      </c>
      <c r="J625" s="106">
        <v>100</v>
      </c>
      <c r="K625" s="115">
        <f>Table1[[#This Row],[Open Value]]+Table1[[#This Row],[PnL]]</f>
        <v>1705.15</v>
      </c>
      <c r="L625" s="49">
        <f>Table1[[#This Row],[Open Value]]/Table1[[#This Row],[Shares]]/Table1[[#This Row],[Multiplier]]</f>
        <v>17.510550000000002</v>
      </c>
      <c r="M625" s="49">
        <f>Table1[[#This Row],[Close Value]]/Table1[[#This Row],[Shares]]/Table1[[#This Row],[Multiplier]]</f>
        <v>8.5257500000000004</v>
      </c>
      <c r="N625" s="49">
        <f>201.54-1998.5</f>
        <v>-1796.96</v>
      </c>
      <c r="O625" s="47">
        <f>Table1[[#This Row],[PnL]]/Table1[[#This Row],[Open Value]]</f>
        <v>-0.51310781214753387</v>
      </c>
      <c r="P625" s="72">
        <f t="shared" si="10"/>
        <v>185716.38845814002</v>
      </c>
      <c r="Q625" s="49" t="str">
        <f>TEXT(Table1[[#This Row],[Closing Date]],"yyyy")</f>
        <v>2024</v>
      </c>
      <c r="R625" s="49" t="str">
        <f>TEXT(Table1[[#This Row],[Closing Date]],"mmmm")</f>
        <v>June</v>
      </c>
      <c r="S625" s="49" t="s">
        <v>368</v>
      </c>
      <c r="T625" s="49" t="s">
        <v>429</v>
      </c>
    </row>
    <row r="626" spans="1:20" x14ac:dyDescent="0.25">
      <c r="A626" t="s">
        <v>276</v>
      </c>
      <c r="B626" t="s">
        <v>430</v>
      </c>
      <c r="C626" t="s">
        <v>147</v>
      </c>
      <c r="D626" t="s">
        <v>38</v>
      </c>
      <c r="E626" s="90">
        <v>45464</v>
      </c>
      <c r="F626" s="60">
        <v>45471</v>
      </c>
      <c r="G626" t="s">
        <v>406</v>
      </c>
      <c r="H626">
        <v>10</v>
      </c>
      <c r="I626" s="49">
        <v>3150</v>
      </c>
      <c r="J626" s="106">
        <v>100</v>
      </c>
      <c r="K626" s="115">
        <v>3616.48</v>
      </c>
      <c r="L626" s="49">
        <f>Table1[[#This Row],[Open Value]]/Table1[[#This Row],[Shares]]/Table1[[#This Row],[Multiplier]]</f>
        <v>3.15</v>
      </c>
      <c r="M626" s="49">
        <f>Table1[[#This Row],[Close Value]]/Table1[[#This Row],[Shares]]/Table1[[#This Row],[Multiplier]]</f>
        <v>3.6164800000000001</v>
      </c>
      <c r="N626" s="49">
        <v>466.48</v>
      </c>
      <c r="O626" s="47">
        <v>0.14808888888888896</v>
      </c>
      <c r="P626" s="72">
        <f t="shared" si="10"/>
        <v>186182.86845814003</v>
      </c>
      <c r="Q626" s="49" t="str">
        <f>TEXT(Table1[[#This Row],[Closing Date]],"yyyy")</f>
        <v>2024</v>
      </c>
      <c r="R626" s="49" t="str">
        <f>TEXT(Table1[[#This Row],[Closing Date]],"mmmm")</f>
        <v>June</v>
      </c>
      <c r="S626" s="49" t="s">
        <v>368</v>
      </c>
      <c r="T626" s="49" t="s">
        <v>429</v>
      </c>
    </row>
    <row r="627" spans="1:20" x14ac:dyDescent="0.25">
      <c r="A627" t="s">
        <v>276</v>
      </c>
      <c r="B627" t="s">
        <v>430</v>
      </c>
      <c r="C627" t="s">
        <v>148</v>
      </c>
      <c r="D627" t="s">
        <v>38</v>
      </c>
      <c r="E627" s="90">
        <v>45455</v>
      </c>
      <c r="F627" s="60">
        <v>45471</v>
      </c>
      <c r="G627" t="s">
        <v>48</v>
      </c>
      <c r="H627">
        <v>20</v>
      </c>
      <c r="I627" s="49">
        <v>2460</v>
      </c>
      <c r="J627" s="106">
        <v>100</v>
      </c>
      <c r="K627" s="115">
        <v>0</v>
      </c>
      <c r="L627" s="49">
        <f>Table1[[#This Row],[Open Value]]/Table1[[#This Row],[Shares]]/Table1[[#This Row],[Multiplier]]</f>
        <v>1.23</v>
      </c>
      <c r="M627" s="49">
        <f>Table1[[#This Row],[Close Value]]/Table1[[#This Row],[Shares]]/Table1[[#This Row],[Multiplier]]</f>
        <v>0</v>
      </c>
      <c r="N627" s="49">
        <v>-2460</v>
      </c>
      <c r="O627" s="47">
        <v>-1</v>
      </c>
      <c r="P627" s="72">
        <f t="shared" si="10"/>
        <v>183722.86845814003</v>
      </c>
      <c r="Q627" s="49" t="str">
        <f>TEXT(Table1[[#This Row],[Closing Date]],"yyyy")</f>
        <v>2024</v>
      </c>
      <c r="R627" s="49" t="str">
        <f>TEXT(Table1[[#This Row],[Closing Date]],"mmmm")</f>
        <v>June</v>
      </c>
      <c r="S627" s="49" t="s">
        <v>368</v>
      </c>
      <c r="T627" s="49" t="s">
        <v>429</v>
      </c>
    </row>
    <row r="628" spans="1:20" x14ac:dyDescent="0.25">
      <c r="A628" t="s">
        <v>276</v>
      </c>
      <c r="B628" t="s">
        <v>430</v>
      </c>
      <c r="C628" t="s">
        <v>148</v>
      </c>
      <c r="D628" t="s">
        <v>38</v>
      </c>
      <c r="E628" s="90">
        <v>45467</v>
      </c>
      <c r="F628" s="60">
        <v>45471</v>
      </c>
      <c r="G628" t="s">
        <v>98</v>
      </c>
      <c r="H628">
        <v>125</v>
      </c>
      <c r="I628" s="49">
        <v>2896</v>
      </c>
      <c r="J628" s="106">
        <v>100</v>
      </c>
      <c r="K628" s="115">
        <v>5933.25</v>
      </c>
      <c r="L628" s="49">
        <f>Table1[[#This Row],[Open Value]]/Table1[[#This Row],[Shares]]/Table1[[#This Row],[Multiplier]]</f>
        <v>0.23168</v>
      </c>
      <c r="M628" s="49">
        <f>Table1[[#This Row],[Close Value]]/Table1[[#This Row],[Shares]]/Table1[[#This Row],[Multiplier]]</f>
        <v>0.47466000000000003</v>
      </c>
      <c r="N628" s="49">
        <v>3037.25</v>
      </c>
      <c r="O628" s="47">
        <v>1.0487741712707184</v>
      </c>
      <c r="P628" s="72">
        <f t="shared" si="10"/>
        <v>186760.11845814003</v>
      </c>
      <c r="Q628" s="49" t="str">
        <f>TEXT(Table1[[#This Row],[Closing Date]],"yyyy")</f>
        <v>2024</v>
      </c>
      <c r="R628" s="49" t="str">
        <f>TEXT(Table1[[#This Row],[Closing Date]],"mmmm")</f>
        <v>June</v>
      </c>
      <c r="S628" s="49" t="s">
        <v>368</v>
      </c>
      <c r="T628" s="49" t="s">
        <v>429</v>
      </c>
    </row>
    <row r="629" spans="1:20" x14ac:dyDescent="0.25">
      <c r="A629" t="s">
        <v>276</v>
      </c>
      <c r="B629" t="s">
        <v>430</v>
      </c>
      <c r="C629" t="s">
        <v>147</v>
      </c>
      <c r="D629" t="s">
        <v>38</v>
      </c>
      <c r="E629" s="90">
        <v>45464</v>
      </c>
      <c r="F629" s="60">
        <v>45471</v>
      </c>
      <c r="G629" t="s">
        <v>406</v>
      </c>
      <c r="H629">
        <v>10</v>
      </c>
      <c r="I629" s="49">
        <f>3371.47-212.5</f>
        <v>3158.97</v>
      </c>
      <c r="J629" s="106">
        <v>100</v>
      </c>
      <c r="K629" s="115">
        <f>Table1[[#This Row],[Open Value]]+Table1[[#This Row],[PnL]]</f>
        <v>3625.45</v>
      </c>
      <c r="L629" s="49">
        <f>Table1[[#This Row],[Open Value]]/Table1[[#This Row],[Shares]]/Table1[[#This Row],[Multiplier]]</f>
        <v>3.1589700000000001</v>
      </c>
      <c r="M629" s="49">
        <f>Table1[[#This Row],[Close Value]]/Table1[[#This Row],[Shares]]/Table1[[#This Row],[Multiplier]]</f>
        <v>3.6254499999999994</v>
      </c>
      <c r="N629" s="49">
        <f>350.42+116.06</f>
        <v>466.48</v>
      </c>
      <c r="O629" s="47">
        <f>Table1[[#This Row],[PnL]]/Table1[[#This Row],[Open Value]]</f>
        <v>0.14766838558137621</v>
      </c>
      <c r="P629" s="72">
        <f t="shared" si="10"/>
        <v>187226.59845814004</v>
      </c>
      <c r="Q629" s="49" t="str">
        <f>TEXT(Table1[[#This Row],[Closing Date]],"yyyy")</f>
        <v>2024</v>
      </c>
      <c r="R629" s="49" t="str">
        <f>TEXT(Table1[[#This Row],[Closing Date]],"mmmm")</f>
        <v>June</v>
      </c>
      <c r="S629" s="49" t="s">
        <v>368</v>
      </c>
      <c r="T629" s="49" t="s">
        <v>429</v>
      </c>
    </row>
    <row r="630" spans="1:20" x14ac:dyDescent="0.25">
      <c r="A630" t="s">
        <v>276</v>
      </c>
      <c r="B630" t="s">
        <v>430</v>
      </c>
      <c r="C630" t="s">
        <v>152</v>
      </c>
      <c r="D630" t="s">
        <v>38</v>
      </c>
      <c r="E630" s="90">
        <v>45455</v>
      </c>
      <c r="F630" s="60">
        <v>45471</v>
      </c>
      <c r="G630" t="s">
        <v>48</v>
      </c>
      <c r="H630">
        <v>3</v>
      </c>
      <c r="I630" s="49">
        <v>9575</v>
      </c>
      <c r="J630" s="106">
        <v>100</v>
      </c>
      <c r="K630" s="115">
        <f>Table1[[#This Row],[Open Value]]+Table1[[#This Row],[PnL]]</f>
        <v>23030.879999999997</v>
      </c>
      <c r="L630" s="49">
        <f>Table1[[#This Row],[Open Value]]/Table1[[#This Row],[Shares]]/Table1[[#This Row],[Multiplier]]</f>
        <v>31.916666666666664</v>
      </c>
      <c r="M630" s="49">
        <f>Table1[[#This Row],[Close Value]]/Table1[[#This Row],[Shares]]/Table1[[#This Row],[Multiplier]]</f>
        <v>76.769599999999997</v>
      </c>
      <c r="N630" s="49">
        <v>13455.88</v>
      </c>
      <c r="O630" s="47">
        <f>Table1[[#This Row],[PnL]]/Table1[[#This Row],[Open Value]]</f>
        <v>1.4053138381201045</v>
      </c>
      <c r="P630" s="72">
        <f t="shared" si="10"/>
        <v>200682.47845814005</v>
      </c>
      <c r="Q630" s="49" t="str">
        <f>TEXT(Table1[[#This Row],[Closing Date]],"yyyy")</f>
        <v>2024</v>
      </c>
      <c r="R630" s="49" t="str">
        <f>TEXT(Table1[[#This Row],[Closing Date]],"mmmm")</f>
        <v>June</v>
      </c>
      <c r="S630" s="49" t="s">
        <v>368</v>
      </c>
      <c r="T630" s="49" t="s">
        <v>429</v>
      </c>
    </row>
    <row r="631" spans="1:20" x14ac:dyDescent="0.25">
      <c r="A631" t="s">
        <v>276</v>
      </c>
      <c r="B631" t="s">
        <v>430</v>
      </c>
      <c r="C631" t="s">
        <v>152</v>
      </c>
      <c r="D631" t="s">
        <v>38</v>
      </c>
      <c r="E631" s="90">
        <v>45397</v>
      </c>
      <c r="F631" s="60">
        <v>45473</v>
      </c>
      <c r="G631" t="s">
        <v>48</v>
      </c>
      <c r="H631">
        <v>8</v>
      </c>
      <c r="I631" s="49">
        <v>14405.49</v>
      </c>
      <c r="J631" s="106">
        <v>100</v>
      </c>
      <c r="K631" s="115">
        <v>27867</v>
      </c>
      <c r="L631" s="49">
        <v>18.0068625</v>
      </c>
      <c r="M631" s="49">
        <v>34.833750000000002</v>
      </c>
      <c r="N631" s="49">
        <v>13461.51</v>
      </c>
      <c r="O631" s="47">
        <v>0.93447081633460582</v>
      </c>
      <c r="P631" s="72">
        <f t="shared" si="10"/>
        <v>214143.98845814005</v>
      </c>
      <c r="Q631" s="49" t="str">
        <f>TEXT(Table1[[#This Row],[Closing Date]],"yyyy")</f>
        <v>2024</v>
      </c>
      <c r="R631" s="49" t="str">
        <f>TEXT(Table1[[#This Row],[Closing Date]],"mmmm")</f>
        <v>June</v>
      </c>
      <c r="S631" s="49" t="s">
        <v>368</v>
      </c>
      <c r="T631" s="49" t="s">
        <v>429</v>
      </c>
    </row>
    <row r="632" spans="1:20" x14ac:dyDescent="0.25">
      <c r="A632" t="s">
        <v>276</v>
      </c>
      <c r="B632" t="s">
        <v>430</v>
      </c>
      <c r="C632" t="s">
        <v>148</v>
      </c>
      <c r="D632" t="s">
        <v>38</v>
      </c>
      <c r="E632" s="90">
        <v>45448</v>
      </c>
      <c r="F632" s="60">
        <v>45473</v>
      </c>
      <c r="G632" t="s">
        <v>404</v>
      </c>
      <c r="H632">
        <v>30</v>
      </c>
      <c r="I632" s="49">
        <v>3621</v>
      </c>
      <c r="J632" s="106">
        <v>100</v>
      </c>
      <c r="K632" s="115">
        <v>5236</v>
      </c>
      <c r="L632" s="49">
        <f>Table1[[#This Row],[Open Value]]/Table1[[#This Row],[Shares]]/Table1[[#This Row],[Multiplier]]</f>
        <v>1.2070000000000001</v>
      </c>
      <c r="M632" s="49">
        <f>Table1[[#This Row],[Close Value]]/Table1[[#This Row],[Shares]]/Table1[[#This Row],[Multiplier]]</f>
        <v>1.7453333333333334</v>
      </c>
      <c r="N632" s="49">
        <v>1615</v>
      </c>
      <c r="O632" s="47">
        <v>0.4460093896713615</v>
      </c>
      <c r="P632" s="72">
        <f t="shared" si="10"/>
        <v>215758.98845814005</v>
      </c>
      <c r="Q632" s="49" t="str">
        <f>TEXT(Table1[[#This Row],[Closing Date]],"yyyy")</f>
        <v>2024</v>
      </c>
      <c r="R632" s="49" t="str">
        <f>TEXT(Table1[[#This Row],[Closing Date]],"mmmm")</f>
        <v>June</v>
      </c>
      <c r="S632" s="49" t="s">
        <v>368</v>
      </c>
      <c r="T632" s="49" t="s">
        <v>429</v>
      </c>
    </row>
    <row r="633" spans="1:20" x14ac:dyDescent="0.25">
      <c r="A633" t="s">
        <v>276</v>
      </c>
      <c r="B633" t="s">
        <v>430</v>
      </c>
      <c r="C633" t="s">
        <v>147</v>
      </c>
      <c r="D633" t="s">
        <v>38</v>
      </c>
      <c r="E633" s="90">
        <v>45474</v>
      </c>
      <c r="F633" s="60">
        <v>45474</v>
      </c>
      <c r="G633" t="s">
        <v>50</v>
      </c>
      <c r="H633">
        <v>12</v>
      </c>
      <c r="I633" s="49">
        <v>3788</v>
      </c>
      <c r="J633" s="106">
        <v>100</v>
      </c>
      <c r="K633" s="115">
        <v>4244</v>
      </c>
      <c r="L633" s="49">
        <f>Table1[[#This Row],[Open Value]]/Table1[[#This Row],[Shares]]/Table1[[#This Row],[Multiplier]]</f>
        <v>3.1566666666666667</v>
      </c>
      <c r="M633" s="49">
        <f>Table1[[#This Row],[Close Value]]/Table1[[#This Row],[Shares]]/Table1[[#This Row],[Multiplier]]</f>
        <v>3.5366666666666671</v>
      </c>
      <c r="N633" s="49">
        <v>456</v>
      </c>
      <c r="O633" s="47">
        <v>0.12038014783526937</v>
      </c>
      <c r="P633" s="72">
        <f t="shared" si="10"/>
        <v>216214.98845814005</v>
      </c>
      <c r="Q633" s="49" t="str">
        <f>TEXT(Table1[[#This Row],[Closing Date]],"yyyy")</f>
        <v>2024</v>
      </c>
      <c r="R633" s="49" t="str">
        <f>TEXT(Table1[[#This Row],[Closing Date]],"mmmm")</f>
        <v>July</v>
      </c>
      <c r="S633" s="49" t="s">
        <v>368</v>
      </c>
      <c r="T633" s="49" t="s">
        <v>429</v>
      </c>
    </row>
    <row r="634" spans="1:20" x14ac:dyDescent="0.25">
      <c r="A634" t="s">
        <v>283</v>
      </c>
      <c r="B634" t="s">
        <v>431</v>
      </c>
      <c r="C634" t="s">
        <v>35</v>
      </c>
      <c r="D634" t="s">
        <v>38</v>
      </c>
      <c r="E634" s="90">
        <v>45461</v>
      </c>
      <c r="F634" s="60">
        <v>45474</v>
      </c>
      <c r="G634" t="s">
        <v>415</v>
      </c>
      <c r="H634">
        <v>250000</v>
      </c>
      <c r="I634" s="49">
        <v>2058270</v>
      </c>
      <c r="J634" s="106">
        <v>1</v>
      </c>
      <c r="K634" s="115">
        <f>Table1[[#This Row],[Open Value]]+Table1[[#This Row],[PnL]]</f>
        <v>2053770.4748056266</v>
      </c>
      <c r="L634" s="49">
        <f>Table1[[#This Row],[Open Value]]/Table1[[#This Row],[Shares]]/Table1[[#This Row],[Multiplier]]</f>
        <v>8.2330799999999993</v>
      </c>
      <c r="M634" s="49">
        <f>Table1[[#This Row],[Close Value]]/Table1[[#This Row],[Shares]]/Table1[[#This Row],[Multiplier]]</f>
        <v>8.2150818992225059</v>
      </c>
      <c r="N634" s="49">
        <f>(2021880-Table1[[#This Row],[Open Value]])/8.08752</f>
        <v>-4499.5251943735539</v>
      </c>
      <c r="O634" s="47">
        <f>Table1[[#This Row],[PnL]]/Table1[[#This Row],[Open Value]]</f>
        <v>-2.1860714067510841E-3</v>
      </c>
      <c r="P634" s="72">
        <f t="shared" si="10"/>
        <v>211715.46326376649</v>
      </c>
      <c r="Q634" s="49" t="str">
        <f>TEXT(Table1[[#This Row],[Closing Date]],"yyyy")</f>
        <v>2024</v>
      </c>
      <c r="R634" s="49" t="str">
        <f>TEXT(Table1[[#This Row],[Closing Date]],"mmmm")</f>
        <v>July</v>
      </c>
      <c r="S634" s="49" t="s">
        <v>368</v>
      </c>
      <c r="T634" s="49" t="s">
        <v>429</v>
      </c>
    </row>
    <row r="635" spans="1:20" x14ac:dyDescent="0.25">
      <c r="A635" t="s">
        <v>283</v>
      </c>
      <c r="B635" t="s">
        <v>431</v>
      </c>
      <c r="C635" t="s">
        <v>35</v>
      </c>
      <c r="D635" t="s">
        <v>38</v>
      </c>
      <c r="E635" s="90">
        <v>45463</v>
      </c>
      <c r="F635" s="60">
        <v>45474</v>
      </c>
      <c r="G635" t="s">
        <v>416</v>
      </c>
      <c r="H635">
        <v>400000</v>
      </c>
      <c r="I635" s="49">
        <v>148146800</v>
      </c>
      <c r="J635" s="106">
        <v>1</v>
      </c>
      <c r="K635" s="115">
        <f>Table1[[#This Row],[Open Value]]+Table1[[#This Row],[PnL]]</f>
        <v>148142003.42833763</v>
      </c>
      <c r="L635" s="49">
        <f>Table1[[#This Row],[Open Value]]/Table1[[#This Row],[Shares]]/Table1[[#This Row],[Multiplier]]</f>
        <v>370.36700000000002</v>
      </c>
      <c r="M635" s="49">
        <f>Table1[[#This Row],[Close Value]]/Table1[[#This Row],[Shares]]/Table1[[#This Row],[Multiplier]]</f>
        <v>370.35500857084406</v>
      </c>
      <c r="N635" s="49">
        <f>(146400400-Table1[[#This Row],[Open Value]])/366.001-25</f>
        <v>-4796.5716623725075</v>
      </c>
      <c r="O635" s="47">
        <f>Table1[[#This Row],[PnL]]/Table1[[#This Row],[Open Value]]</f>
        <v>-3.237715335310994E-5</v>
      </c>
      <c r="P635" s="72">
        <f t="shared" si="10"/>
        <v>206918.89160139399</v>
      </c>
      <c r="Q635" s="49" t="str">
        <f>TEXT(Table1[[#This Row],[Closing Date]],"yyyy")</f>
        <v>2024</v>
      </c>
      <c r="R635" s="49" t="str">
        <f>TEXT(Table1[[#This Row],[Closing Date]],"mmmm")</f>
        <v>July</v>
      </c>
      <c r="S635" s="49" t="s">
        <v>368</v>
      </c>
      <c r="T635" s="49" t="s">
        <v>429</v>
      </c>
    </row>
    <row r="636" spans="1:20" x14ac:dyDescent="0.25">
      <c r="A636" t="s">
        <v>276</v>
      </c>
      <c r="B636" t="s">
        <v>430</v>
      </c>
      <c r="C636" t="s">
        <v>147</v>
      </c>
      <c r="D636" t="s">
        <v>38</v>
      </c>
      <c r="E636" s="90">
        <v>45468</v>
      </c>
      <c r="F636" s="60">
        <v>45476</v>
      </c>
      <c r="G636" t="s">
        <v>407</v>
      </c>
      <c r="H636">
        <v>10</v>
      </c>
      <c r="I636" s="49">
        <v>4050</v>
      </c>
      <c r="J636" s="106">
        <v>100</v>
      </c>
      <c r="K636" s="115">
        <v>4394.63</v>
      </c>
      <c r="L636" s="49">
        <f>Table1[[#This Row],[Open Value]]/Table1[[#This Row],[Shares]]/Table1[[#This Row],[Multiplier]]</f>
        <v>4.05</v>
      </c>
      <c r="M636" s="49">
        <f>Table1[[#This Row],[Close Value]]/Table1[[#This Row],[Shares]]/Table1[[#This Row],[Multiplier]]</f>
        <v>4.3946300000000003</v>
      </c>
      <c r="N636" s="49">
        <v>344.63000000000011</v>
      </c>
      <c r="O636" s="47">
        <v>8.5093827160493934E-2</v>
      </c>
      <c r="P636" s="72">
        <f t="shared" si="10"/>
        <v>207263.52160139399</v>
      </c>
      <c r="Q636" s="49" t="str">
        <f>TEXT(Table1[[#This Row],[Closing Date]],"yyyy")</f>
        <v>2024</v>
      </c>
      <c r="R636" s="49" t="str">
        <f>TEXT(Table1[[#This Row],[Closing Date]],"mmmm")</f>
        <v>July</v>
      </c>
      <c r="S636" s="49" t="s">
        <v>368</v>
      </c>
      <c r="T636" s="49" t="s">
        <v>429</v>
      </c>
    </row>
    <row r="637" spans="1:20" x14ac:dyDescent="0.25">
      <c r="A637" t="s">
        <v>276</v>
      </c>
      <c r="B637" t="s">
        <v>430</v>
      </c>
      <c r="C637" t="s">
        <v>149</v>
      </c>
      <c r="D637" t="s">
        <v>38</v>
      </c>
      <c r="E637" s="90">
        <v>45470</v>
      </c>
      <c r="F637" s="60">
        <v>45478</v>
      </c>
      <c r="G637" t="s">
        <v>394</v>
      </c>
      <c r="H637">
        <v>40</v>
      </c>
      <c r="I637" s="49">
        <v>2307.4699999999998</v>
      </c>
      <c r="J637" s="106">
        <v>100</v>
      </c>
      <c r="K637" s="115">
        <f>Table1[[#This Row],[Open Value]]+Table1[[#This Row],[PnL]]</f>
        <v>0</v>
      </c>
      <c r="L637" s="49">
        <f>Table1[[#This Row],[Open Value]]/Table1[[#This Row],[Shares]]/Table1[[#This Row],[Multiplier]]</f>
        <v>0.57686749999999998</v>
      </c>
      <c r="M637" s="49">
        <f>Table1[[#This Row],[Close Value]]/Table1[[#This Row],[Shares]]/Table1[[#This Row],[Multiplier]]</f>
        <v>0</v>
      </c>
      <c r="N637" s="49">
        <v>-2307.4699999999998</v>
      </c>
      <c r="O637" s="47">
        <f>Table1[[#This Row],[PnL]]/Table1[[#This Row],[Open Value]]</f>
        <v>-1</v>
      </c>
      <c r="P637" s="72">
        <f t="shared" si="10"/>
        <v>204956.05160139399</v>
      </c>
      <c r="Q637" s="49" t="str">
        <f>TEXT(Table1[[#This Row],[Closing Date]],"yyyy")</f>
        <v>2024</v>
      </c>
      <c r="R637" s="49" t="str">
        <f>TEXT(Table1[[#This Row],[Closing Date]],"mmmm")</f>
        <v>July</v>
      </c>
      <c r="S637" s="49" t="s">
        <v>368</v>
      </c>
      <c r="T637" s="49" t="s">
        <v>429</v>
      </c>
    </row>
    <row r="638" spans="1:20" x14ac:dyDescent="0.25">
      <c r="A638" t="s">
        <v>276</v>
      </c>
      <c r="B638" t="s">
        <v>430</v>
      </c>
      <c r="C638" t="s">
        <v>147</v>
      </c>
      <c r="D638" t="s">
        <v>38</v>
      </c>
      <c r="E638" s="90">
        <v>45474</v>
      </c>
      <c r="F638" s="60">
        <v>45478</v>
      </c>
      <c r="G638" t="s">
        <v>224</v>
      </c>
      <c r="H638">
        <v>6</v>
      </c>
      <c r="I638" s="49">
        <f>-93.9+3548.08</f>
        <v>3454.18</v>
      </c>
      <c r="J638" s="106">
        <v>100</v>
      </c>
      <c r="K638" s="115">
        <f>Table1[[#This Row],[Open Value]]+Table1[[#This Row],[PnL]]</f>
        <v>8453.09</v>
      </c>
      <c r="L638" s="49">
        <f>Table1[[#This Row],[Open Value]]/Table1[[#This Row],[Shares]]/Table1[[#This Row],[Multiplier]]</f>
        <v>5.7569666666666661</v>
      </c>
      <c r="M638" s="49">
        <f>Table1[[#This Row],[Close Value]]/Table1[[#This Row],[Shares]]/Table1[[#This Row],[Multiplier]]</f>
        <v>14.088483333333334</v>
      </c>
      <c r="N638" s="49">
        <f>4947.54+51.37</f>
        <v>4998.91</v>
      </c>
      <c r="O638" s="47">
        <f>Table1[[#This Row],[PnL]]/Table1[[#This Row],[Open Value]]</f>
        <v>1.4472059938972492</v>
      </c>
      <c r="P638" s="72">
        <f t="shared" si="10"/>
        <v>209954.961601394</v>
      </c>
      <c r="Q638" s="49" t="str">
        <f>TEXT(Table1[[#This Row],[Closing Date]],"yyyy")</f>
        <v>2024</v>
      </c>
      <c r="R638" s="49" t="str">
        <f>TEXT(Table1[[#This Row],[Closing Date]],"mmmm")</f>
        <v>July</v>
      </c>
      <c r="S638" s="49" t="s">
        <v>368</v>
      </c>
      <c r="T638" s="49" t="s">
        <v>429</v>
      </c>
    </row>
    <row r="639" spans="1:20" x14ac:dyDescent="0.25">
      <c r="A639" t="s">
        <v>276</v>
      </c>
      <c r="B639" t="s">
        <v>430</v>
      </c>
      <c r="C639" t="s">
        <v>149</v>
      </c>
      <c r="D639" t="s">
        <v>38</v>
      </c>
      <c r="E639" s="90">
        <v>45463</v>
      </c>
      <c r="F639" s="60">
        <v>45483</v>
      </c>
      <c r="G639" t="s">
        <v>189</v>
      </c>
      <c r="H639">
        <v>25</v>
      </c>
      <c r="I639" s="49">
        <v>3642.17</v>
      </c>
      <c r="J639" s="106">
        <v>100</v>
      </c>
      <c r="K639" s="115">
        <f>Table1[[#This Row],[Open Value]]+Table1[[#This Row],[PnL]]</f>
        <v>6128.59</v>
      </c>
      <c r="L639" s="49">
        <f>Table1[[#This Row],[Open Value]]/Table1[[#This Row],[Shares]]/Table1[[#This Row],[Multiplier]]</f>
        <v>1.4568680000000001</v>
      </c>
      <c r="M639" s="49">
        <f>Table1[[#This Row],[Close Value]]/Table1[[#This Row],[Shares]]/Table1[[#This Row],[Multiplier]]</f>
        <v>2.4514359999999997</v>
      </c>
      <c r="N639" s="49">
        <v>2486.42</v>
      </c>
      <c r="O639" s="47">
        <f>Table1[[#This Row],[PnL]]/Table1[[#This Row],[Open Value]]</f>
        <v>0.68267543799438246</v>
      </c>
      <c r="P639" s="72">
        <f t="shared" si="10"/>
        <v>212441.38160139401</v>
      </c>
      <c r="Q639" s="49" t="str">
        <f>TEXT(Table1[[#This Row],[Closing Date]],"yyyy")</f>
        <v>2024</v>
      </c>
      <c r="R639" s="49" t="str">
        <f>TEXT(Table1[[#This Row],[Closing Date]],"mmmm")</f>
        <v>July</v>
      </c>
      <c r="S639" s="49" t="s">
        <v>368</v>
      </c>
      <c r="T639" s="49" t="s">
        <v>429</v>
      </c>
    </row>
    <row r="640" spans="1:20" x14ac:dyDescent="0.25">
      <c r="A640" t="s">
        <v>283</v>
      </c>
      <c r="B640" t="s">
        <v>431</v>
      </c>
      <c r="C640" t="s">
        <v>51</v>
      </c>
      <c r="D640" t="s">
        <v>38</v>
      </c>
      <c r="E640" s="90">
        <v>45482</v>
      </c>
      <c r="F640" s="60">
        <v>45484</v>
      </c>
      <c r="G640" t="s">
        <v>134</v>
      </c>
      <c r="H640">
        <v>75</v>
      </c>
      <c r="I640" s="49">
        <v>323292.75</v>
      </c>
      <c r="J640" s="106">
        <v>1000</v>
      </c>
      <c r="K640" s="115">
        <f>Table1[[#This Row],[Open Value]]+Table1[[#This Row],[PnL]]</f>
        <v>313401.25</v>
      </c>
      <c r="L640" s="49">
        <f>Table1[[#This Row],[Open Value]]/Table1[[#This Row],[Shares]]/Table1[[#This Row],[Multiplier]]</f>
        <v>4.3105699999999993</v>
      </c>
      <c r="M640" s="49">
        <f>Table1[[#This Row],[Close Value]]/Table1[[#This Row],[Shares]]/Table1[[#This Row],[Multiplier]]</f>
        <v>4.1786833333333337</v>
      </c>
      <c r="N640" s="49">
        <v>-9891.5</v>
      </c>
      <c r="O640" s="47">
        <f>Table1[[#This Row],[PnL]]/Table1[[#This Row],[Open Value]]</f>
        <v>-3.0596108325967718E-2</v>
      </c>
      <c r="P640" s="72">
        <f t="shared" si="10"/>
        <v>202549.88160139401</v>
      </c>
      <c r="Q640" s="49" t="str">
        <f>TEXT(Table1[[#This Row],[Closing Date]],"yyyy")</f>
        <v>2024</v>
      </c>
      <c r="R640" s="49" t="str">
        <f>TEXT(Table1[[#This Row],[Closing Date]],"mmmm")</f>
        <v>July</v>
      </c>
      <c r="S640" s="49" t="s">
        <v>368</v>
      </c>
      <c r="T640" s="49" t="s">
        <v>429</v>
      </c>
    </row>
    <row r="641" spans="1:20" x14ac:dyDescent="0.25">
      <c r="A641" t="s">
        <v>283</v>
      </c>
      <c r="B641" t="s">
        <v>431</v>
      </c>
      <c r="C641" t="s">
        <v>56</v>
      </c>
      <c r="D641" t="s">
        <v>38</v>
      </c>
      <c r="E641" s="90">
        <v>45447</v>
      </c>
      <c r="F641" s="60">
        <v>45485</v>
      </c>
      <c r="G641" t="s">
        <v>201</v>
      </c>
      <c r="H641">
        <v>650</v>
      </c>
      <c r="I641" s="49">
        <v>94680.27</v>
      </c>
      <c r="J641" s="106">
        <v>1</v>
      </c>
      <c r="K641" s="115">
        <f>Table1[[#This Row],[Open Value]]+Table1[[#This Row],[PnL]]</f>
        <v>89466.52</v>
      </c>
      <c r="L641" s="49">
        <f>Table1[[#This Row],[Open Value]]/Table1[[#This Row],[Shares]]/Table1[[#This Row],[Multiplier]]</f>
        <v>145.66195384615386</v>
      </c>
      <c r="M641" s="49">
        <f>Table1[[#This Row],[Close Value]]/Table1[[#This Row],[Shares]]/Table1[[#This Row],[Multiplier]]</f>
        <v>137.64080000000001</v>
      </c>
      <c r="N641" s="49">
        <v>-5213.75</v>
      </c>
      <c r="O641" s="47">
        <f>Table1[[#This Row],[PnL]]/Table1[[#This Row],[Open Value]]</f>
        <v>-5.5066910983671676E-2</v>
      </c>
      <c r="P641" s="72">
        <f t="shared" si="10"/>
        <v>197336.13160139401</v>
      </c>
      <c r="Q641" s="49" t="str">
        <f>TEXT(Table1[[#This Row],[Closing Date]],"yyyy")</f>
        <v>2024</v>
      </c>
      <c r="R641" s="49" t="str">
        <f>TEXT(Table1[[#This Row],[Closing Date]],"mmmm")</f>
        <v>July</v>
      </c>
      <c r="S641" s="49" t="s">
        <v>368</v>
      </c>
      <c r="T641" s="49" t="s">
        <v>429</v>
      </c>
    </row>
    <row r="642" spans="1:20" x14ac:dyDescent="0.25">
      <c r="A642" t="s">
        <v>283</v>
      </c>
      <c r="B642" t="s">
        <v>431</v>
      </c>
      <c r="C642" t="s">
        <v>56</v>
      </c>
      <c r="D642" t="s">
        <v>38</v>
      </c>
      <c r="E642" s="90">
        <v>45454</v>
      </c>
      <c r="F642" s="60">
        <v>45485</v>
      </c>
      <c r="G642" t="s">
        <v>224</v>
      </c>
      <c r="H642">
        <v>800</v>
      </c>
      <c r="I642" s="49">
        <v>425352</v>
      </c>
      <c r="J642" s="106">
        <v>1</v>
      </c>
      <c r="K642" s="115">
        <f>Table1[[#This Row],[Open Value]]+Table1[[#This Row],[PnL]]</f>
        <v>405974.72</v>
      </c>
      <c r="L642" s="49">
        <f>Table1[[#This Row],[Open Value]]/Table1[[#This Row],[Shares]]/Table1[[#This Row],[Multiplier]]</f>
        <v>531.69000000000005</v>
      </c>
      <c r="M642" s="49">
        <f>Table1[[#This Row],[Close Value]]/Table1[[#This Row],[Shares]]/Table1[[#This Row],[Multiplier]]</f>
        <v>507.46839999999997</v>
      </c>
      <c r="N642" s="49">
        <v>-19377.28</v>
      </c>
      <c r="O642" s="47">
        <f>Table1[[#This Row],[PnL]]/Table1[[#This Row],[Open Value]]</f>
        <v>-4.5555869021422252E-2</v>
      </c>
      <c r="P642" s="72">
        <f t="shared" si="10"/>
        <v>177958.85160139401</v>
      </c>
      <c r="Q642" s="49" t="str">
        <f>TEXT(Table1[[#This Row],[Closing Date]],"yyyy")</f>
        <v>2024</v>
      </c>
      <c r="R642" s="49" t="str">
        <f>TEXT(Table1[[#This Row],[Closing Date]],"mmmm")</f>
        <v>July</v>
      </c>
      <c r="S642" s="49" t="s">
        <v>368</v>
      </c>
      <c r="T642" s="49" t="s">
        <v>429</v>
      </c>
    </row>
    <row r="643" spans="1:20" x14ac:dyDescent="0.25">
      <c r="A643" t="s">
        <v>283</v>
      </c>
      <c r="B643" t="s">
        <v>431</v>
      </c>
      <c r="C643" t="s">
        <v>56</v>
      </c>
      <c r="D643" t="s">
        <v>38</v>
      </c>
      <c r="E643" s="90">
        <v>45481</v>
      </c>
      <c r="F643" s="60">
        <v>45485</v>
      </c>
      <c r="G643" t="s">
        <v>413</v>
      </c>
      <c r="H643">
        <v>700</v>
      </c>
      <c r="I643" s="49">
        <v>52318</v>
      </c>
      <c r="J643" s="106">
        <v>1</v>
      </c>
      <c r="K643" s="115">
        <f>Table1[[#This Row],[Open Value]]+Table1[[#This Row],[PnL]]</f>
        <v>47293.72</v>
      </c>
      <c r="L643" s="49">
        <f>Table1[[#This Row],[Open Value]]/Table1[[#This Row],[Shares]]/Table1[[#This Row],[Multiplier]]</f>
        <v>74.739999999999995</v>
      </c>
      <c r="M643" s="49">
        <f>Table1[[#This Row],[Close Value]]/Table1[[#This Row],[Shares]]/Table1[[#This Row],[Multiplier]]</f>
        <v>67.562457142857141</v>
      </c>
      <c r="N643" s="49">
        <v>-5024.28</v>
      </c>
      <c r="O643" s="47">
        <f>Table1[[#This Row],[PnL]]/Table1[[#This Row],[Open Value]]</f>
        <v>-9.6033487518636024E-2</v>
      </c>
      <c r="P643" s="72">
        <f t="shared" si="10"/>
        <v>172934.57160139401</v>
      </c>
      <c r="Q643" s="49" t="str">
        <f>TEXT(Table1[[#This Row],[Closing Date]],"yyyy")</f>
        <v>2024</v>
      </c>
      <c r="R643" s="49" t="str">
        <f>TEXT(Table1[[#This Row],[Closing Date]],"mmmm")</f>
        <v>July</v>
      </c>
      <c r="S643" s="49" t="s">
        <v>368</v>
      </c>
      <c r="T643" s="49" t="s">
        <v>429</v>
      </c>
    </row>
    <row r="644" spans="1:20" x14ac:dyDescent="0.25">
      <c r="A644" t="s">
        <v>276</v>
      </c>
      <c r="B644" t="s">
        <v>430</v>
      </c>
      <c r="C644" t="s">
        <v>148</v>
      </c>
      <c r="D644" t="s">
        <v>38</v>
      </c>
      <c r="E644" s="90">
        <v>45471</v>
      </c>
      <c r="F644" s="60">
        <v>45485</v>
      </c>
      <c r="G644" t="s">
        <v>79</v>
      </c>
      <c r="H644">
        <v>5</v>
      </c>
      <c r="I644" s="49">
        <v>2010</v>
      </c>
      <c r="J644" s="106">
        <v>100</v>
      </c>
      <c r="K644" s="115">
        <f>Table1[[#This Row],[Open Value]]+Table1[[#This Row],[PnL]]</f>
        <v>0</v>
      </c>
      <c r="L644" s="49">
        <f>Table1[[#This Row],[Open Value]]/Table1[[#This Row],[Shares]]/Table1[[#This Row],[Multiplier]]</f>
        <v>4.0199999999999996</v>
      </c>
      <c r="M644" s="49">
        <f>Table1[[#This Row],[Close Value]]/Table1[[#This Row],[Shares]]/Table1[[#This Row],[Multiplier]]</f>
        <v>0</v>
      </c>
      <c r="N644" s="49">
        <v>-2010</v>
      </c>
      <c r="O644" s="47">
        <f>Table1[[#This Row],[PnL]]/Table1[[#This Row],[Open Value]]</f>
        <v>-1</v>
      </c>
      <c r="P644" s="72">
        <f t="shared" si="10"/>
        <v>170924.57160139401</v>
      </c>
      <c r="Q644" s="49" t="str">
        <f>TEXT(Table1[[#This Row],[Closing Date]],"yyyy")</f>
        <v>2024</v>
      </c>
      <c r="R644" s="49" t="str">
        <f>TEXT(Table1[[#This Row],[Closing Date]],"mmmm")</f>
        <v>July</v>
      </c>
      <c r="S644" s="49" t="s">
        <v>368</v>
      </c>
      <c r="T644" s="49" t="s">
        <v>429</v>
      </c>
    </row>
    <row r="645" spans="1:20" x14ac:dyDescent="0.25">
      <c r="A645" t="s">
        <v>283</v>
      </c>
      <c r="B645" t="s">
        <v>431</v>
      </c>
      <c r="C645" t="s">
        <v>51</v>
      </c>
      <c r="D645" t="s">
        <v>38</v>
      </c>
      <c r="E645" s="90">
        <v>45461</v>
      </c>
      <c r="F645" s="60">
        <v>45489</v>
      </c>
      <c r="G645" t="s">
        <v>52</v>
      </c>
      <c r="H645">
        <v>4</v>
      </c>
      <c r="I645" s="49">
        <v>311169.48</v>
      </c>
      <c r="J645" s="106">
        <v>1000</v>
      </c>
      <c r="K645" s="115">
        <f>Table1[[#This Row],[Open Value]]+Table1[[#This Row],[PnL]]</f>
        <v>310630.51999999996</v>
      </c>
      <c r="L645" s="49">
        <f>Table1[[#This Row],[Open Value]]/Table1[[#This Row],[Shares]]/Table1[[#This Row],[Multiplier]]</f>
        <v>77.792369999999991</v>
      </c>
      <c r="M645" s="49">
        <f>Table1[[#This Row],[Close Value]]/Table1[[#This Row],[Shares]]/Table1[[#This Row],[Multiplier]]</f>
        <v>77.657629999999983</v>
      </c>
      <c r="N645" s="49">
        <v>-538.96</v>
      </c>
      <c r="O645" s="47">
        <f>Table1[[#This Row],[PnL]]/Table1[[#This Row],[Open Value]]</f>
        <v>-1.7320464719097774E-3</v>
      </c>
      <c r="P645" s="72">
        <f t="shared" si="10"/>
        <v>170385.61160139402</v>
      </c>
      <c r="Q645" s="49" t="str">
        <f>TEXT(Table1[[#This Row],[Closing Date]],"yyyy")</f>
        <v>2024</v>
      </c>
      <c r="R645" s="49" t="str">
        <f>TEXT(Table1[[#This Row],[Closing Date]],"mmmm")</f>
        <v>July</v>
      </c>
      <c r="S645" s="49" t="s">
        <v>368</v>
      </c>
      <c r="T645" s="49" t="s">
        <v>429</v>
      </c>
    </row>
    <row r="646" spans="1:20" x14ac:dyDescent="0.25">
      <c r="A646" t="s">
        <v>283</v>
      </c>
      <c r="B646" t="s">
        <v>431</v>
      </c>
      <c r="C646" t="s">
        <v>51</v>
      </c>
      <c r="D646" t="s">
        <v>38</v>
      </c>
      <c r="E646" s="90">
        <v>45463</v>
      </c>
      <c r="F646" s="60">
        <v>45489</v>
      </c>
      <c r="G646" t="s">
        <v>139</v>
      </c>
      <c r="H646">
        <v>2</v>
      </c>
      <c r="I646" s="49">
        <v>207980.34</v>
      </c>
      <c r="J646" s="106">
        <v>42000</v>
      </c>
      <c r="K646" s="115">
        <f>Table1[[#This Row],[Open Value]]+Table1[[#This Row],[PnL]]</f>
        <v>207987.66</v>
      </c>
      <c r="L646" s="49">
        <f>Table1[[#This Row],[Open Value]]/Table1[[#This Row],[Shares]]/Table1[[#This Row],[Multiplier]]</f>
        <v>2.4759564285714286</v>
      </c>
      <c r="M646" s="49">
        <f>Table1[[#This Row],[Close Value]]/Table1[[#This Row],[Shares]]/Table1[[#This Row],[Multiplier]]</f>
        <v>2.4760435714285713</v>
      </c>
      <c r="N646" s="49">
        <v>7.32</v>
      </c>
      <c r="O646" s="47">
        <f>Table1[[#This Row],[PnL]]/Table1[[#This Row],[Open Value]]</f>
        <v>3.5195634356593517E-5</v>
      </c>
      <c r="P646" s="72">
        <f t="shared" si="10"/>
        <v>170392.93160139403</v>
      </c>
      <c r="Q646" s="49" t="str">
        <f>TEXT(Table1[[#This Row],[Closing Date]],"yyyy")</f>
        <v>2024</v>
      </c>
      <c r="R646" s="49" t="str">
        <f>TEXT(Table1[[#This Row],[Closing Date]],"mmmm")</f>
        <v>July</v>
      </c>
      <c r="S646" s="49" t="s">
        <v>368</v>
      </c>
      <c r="T646" s="49" t="s">
        <v>429</v>
      </c>
    </row>
    <row r="647" spans="1:20" x14ac:dyDescent="0.25">
      <c r="A647" t="s">
        <v>283</v>
      </c>
      <c r="B647" t="s">
        <v>430</v>
      </c>
      <c r="C647" t="s">
        <v>56</v>
      </c>
      <c r="D647" t="s">
        <v>38</v>
      </c>
      <c r="E647" s="90">
        <v>45490</v>
      </c>
      <c r="F647" s="60">
        <v>45490</v>
      </c>
      <c r="G647" t="s">
        <v>411</v>
      </c>
      <c r="H647">
        <v>500</v>
      </c>
      <c r="I647" s="49">
        <v>63767.5</v>
      </c>
      <c r="J647" s="106">
        <v>1</v>
      </c>
      <c r="K647" s="115">
        <f>Table1[[#This Row],[Open Value]]+Table1[[#This Row],[PnL]]</f>
        <v>61205.72</v>
      </c>
      <c r="L647" s="49">
        <f>Table1[[#This Row],[Open Value]]/Table1[[#This Row],[Shares]]/Table1[[#This Row],[Multiplier]]</f>
        <v>127.535</v>
      </c>
      <c r="M647" s="49">
        <f>Table1[[#This Row],[Close Value]]/Table1[[#This Row],[Shares]]/Table1[[#This Row],[Multiplier]]</f>
        <v>122.41144</v>
      </c>
      <c r="N647" s="49">
        <v>-2561.7800000000002</v>
      </c>
      <c r="O647" s="47">
        <f>Table1[[#This Row],[PnL]]/Table1[[#This Row],[Open Value]]</f>
        <v>-4.0173756223781713E-2</v>
      </c>
      <c r="P647" s="72">
        <f t="shared" si="10"/>
        <v>167831.15160139403</v>
      </c>
      <c r="Q647" s="49" t="str">
        <f>TEXT(Table1[[#This Row],[Closing Date]],"yyyy")</f>
        <v>2024</v>
      </c>
      <c r="R647" s="49" t="str">
        <f>TEXT(Table1[[#This Row],[Closing Date]],"mmmm")</f>
        <v>July</v>
      </c>
      <c r="S647" s="49" t="s">
        <v>368</v>
      </c>
      <c r="T647" s="49" t="s">
        <v>429</v>
      </c>
    </row>
    <row r="648" spans="1:20" x14ac:dyDescent="0.25">
      <c r="A648" t="s">
        <v>283</v>
      </c>
      <c r="B648" t="s">
        <v>431</v>
      </c>
      <c r="C648" t="s">
        <v>56</v>
      </c>
      <c r="D648" t="s">
        <v>38</v>
      </c>
      <c r="E648" s="90">
        <v>42931</v>
      </c>
      <c r="F648" s="60">
        <v>45490</v>
      </c>
      <c r="G648" t="s">
        <v>384</v>
      </c>
      <c r="H648">
        <v>2050</v>
      </c>
      <c r="I648" s="49">
        <v>312500</v>
      </c>
      <c r="J648" s="106">
        <v>1</v>
      </c>
      <c r="K648" s="115">
        <f>Table1[[#This Row],[Open Value]]+Table1[[#This Row],[PnL]]</f>
        <v>315728.03000000003</v>
      </c>
      <c r="L648" s="49">
        <f>Table1[[#This Row],[Open Value]]/Table1[[#This Row],[Shares]]/Table1[[#This Row],[Multiplier]]</f>
        <v>152.4390243902439</v>
      </c>
      <c r="M648" s="49">
        <f>Table1[[#This Row],[Close Value]]/Table1[[#This Row],[Shares]]/Table1[[#This Row],[Multiplier]]</f>
        <v>154.01367317073172</v>
      </c>
      <c r="N648" s="49">
        <v>3228.03</v>
      </c>
      <c r="O648" s="47">
        <f>Table1[[#This Row],[PnL]]/Table1[[#This Row],[Open Value]]</f>
        <v>1.0329696000000001E-2</v>
      </c>
      <c r="P648" s="72">
        <f t="shared" si="10"/>
        <v>171059.18160139403</v>
      </c>
      <c r="Q648" s="49" t="str">
        <f>TEXT(Table1[[#This Row],[Closing Date]],"yyyy")</f>
        <v>2024</v>
      </c>
      <c r="R648" s="49" t="str">
        <f>TEXT(Table1[[#This Row],[Closing Date]],"mmmm")</f>
        <v>July</v>
      </c>
      <c r="S648" s="49" t="s">
        <v>368</v>
      </c>
      <c r="T648" s="49" t="s">
        <v>429</v>
      </c>
    </row>
    <row r="649" spans="1:20" x14ac:dyDescent="0.25">
      <c r="A649" t="s">
        <v>283</v>
      </c>
      <c r="B649" t="s">
        <v>431</v>
      </c>
      <c r="C649" t="s">
        <v>56</v>
      </c>
      <c r="D649" t="s">
        <v>38</v>
      </c>
      <c r="E649" s="90">
        <v>45474</v>
      </c>
      <c r="F649" s="60">
        <v>45490</v>
      </c>
      <c r="G649" t="s">
        <v>215</v>
      </c>
      <c r="H649">
        <v>3000</v>
      </c>
      <c r="I649" s="49">
        <v>165000</v>
      </c>
      <c r="J649" s="106">
        <v>1</v>
      </c>
      <c r="K649" s="115">
        <f>Table1[[#This Row],[Open Value]]+Table1[[#This Row],[PnL]]</f>
        <v>181841.41999999998</v>
      </c>
      <c r="L649" s="49">
        <f>Table1[[#This Row],[Open Value]]/Table1[[#This Row],[Shares]]/Table1[[#This Row],[Multiplier]]</f>
        <v>55</v>
      </c>
      <c r="M649" s="49">
        <f>Table1[[#This Row],[Close Value]]/Table1[[#This Row],[Shares]]/Table1[[#This Row],[Multiplier]]</f>
        <v>60.613806666666662</v>
      </c>
      <c r="N649" s="49">
        <v>16841.419999999998</v>
      </c>
      <c r="O649" s="47">
        <f>Table1[[#This Row],[PnL]]/Table1[[#This Row],[Open Value]]</f>
        <v>0.10206921212121212</v>
      </c>
      <c r="P649" s="72">
        <f t="shared" si="10"/>
        <v>187900.60160139401</v>
      </c>
      <c r="Q649" s="49" t="str">
        <f>TEXT(Table1[[#This Row],[Closing Date]],"yyyy")</f>
        <v>2024</v>
      </c>
      <c r="R649" s="49" t="str">
        <f>TEXT(Table1[[#This Row],[Closing Date]],"mmmm")</f>
        <v>July</v>
      </c>
      <c r="S649" s="49" t="s">
        <v>368</v>
      </c>
      <c r="T649" s="49" t="s">
        <v>429</v>
      </c>
    </row>
    <row r="650" spans="1:20" x14ac:dyDescent="0.25">
      <c r="A650" t="s">
        <v>276</v>
      </c>
      <c r="B650" t="s">
        <v>430</v>
      </c>
      <c r="C650" t="s">
        <v>147</v>
      </c>
      <c r="D650" t="s">
        <v>38</v>
      </c>
      <c r="E650" s="90">
        <v>45467</v>
      </c>
      <c r="F650" s="60">
        <v>45490</v>
      </c>
      <c r="G650" t="s">
        <v>265</v>
      </c>
      <c r="H650">
        <v>6</v>
      </c>
      <c r="I650" s="49">
        <f>3399.14-92.84</f>
        <v>3306.2999999999997</v>
      </c>
      <c r="J650" s="106">
        <v>100</v>
      </c>
      <c r="K650" s="115">
        <f>Table1[[#This Row],[Open Value]]+Table1[[#This Row],[PnL]]</f>
        <v>6128.78</v>
      </c>
      <c r="L650" s="49">
        <f>Table1[[#This Row],[Open Value]]/Table1[[#This Row],[Shares]]/Table1[[#This Row],[Multiplier]]</f>
        <v>5.5104999999999995</v>
      </c>
      <c r="M650" s="49">
        <f>Table1[[#This Row],[Close Value]]/Table1[[#This Row],[Shares]]/Table1[[#This Row],[Multiplier]]</f>
        <v>10.214633333333332</v>
      </c>
      <c r="N650" s="49">
        <f>2822.48</f>
        <v>2822.48</v>
      </c>
      <c r="O650" s="47">
        <f>Table1[[#This Row],[PnL]]/Table1[[#This Row],[Open Value]]</f>
        <v>0.85366724132716332</v>
      </c>
      <c r="P650" s="72">
        <f t="shared" si="10"/>
        <v>190723.08160139402</v>
      </c>
      <c r="Q650" s="49" t="str">
        <f>TEXT(Table1[[#This Row],[Closing Date]],"yyyy")</f>
        <v>2024</v>
      </c>
      <c r="R650" s="49" t="str">
        <f>TEXT(Table1[[#This Row],[Closing Date]],"mmmm")</f>
        <v>July</v>
      </c>
      <c r="S650" s="49" t="s">
        <v>368</v>
      </c>
      <c r="T650" s="49" t="s">
        <v>429</v>
      </c>
    </row>
    <row r="651" spans="1:20" x14ac:dyDescent="0.25">
      <c r="A651" t="s">
        <v>276</v>
      </c>
      <c r="B651" t="s">
        <v>430</v>
      </c>
      <c r="C651" t="s">
        <v>152</v>
      </c>
      <c r="D651" t="s">
        <v>38</v>
      </c>
      <c r="E651" s="90">
        <v>45485</v>
      </c>
      <c r="F651" s="60">
        <v>45490</v>
      </c>
      <c r="G651" t="s">
        <v>43</v>
      </c>
      <c r="H651">
        <v>400</v>
      </c>
      <c r="I651" s="49">
        <v>6274.74</v>
      </c>
      <c r="J651" s="106">
        <v>100</v>
      </c>
      <c r="K651" s="115">
        <f>Table1[[#This Row],[Open Value]]+Table1[[#This Row],[PnL]]</f>
        <v>0</v>
      </c>
      <c r="L651" s="49">
        <f>Table1[[#This Row],[Open Value]]/Table1[[#This Row],[Shares]]/Table1[[#This Row],[Multiplier]]</f>
        <v>0.15686849999999999</v>
      </c>
      <c r="M651" s="49">
        <f>Table1[[#This Row],[Close Value]]/Table1[[#This Row],[Shares]]/Table1[[#This Row],[Multiplier]]</f>
        <v>0</v>
      </c>
      <c r="N651" s="49">
        <v>-6274.74</v>
      </c>
      <c r="O651" s="47">
        <f>Table1[[#This Row],[PnL]]/Table1[[#This Row],[Open Value]]</f>
        <v>-1</v>
      </c>
      <c r="P651" s="72">
        <f t="shared" si="10"/>
        <v>184448.34160139403</v>
      </c>
      <c r="Q651" s="49" t="str">
        <f>TEXT(Table1[[#This Row],[Closing Date]],"yyyy")</f>
        <v>2024</v>
      </c>
      <c r="R651" s="49" t="str">
        <f>TEXT(Table1[[#This Row],[Closing Date]],"mmmm")</f>
        <v>July</v>
      </c>
      <c r="S651" s="49" t="s">
        <v>368</v>
      </c>
      <c r="T651" s="49" t="s">
        <v>429</v>
      </c>
    </row>
    <row r="652" spans="1:20" x14ac:dyDescent="0.25">
      <c r="A652" t="s">
        <v>283</v>
      </c>
      <c r="B652" t="s">
        <v>433</v>
      </c>
      <c r="C652" t="s">
        <v>51</v>
      </c>
      <c r="D652" t="s">
        <v>38</v>
      </c>
      <c r="E652" s="90">
        <v>45468</v>
      </c>
      <c r="F652" s="60">
        <v>45490</v>
      </c>
      <c r="G652" t="s">
        <v>88</v>
      </c>
      <c r="H652">
        <v>2</v>
      </c>
      <c r="I652" s="49">
        <v>393656.04</v>
      </c>
      <c r="J652" s="106">
        <v>25</v>
      </c>
      <c r="K652" s="115">
        <f>Table1[[#This Row],[Open Value]]+Table1[[#This Row],[PnL]]</f>
        <v>407718.95999999996</v>
      </c>
      <c r="L652" s="49">
        <f>Table1[[#This Row],[Open Value]]/Table1[[#This Row],[Shares]]/Table1[[#This Row],[Multiplier]]</f>
        <v>7873.1207999999997</v>
      </c>
      <c r="M652" s="49">
        <f>Table1[[#This Row],[Close Value]]/Table1[[#This Row],[Shares]]/Table1[[#This Row],[Multiplier]]</f>
        <v>8154.3791999999994</v>
      </c>
      <c r="N652" s="49">
        <v>14062.92</v>
      </c>
      <c r="O652" s="47">
        <f>Table1[[#This Row],[PnL]]/Table1[[#This Row],[Open Value]]</f>
        <v>3.5723877118715115E-2</v>
      </c>
      <c r="P652" s="72">
        <f t="shared" si="10"/>
        <v>198511.26160139404</v>
      </c>
      <c r="Q652" s="49" t="str">
        <f>TEXT(Table1[[#This Row],[Closing Date]],"yyyy")</f>
        <v>2024</v>
      </c>
      <c r="R652" s="49" t="str">
        <f>TEXT(Table1[[#This Row],[Closing Date]],"mmmm")</f>
        <v>July</v>
      </c>
      <c r="S652" s="49" t="s">
        <v>368</v>
      </c>
      <c r="T652" s="49" t="s">
        <v>429</v>
      </c>
    </row>
    <row r="653" spans="1:20" x14ac:dyDescent="0.25">
      <c r="A653" t="s">
        <v>283</v>
      </c>
      <c r="B653" t="s">
        <v>431</v>
      </c>
      <c r="C653" t="s">
        <v>56</v>
      </c>
      <c r="D653" t="s">
        <v>38</v>
      </c>
      <c r="E653" s="90">
        <v>45460</v>
      </c>
      <c r="F653" s="60">
        <v>45491</v>
      </c>
      <c r="G653" t="s">
        <v>53</v>
      </c>
      <c r="H653">
        <v>1600</v>
      </c>
      <c r="I653" s="49">
        <v>283648</v>
      </c>
      <c r="J653" s="106">
        <v>1</v>
      </c>
      <c r="K653" s="115">
        <f>Table1[[#This Row],[Open Value]]+Table1[[#This Row],[PnL]]</f>
        <v>292875.59000000003</v>
      </c>
      <c r="L653" s="49">
        <f>Table1[[#This Row],[Open Value]]/Table1[[#This Row],[Shares]]/Table1[[#This Row],[Multiplier]]</f>
        <v>177.28</v>
      </c>
      <c r="M653" s="49">
        <f>Table1[[#This Row],[Close Value]]/Table1[[#This Row],[Shares]]/Table1[[#This Row],[Multiplier]]</f>
        <v>183.04724375000001</v>
      </c>
      <c r="N653" s="49">
        <v>9227.59</v>
      </c>
      <c r="O653" s="47">
        <f>Table1[[#This Row],[PnL]]/Table1[[#This Row],[Open Value]]</f>
        <v>3.2531835232400726E-2</v>
      </c>
      <c r="P653" s="72">
        <f t="shared" si="10"/>
        <v>207738.85160139404</v>
      </c>
      <c r="Q653" s="49" t="str">
        <f>TEXT(Table1[[#This Row],[Closing Date]],"yyyy")</f>
        <v>2024</v>
      </c>
      <c r="R653" s="49" t="str">
        <f>TEXT(Table1[[#This Row],[Closing Date]],"mmmm")</f>
        <v>July</v>
      </c>
      <c r="S653" s="49" t="s">
        <v>368</v>
      </c>
      <c r="T653" s="49" t="s">
        <v>429</v>
      </c>
    </row>
    <row r="654" spans="1:20" x14ac:dyDescent="0.25">
      <c r="A654" t="s">
        <v>283</v>
      </c>
      <c r="B654" t="s">
        <v>430</v>
      </c>
      <c r="C654" t="s">
        <v>56</v>
      </c>
      <c r="D654" t="s">
        <v>36</v>
      </c>
      <c r="E654" s="90">
        <v>45489</v>
      </c>
      <c r="F654" s="60">
        <v>45492</v>
      </c>
      <c r="G654" t="s">
        <v>48</v>
      </c>
      <c r="H654">
        <v>1000</v>
      </c>
      <c r="I654" s="49">
        <v>550000</v>
      </c>
      <c r="J654" s="106">
        <v>1</v>
      </c>
      <c r="K654" s="115">
        <f>Table1[[#This Row],[Open Value]]+Table1[[#This Row],[PnL]]</f>
        <v>545039.28</v>
      </c>
      <c r="L654" s="49">
        <f>Table1[[#This Row],[Open Value]]/Table1[[#This Row],[Shares]]/Table1[[#This Row],[Multiplier]]</f>
        <v>550</v>
      </c>
      <c r="M654" s="49">
        <f>Table1[[#This Row],[Close Value]]/Table1[[#This Row],[Shares]]/Table1[[#This Row],[Multiplier]]</f>
        <v>545.03928000000008</v>
      </c>
      <c r="N654" s="49">
        <v>-4960.72</v>
      </c>
      <c r="O654" s="47">
        <f>Table1[[#This Row],[PnL]]/Table1[[#This Row],[Open Value]]</f>
        <v>-9.01949090909091E-3</v>
      </c>
      <c r="P654" s="72">
        <f t="shared" si="10"/>
        <v>202778.13160139404</v>
      </c>
      <c r="Q654" s="49" t="str">
        <f>TEXT(Table1[[#This Row],[Closing Date]],"yyyy")</f>
        <v>2024</v>
      </c>
      <c r="R654" s="49" t="str">
        <f>TEXT(Table1[[#This Row],[Closing Date]],"mmmm")</f>
        <v>July</v>
      </c>
      <c r="S654" s="49" t="s">
        <v>368</v>
      </c>
      <c r="T654" s="49" t="s">
        <v>429</v>
      </c>
    </row>
    <row r="655" spans="1:20" x14ac:dyDescent="0.25">
      <c r="A655" t="s">
        <v>283</v>
      </c>
      <c r="B655" t="s">
        <v>431</v>
      </c>
      <c r="C655" t="s">
        <v>56</v>
      </c>
      <c r="D655" t="s">
        <v>38</v>
      </c>
      <c r="E655" s="90">
        <v>45489</v>
      </c>
      <c r="F655" s="60">
        <v>45492</v>
      </c>
      <c r="G655" t="s">
        <v>79</v>
      </c>
      <c r="H655">
        <v>325</v>
      </c>
      <c r="I655" s="49">
        <v>82933.460000000006</v>
      </c>
      <c r="J655" s="106">
        <v>1</v>
      </c>
      <c r="K655" s="115">
        <f>Table1[[#This Row],[Open Value]]+Table1[[#This Row],[PnL]]</f>
        <v>77946.03</v>
      </c>
      <c r="L655" s="49">
        <f>Table1[[#This Row],[Open Value]]/Table1[[#This Row],[Shares]]/Table1[[#This Row],[Multiplier]]</f>
        <v>255.17987692307693</v>
      </c>
      <c r="M655" s="49">
        <f>Table1[[#This Row],[Close Value]]/Table1[[#This Row],[Shares]]/Table1[[#This Row],[Multiplier]]</f>
        <v>239.83393846153845</v>
      </c>
      <c r="N655" s="49">
        <v>-4987.43</v>
      </c>
      <c r="O655" s="47">
        <f>Table1[[#This Row],[PnL]]/Table1[[#This Row],[Open Value]]</f>
        <v>-6.013772969317812E-2</v>
      </c>
      <c r="P655" s="72">
        <f t="shared" si="10"/>
        <v>197790.70160139404</v>
      </c>
      <c r="Q655" s="49" t="str">
        <f>TEXT(Table1[[#This Row],[Closing Date]],"yyyy")</f>
        <v>2024</v>
      </c>
      <c r="R655" s="49" t="str">
        <f>TEXT(Table1[[#This Row],[Closing Date]],"mmmm")</f>
        <v>July</v>
      </c>
      <c r="S655" s="49" t="s">
        <v>368</v>
      </c>
      <c r="T655" s="49" t="s">
        <v>429</v>
      </c>
    </row>
    <row r="656" spans="1:20" x14ac:dyDescent="0.25">
      <c r="A656" t="s">
        <v>276</v>
      </c>
      <c r="B656" t="s">
        <v>431</v>
      </c>
      <c r="C656" t="s">
        <v>147</v>
      </c>
      <c r="D656" t="s">
        <v>38</v>
      </c>
      <c r="E656" s="90">
        <v>45463</v>
      </c>
      <c r="F656" s="60">
        <v>45492</v>
      </c>
      <c r="G656" t="s">
        <v>124</v>
      </c>
      <c r="H656">
        <v>80</v>
      </c>
      <c r="I656" s="49">
        <v>6535.75</v>
      </c>
      <c r="J656" s="106">
        <v>100</v>
      </c>
      <c r="K656" s="115">
        <f>Table1[[#This Row],[Open Value]]+Table1[[#This Row],[PnL]]</f>
        <v>0</v>
      </c>
      <c r="L656" s="49">
        <f>Table1[[#This Row],[Open Value]]/Table1[[#This Row],[Shares]]/Table1[[#This Row],[Multiplier]]</f>
        <v>0.81696875000000002</v>
      </c>
      <c r="M656" s="49">
        <f>Table1[[#This Row],[Close Value]]/Table1[[#This Row],[Shares]]/Table1[[#This Row],[Multiplier]]</f>
        <v>0</v>
      </c>
      <c r="N656" s="49">
        <v>-6535.75</v>
      </c>
      <c r="O656" s="47">
        <f>Table1[[#This Row],[PnL]]/Table1[[#This Row],[Open Value]]</f>
        <v>-1</v>
      </c>
      <c r="P656" s="72">
        <f t="shared" si="10"/>
        <v>191254.95160139404</v>
      </c>
      <c r="Q656" s="49" t="str">
        <f>TEXT(Table1[[#This Row],[Closing Date]],"yyyy")</f>
        <v>2024</v>
      </c>
      <c r="R656" s="49" t="str">
        <f>TEXT(Table1[[#This Row],[Closing Date]],"mmmm")</f>
        <v>July</v>
      </c>
      <c r="S656" s="49" t="s">
        <v>368</v>
      </c>
      <c r="T656" s="49" t="s">
        <v>429</v>
      </c>
    </row>
    <row r="657" spans="1:20" x14ac:dyDescent="0.25">
      <c r="A657" t="s">
        <v>276</v>
      </c>
      <c r="B657" t="s">
        <v>430</v>
      </c>
      <c r="C657" t="s">
        <v>149</v>
      </c>
      <c r="D657" t="s">
        <v>38</v>
      </c>
      <c r="E657" s="90">
        <v>45488</v>
      </c>
      <c r="F657" s="60">
        <v>45492</v>
      </c>
      <c r="G657" t="s">
        <v>48</v>
      </c>
      <c r="H657">
        <v>100</v>
      </c>
      <c r="I657" s="49">
        <v>2902.68</v>
      </c>
      <c r="J657" s="106">
        <v>100</v>
      </c>
      <c r="K657" s="115">
        <f>Table1[[#This Row],[Open Value]]+Table1[[#This Row],[PnL]]</f>
        <v>10914.44</v>
      </c>
      <c r="L657" s="49">
        <f>Table1[[#This Row],[Open Value]]/Table1[[#This Row],[Shares]]/Table1[[#This Row],[Multiplier]]</f>
        <v>0.29026799999999997</v>
      </c>
      <c r="M657" s="49">
        <f>Table1[[#This Row],[Close Value]]/Table1[[#This Row],[Shares]]/Table1[[#This Row],[Multiplier]]</f>
        <v>1.0914440000000001</v>
      </c>
      <c r="N657" s="49">
        <f>6211.76+1800</f>
        <v>8011.76</v>
      </c>
      <c r="O657" s="47">
        <f>Table1[[#This Row],[PnL]]/Table1[[#This Row],[Open Value]]</f>
        <v>2.7601251257458626</v>
      </c>
      <c r="P657" s="72">
        <f t="shared" si="10"/>
        <v>199266.71160139405</v>
      </c>
      <c r="Q657" s="49" t="str">
        <f>TEXT(Table1[[#This Row],[Closing Date]],"yyyy")</f>
        <v>2024</v>
      </c>
      <c r="R657" s="49" t="str">
        <f>TEXT(Table1[[#This Row],[Closing Date]],"mmmm")</f>
        <v>July</v>
      </c>
      <c r="S657" s="49" t="s">
        <v>368</v>
      </c>
      <c r="T657" s="49" t="s">
        <v>429</v>
      </c>
    </row>
    <row r="658" spans="1:20" x14ac:dyDescent="0.25">
      <c r="A658" t="s">
        <v>283</v>
      </c>
      <c r="B658" t="s">
        <v>431</v>
      </c>
      <c r="C658" t="s">
        <v>51</v>
      </c>
      <c r="D658" t="s">
        <v>38</v>
      </c>
      <c r="E658" s="90">
        <v>45487</v>
      </c>
      <c r="F658" s="60">
        <v>45492</v>
      </c>
      <c r="G658" t="s">
        <v>133</v>
      </c>
      <c r="H658">
        <v>8</v>
      </c>
      <c r="I658" s="49">
        <v>48753.16</v>
      </c>
      <c r="J658" s="106">
        <v>0.1</v>
      </c>
      <c r="K658" s="115">
        <f>Table1[[#This Row],[Open Value]]+Table1[[#This Row],[PnL]]</f>
        <v>50893.840000000004</v>
      </c>
      <c r="L658" s="49">
        <f>Table1[[#This Row],[Open Value]]/Table1[[#This Row],[Shares]]/Table1[[#This Row],[Multiplier]]</f>
        <v>60941.450000000004</v>
      </c>
      <c r="M658" s="49">
        <f>Table1[[#This Row],[Close Value]]/Table1[[#This Row],[Shares]]/Table1[[#This Row],[Multiplier]]</f>
        <v>63617.3</v>
      </c>
      <c r="N658" s="49">
        <v>2140.6799999999998</v>
      </c>
      <c r="O658" s="47">
        <f>Table1[[#This Row],[PnL]]/Table1[[#This Row],[Open Value]]</f>
        <v>4.3908538441405638E-2</v>
      </c>
      <c r="P658" s="72">
        <f t="shared" si="10"/>
        <v>201407.39160139405</v>
      </c>
      <c r="Q658" s="49" t="str">
        <f>TEXT(Table1[[#This Row],[Closing Date]],"yyyy")</f>
        <v>2024</v>
      </c>
      <c r="R658" s="49" t="str">
        <f>TEXT(Table1[[#This Row],[Closing Date]],"mmmm")</f>
        <v>July</v>
      </c>
      <c r="S658" s="49" t="s">
        <v>368</v>
      </c>
      <c r="T658" s="49" t="s">
        <v>429</v>
      </c>
    </row>
    <row r="659" spans="1:20" x14ac:dyDescent="0.25">
      <c r="A659" t="s">
        <v>283</v>
      </c>
      <c r="B659" t="s">
        <v>431</v>
      </c>
      <c r="C659" t="s">
        <v>51</v>
      </c>
      <c r="D659" t="s">
        <v>38</v>
      </c>
      <c r="E659" s="90">
        <v>45487</v>
      </c>
      <c r="F659" s="60">
        <v>45492</v>
      </c>
      <c r="G659" t="s">
        <v>399</v>
      </c>
      <c r="H659">
        <v>130</v>
      </c>
      <c r="I659" s="49">
        <v>42291.6</v>
      </c>
      <c r="J659" s="106">
        <v>0.1</v>
      </c>
      <c r="K659" s="115">
        <f>Table1[[#This Row],[Open Value]]+Table1[[#This Row],[PnL]]</f>
        <v>44320.9</v>
      </c>
      <c r="L659" s="49">
        <f>Table1[[#This Row],[Open Value]]/Table1[[#This Row],[Shares]]/Table1[[#This Row],[Multiplier]]</f>
        <v>3253.2</v>
      </c>
      <c r="M659" s="49">
        <f>Table1[[#This Row],[Close Value]]/Table1[[#This Row],[Shares]]/Table1[[#This Row],[Multiplier]]</f>
        <v>3409.2999999999997</v>
      </c>
      <c r="N659" s="49">
        <v>2029.3</v>
      </c>
      <c r="O659" s="47">
        <f>Table1[[#This Row],[PnL]]/Table1[[#This Row],[Open Value]]</f>
        <v>4.7983523914914547E-2</v>
      </c>
      <c r="P659" s="72">
        <f t="shared" si="10"/>
        <v>203436.69160139404</v>
      </c>
      <c r="Q659" s="49" t="str">
        <f>TEXT(Table1[[#This Row],[Closing Date]],"yyyy")</f>
        <v>2024</v>
      </c>
      <c r="R659" s="49" t="str">
        <f>TEXT(Table1[[#This Row],[Closing Date]],"mmmm")</f>
        <v>July</v>
      </c>
      <c r="S659" s="49" t="s">
        <v>368</v>
      </c>
      <c r="T659" s="49" t="s">
        <v>429</v>
      </c>
    </row>
    <row r="660" spans="1:20" x14ac:dyDescent="0.25">
      <c r="A660" t="s">
        <v>276</v>
      </c>
      <c r="B660" t="s">
        <v>430</v>
      </c>
      <c r="C660" t="s">
        <v>149</v>
      </c>
      <c r="D660" t="s">
        <v>38</v>
      </c>
      <c r="E660" s="90">
        <v>45488</v>
      </c>
      <c r="F660" s="60">
        <v>45495</v>
      </c>
      <c r="G660" t="s">
        <v>48</v>
      </c>
      <c r="H660">
        <v>85</v>
      </c>
      <c r="I660" s="49">
        <v>2609.23</v>
      </c>
      <c r="J660" s="106">
        <v>100</v>
      </c>
      <c r="K660" s="115">
        <f>Table1[[#This Row],[Open Value]]+Table1[[#This Row],[PnL]]</f>
        <v>12067.789999999999</v>
      </c>
      <c r="L660" s="49">
        <f>Table1[[#This Row],[Open Value]]/Table1[[#This Row],[Shares]]/Table1[[#This Row],[Multiplier]]</f>
        <v>0.30696823529411765</v>
      </c>
      <c r="M660" s="49">
        <f>Table1[[#This Row],[Close Value]]/Table1[[#This Row],[Shares]]/Table1[[#This Row],[Multiplier]]</f>
        <v>1.41974</v>
      </c>
      <c r="N660" s="49">
        <v>9458.56</v>
      </c>
      <c r="O660" s="47">
        <f>Table1[[#This Row],[PnL]]/Table1[[#This Row],[Open Value]]</f>
        <v>3.6250388045515343</v>
      </c>
      <c r="P660" s="72">
        <f t="shared" si="10"/>
        <v>212895.25160139403</v>
      </c>
      <c r="Q660" s="49" t="str">
        <f>TEXT(Table1[[#This Row],[Closing Date]],"yyyy")</f>
        <v>2024</v>
      </c>
      <c r="R660" s="49" t="str">
        <f>TEXT(Table1[[#This Row],[Closing Date]],"mmmm")</f>
        <v>July</v>
      </c>
      <c r="S660" s="49" t="s">
        <v>368</v>
      </c>
      <c r="T660" s="49" t="s">
        <v>429</v>
      </c>
    </row>
    <row r="661" spans="1:20" x14ac:dyDescent="0.25">
      <c r="A661" t="s">
        <v>283</v>
      </c>
      <c r="B661" t="s">
        <v>431</v>
      </c>
      <c r="C661" t="s">
        <v>51</v>
      </c>
      <c r="D661" t="s">
        <v>38</v>
      </c>
      <c r="E661" s="90">
        <v>45469</v>
      </c>
      <c r="F661" s="60">
        <v>45495</v>
      </c>
      <c r="G661" t="s">
        <v>136</v>
      </c>
      <c r="H661">
        <v>10</v>
      </c>
      <c r="I661" s="49">
        <v>217421.7</v>
      </c>
      <c r="J661" s="106">
        <v>1120</v>
      </c>
      <c r="K661" s="115">
        <f>Table1[[#This Row],[Open Value]]+Table1[[#This Row],[PnL]]</f>
        <v>207618.30000000002</v>
      </c>
      <c r="L661" s="49">
        <f>Table1[[#This Row],[Open Value]]/Table1[[#This Row],[Shares]]/Table1[[#This Row],[Multiplier]]</f>
        <v>19.412651785714289</v>
      </c>
      <c r="M661" s="49">
        <f>Table1[[#This Row],[Close Value]]/Table1[[#This Row],[Shares]]/Table1[[#This Row],[Multiplier]]</f>
        <v>18.537348214285714</v>
      </c>
      <c r="N661" s="49">
        <v>-9803.4</v>
      </c>
      <c r="O661" s="47">
        <f>Table1[[#This Row],[PnL]]/Table1[[#This Row],[Open Value]]</f>
        <v>-4.508933560909513E-2</v>
      </c>
      <c r="P661" s="72">
        <f t="shared" si="10"/>
        <v>203091.85160139404</v>
      </c>
      <c r="Q661" s="49" t="str">
        <f>TEXT(Table1[[#This Row],[Closing Date]],"yyyy")</f>
        <v>2024</v>
      </c>
      <c r="R661" s="49" t="str">
        <f>TEXT(Table1[[#This Row],[Closing Date]],"mmmm")</f>
        <v>July</v>
      </c>
      <c r="S661" s="49" t="s">
        <v>368</v>
      </c>
      <c r="T661" s="49" t="s">
        <v>429</v>
      </c>
    </row>
    <row r="662" spans="1:20" x14ac:dyDescent="0.25">
      <c r="A662" t="s">
        <v>283</v>
      </c>
      <c r="B662" t="s">
        <v>431</v>
      </c>
      <c r="C662" t="s">
        <v>35</v>
      </c>
      <c r="D662" t="s">
        <v>38</v>
      </c>
      <c r="E662" s="90">
        <v>45484</v>
      </c>
      <c r="F662" s="60">
        <v>45495</v>
      </c>
      <c r="G662" t="s">
        <v>417</v>
      </c>
      <c r="H662">
        <v>1000000</v>
      </c>
      <c r="I662" s="49">
        <f>103499949+101874610+50</f>
        <v>205374609</v>
      </c>
      <c r="J662" s="106">
        <v>1</v>
      </c>
      <c r="K662" s="115">
        <f>Table1[[#This Row],[Open Value]]+Table1[[#This Row],[PnL]]</f>
        <v>205358228.37421229</v>
      </c>
      <c r="L662" s="49">
        <f>Table1[[#This Row],[Open Value]]/Table1[[#This Row],[Shares]]/Table1[[#This Row],[Multiplier]]</f>
        <v>205.37460899999999</v>
      </c>
      <c r="M662" s="49">
        <f>Table1[[#This Row],[Close Value]]/Table1[[#This Row],[Shares]]/Table1[[#This Row],[Multiplier]]</f>
        <v>205.3582283742123</v>
      </c>
      <c r="N662" s="49">
        <f>(202072616-Table1[[#This Row],[Open Value]])/202.072616-40</f>
        <v>-16380.625787711879</v>
      </c>
      <c r="O662" s="47">
        <f>Table1[[#This Row],[PnL]]/Table1[[#This Row],[Open Value]]*Table1[[#This Row],[Close Price]]</f>
        <v>-1.6379319273228402E-2</v>
      </c>
      <c r="P662" s="72">
        <f t="shared" si="10"/>
        <v>186711.22581368216</v>
      </c>
      <c r="Q662" s="49" t="str">
        <f>TEXT(Table1[[#This Row],[Closing Date]],"yyyy")</f>
        <v>2024</v>
      </c>
      <c r="R662" s="49" t="str">
        <f>TEXT(Table1[[#This Row],[Closing Date]],"mmmm")</f>
        <v>July</v>
      </c>
      <c r="S662" s="49" t="s">
        <v>368</v>
      </c>
      <c r="T662" s="49" t="s">
        <v>429</v>
      </c>
    </row>
    <row r="663" spans="1:20" x14ac:dyDescent="0.25">
      <c r="A663" t="s">
        <v>283</v>
      </c>
      <c r="B663" t="s">
        <v>431</v>
      </c>
      <c r="C663" t="s">
        <v>56</v>
      </c>
      <c r="D663" t="s">
        <v>38</v>
      </c>
      <c r="E663" s="90">
        <v>45496</v>
      </c>
      <c r="F663" s="60">
        <v>45497</v>
      </c>
      <c r="G663" t="s">
        <v>288</v>
      </c>
      <c r="H663">
        <v>1000</v>
      </c>
      <c r="I663" s="49">
        <v>155605</v>
      </c>
      <c r="J663" s="106">
        <v>1</v>
      </c>
      <c r="K663" s="115">
        <f>Table1[[#This Row],[Open Value]]+Table1[[#This Row],[PnL]]</f>
        <v>150378.65</v>
      </c>
      <c r="L663" s="49">
        <f>Table1[[#This Row],[Open Value]]/Table1[[#This Row],[Shares]]/Table1[[#This Row],[Multiplier]]</f>
        <v>155.60499999999999</v>
      </c>
      <c r="M663" s="49">
        <f>Table1[[#This Row],[Close Value]]/Table1[[#This Row],[Shares]]/Table1[[#This Row],[Multiplier]]</f>
        <v>150.37864999999999</v>
      </c>
      <c r="N663" s="49">
        <v>-5226.3500000000004</v>
      </c>
      <c r="O663" s="47">
        <f>Table1[[#This Row],[PnL]]/Table1[[#This Row],[Open Value]]</f>
        <v>-3.35872883262106E-2</v>
      </c>
      <c r="P663" s="72">
        <f t="shared" si="10"/>
        <v>181484.87581368216</v>
      </c>
      <c r="Q663" s="49" t="str">
        <f>TEXT(Table1[[#This Row],[Closing Date]],"yyyy")</f>
        <v>2024</v>
      </c>
      <c r="R663" s="49" t="str">
        <f>TEXT(Table1[[#This Row],[Closing Date]],"mmmm")</f>
        <v>July</v>
      </c>
      <c r="S663" s="49" t="s">
        <v>368</v>
      </c>
      <c r="T663" s="49" t="s">
        <v>429</v>
      </c>
    </row>
    <row r="664" spans="1:20" x14ac:dyDescent="0.25">
      <c r="A664" t="s">
        <v>283</v>
      </c>
      <c r="B664" t="s">
        <v>431</v>
      </c>
      <c r="C664" t="s">
        <v>51</v>
      </c>
      <c r="D664" t="s">
        <v>38</v>
      </c>
      <c r="E664" s="90">
        <v>45492</v>
      </c>
      <c r="F664" s="60">
        <v>45497</v>
      </c>
      <c r="G664" t="s">
        <v>399</v>
      </c>
      <c r="H664">
        <v>260</v>
      </c>
      <c r="I664" s="49">
        <v>85169</v>
      </c>
      <c r="J664" s="106">
        <v>0.1</v>
      </c>
      <c r="K664" s="115">
        <f>Table1[[#This Row],[Open Value]]+Table1[[#This Row],[PnL]]</f>
        <v>79127.100000000006</v>
      </c>
      <c r="L664" s="49">
        <f>Table1[[#This Row],[Open Value]]/Table1[[#This Row],[Shares]]/Table1[[#This Row],[Multiplier]]</f>
        <v>3275.7307692307691</v>
      </c>
      <c r="M664" s="49">
        <f>Table1[[#This Row],[Close Value]]/Table1[[#This Row],[Shares]]/Table1[[#This Row],[Multiplier]]</f>
        <v>3043.3500000000004</v>
      </c>
      <c r="N664" s="49">
        <v>-6041.9</v>
      </c>
      <c r="O664" s="47">
        <f>Table1[[#This Row],[PnL]]/Table1[[#This Row],[Open Value]]</f>
        <v>-7.0940130798764808E-2</v>
      </c>
      <c r="P664" s="72">
        <f t="shared" si="10"/>
        <v>175442.97581368216</v>
      </c>
      <c r="Q664" s="49" t="str">
        <f>TEXT(Table1[[#This Row],[Closing Date]],"yyyy")</f>
        <v>2024</v>
      </c>
      <c r="R664" s="49" t="str">
        <f>TEXT(Table1[[#This Row],[Closing Date]],"mmmm")</f>
        <v>July</v>
      </c>
      <c r="S664" s="49" t="s">
        <v>368</v>
      </c>
      <c r="T664" s="49" t="s">
        <v>429</v>
      </c>
    </row>
    <row r="665" spans="1:20" x14ac:dyDescent="0.25">
      <c r="A665" t="s">
        <v>283</v>
      </c>
      <c r="B665" t="s">
        <v>433</v>
      </c>
      <c r="C665" t="s">
        <v>56</v>
      </c>
      <c r="D665" t="s">
        <v>38</v>
      </c>
      <c r="E665" s="90">
        <v>45355</v>
      </c>
      <c r="F665" s="60">
        <v>45497</v>
      </c>
      <c r="G665" t="s">
        <v>53</v>
      </c>
      <c r="H665">
        <v>1000</v>
      </c>
      <c r="I665" s="49">
        <v>133799.41</v>
      </c>
      <c r="J665" s="106">
        <v>1</v>
      </c>
      <c r="K665" s="115">
        <f>59839.52+59799.52+40+34869.03</f>
        <v>154548.07</v>
      </c>
      <c r="L665" s="49">
        <f>Table1[[#This Row],[Open Value]]/Table1[[#This Row],[Shares]]/Table1[[#This Row],[Multiplier]]</f>
        <v>133.79940999999999</v>
      </c>
      <c r="M665" s="49">
        <f>Table1[[#This Row],[Close Value]]/Table1[[#This Row],[Shares]]/Table1[[#This Row],[Multiplier]]</f>
        <v>154.54807</v>
      </c>
      <c r="N665" s="49">
        <f>Table1[[#This Row],[Close Value]]-Table1[[#This Row],[Open Value]]</f>
        <v>20748.660000000003</v>
      </c>
      <c r="O665" s="47">
        <f>Table1[[#This Row],[PnL]]/Table1[[#This Row],[Open Value]]</f>
        <v>0.15507288111360135</v>
      </c>
      <c r="P665" s="72">
        <f t="shared" si="10"/>
        <v>196191.63581368217</v>
      </c>
      <c r="Q665" s="49" t="str">
        <f>TEXT(Table1[[#This Row],[Closing Date]],"yyyy")</f>
        <v>2024</v>
      </c>
      <c r="R665" s="49" t="str">
        <f>TEXT(Table1[[#This Row],[Closing Date]],"mmmm")</f>
        <v>July</v>
      </c>
      <c r="S665" s="49" t="s">
        <v>368</v>
      </c>
      <c r="T665" s="49" t="s">
        <v>285</v>
      </c>
    </row>
    <row r="666" spans="1:20" x14ac:dyDescent="0.25">
      <c r="A666" t="s">
        <v>283</v>
      </c>
      <c r="B666" t="s">
        <v>430</v>
      </c>
      <c r="C666" t="s">
        <v>56</v>
      </c>
      <c r="D666" t="s">
        <v>38</v>
      </c>
      <c r="E666" s="90">
        <v>45488</v>
      </c>
      <c r="F666" s="60">
        <v>45498</v>
      </c>
      <c r="G666" t="s">
        <v>294</v>
      </c>
      <c r="H666">
        <v>2500</v>
      </c>
      <c r="I666" s="49">
        <v>75137.5</v>
      </c>
      <c r="J666" s="106">
        <v>1</v>
      </c>
      <c r="K666" s="115">
        <f>Table1[[#This Row],[Open Value]]+Table1[[#This Row],[PnL]]</f>
        <v>65262.38</v>
      </c>
      <c r="L666" s="49">
        <f>Table1[[#This Row],[Open Value]]/Table1[[#This Row],[Shares]]/Table1[[#This Row],[Multiplier]]</f>
        <v>30.055</v>
      </c>
      <c r="M666" s="49">
        <f>Table1[[#This Row],[Close Value]]/Table1[[#This Row],[Shares]]/Table1[[#This Row],[Multiplier]]</f>
        <v>26.104951999999997</v>
      </c>
      <c r="N666" s="49">
        <v>-9875.1200000000008</v>
      </c>
      <c r="O666" s="47">
        <f>Table1[[#This Row],[PnL]]/Table1[[#This Row],[Open Value]]</f>
        <v>-0.13142731658625853</v>
      </c>
      <c r="P666" s="72">
        <f t="shared" si="10"/>
        <v>186316.51581368217</v>
      </c>
      <c r="Q666" s="49" t="str">
        <f>TEXT(Table1[[#This Row],[Closing Date]],"yyyy")</f>
        <v>2024</v>
      </c>
      <c r="R666" s="49" t="str">
        <f>TEXT(Table1[[#This Row],[Closing Date]],"mmmm")</f>
        <v>July</v>
      </c>
      <c r="S666" s="49" t="s">
        <v>368</v>
      </c>
      <c r="T666" s="49" t="s">
        <v>429</v>
      </c>
    </row>
    <row r="667" spans="1:20" x14ac:dyDescent="0.25">
      <c r="A667" t="s">
        <v>283</v>
      </c>
      <c r="B667" t="s">
        <v>431</v>
      </c>
      <c r="C667" t="s">
        <v>56</v>
      </c>
      <c r="D667" t="s">
        <v>38</v>
      </c>
      <c r="E667" s="90">
        <v>45449</v>
      </c>
      <c r="F667" s="60">
        <v>45498</v>
      </c>
      <c r="G667" t="s">
        <v>338</v>
      </c>
      <c r="H667">
        <v>5000</v>
      </c>
      <c r="I667" s="49">
        <f>33831+75680</f>
        <v>109511</v>
      </c>
      <c r="J667" s="106">
        <v>1</v>
      </c>
      <c r="K667" s="115">
        <f>Table1[[#This Row],[Open Value]]+Table1[[#This Row],[PnL]]</f>
        <v>98427</v>
      </c>
      <c r="L667" s="49">
        <f>Table1[[#This Row],[Open Value]]/Table1[[#This Row],[Shares]]/Table1[[#This Row],[Multiplier]]</f>
        <v>21.902200000000001</v>
      </c>
      <c r="M667" s="49">
        <f>Table1[[#This Row],[Close Value]]/Table1[[#This Row],[Shares]]/Table1[[#This Row],[Multiplier]]</f>
        <v>19.685400000000001</v>
      </c>
      <c r="N667" s="49">
        <v>-11084</v>
      </c>
      <c r="O667" s="47">
        <f>Table1[[#This Row],[PnL]]/Table1[[#This Row],[Open Value]]</f>
        <v>-0.10121357671832053</v>
      </c>
      <c r="P667" s="72">
        <f t="shared" si="10"/>
        <v>175232.51581368217</v>
      </c>
      <c r="Q667" s="49" t="str">
        <f>TEXT(Table1[[#This Row],[Closing Date]],"yyyy")</f>
        <v>2024</v>
      </c>
      <c r="R667" s="49" t="str">
        <f>TEXT(Table1[[#This Row],[Closing Date]],"mmmm")</f>
        <v>July</v>
      </c>
      <c r="S667" s="49" t="s">
        <v>368</v>
      </c>
      <c r="T667" s="49" t="s">
        <v>429</v>
      </c>
    </row>
    <row r="668" spans="1:20" x14ac:dyDescent="0.25">
      <c r="A668" t="s">
        <v>276</v>
      </c>
      <c r="B668" t="s">
        <v>430</v>
      </c>
      <c r="C668" t="s">
        <v>152</v>
      </c>
      <c r="D668" t="s">
        <v>38</v>
      </c>
      <c r="E668" s="90">
        <v>45449</v>
      </c>
      <c r="F668" s="60">
        <v>45498</v>
      </c>
      <c r="G668" t="s">
        <v>265</v>
      </c>
      <c r="H668">
        <v>3</v>
      </c>
      <c r="I668" s="49">
        <v>3452.06</v>
      </c>
      <c r="J668" s="106">
        <v>100</v>
      </c>
      <c r="K668" s="115">
        <f>Table1[[#This Row],[Open Value]]+Table1[[#This Row],[PnL]]</f>
        <v>8122.32</v>
      </c>
      <c r="L668" s="49">
        <f>Table1[[#This Row],[Open Value]]/Table1[[#This Row],[Shares]]/Table1[[#This Row],[Multiplier]]</f>
        <v>11.506866666666667</v>
      </c>
      <c r="M668" s="49">
        <f>Table1[[#This Row],[Close Value]]/Table1[[#This Row],[Shares]]/Table1[[#This Row],[Multiplier]]</f>
        <v>27.074400000000001</v>
      </c>
      <c r="N668" s="49">
        <v>4670.26</v>
      </c>
      <c r="O668" s="47">
        <f>Table1[[#This Row],[PnL]]/Table1[[#This Row],[Open Value]]</f>
        <v>1.3528907377044432</v>
      </c>
      <c r="P668" s="72">
        <f t="shared" si="10"/>
        <v>179902.77581368218</v>
      </c>
      <c r="Q668" s="49" t="str">
        <f>TEXT(Table1[[#This Row],[Closing Date]],"yyyy")</f>
        <v>2024</v>
      </c>
      <c r="R668" s="49" t="str">
        <f>TEXT(Table1[[#This Row],[Closing Date]],"mmmm")</f>
        <v>July</v>
      </c>
      <c r="S668" s="49" t="s">
        <v>368</v>
      </c>
      <c r="T668" s="49" t="s">
        <v>429</v>
      </c>
    </row>
    <row r="669" spans="1:20" x14ac:dyDescent="0.25">
      <c r="A669" t="s">
        <v>276</v>
      </c>
      <c r="B669" t="s">
        <v>431</v>
      </c>
      <c r="C669" t="s">
        <v>149</v>
      </c>
      <c r="D669" t="s">
        <v>38</v>
      </c>
      <c r="E669" s="90">
        <v>45463</v>
      </c>
      <c r="F669" s="60">
        <v>45498</v>
      </c>
      <c r="G669" t="s">
        <v>96</v>
      </c>
      <c r="H669">
        <v>5</v>
      </c>
      <c r="I669" s="49">
        <v>7002.23</v>
      </c>
      <c r="J669" s="106">
        <v>100</v>
      </c>
      <c r="K669" s="115">
        <f>Table1[[#This Row],[Open Value]]+Table1[[#This Row],[PnL]]</f>
        <v>21022.16</v>
      </c>
      <c r="L669" s="49">
        <f>Table1[[#This Row],[Open Value]]/Table1[[#This Row],[Shares]]/Table1[[#This Row],[Multiplier]]</f>
        <v>14.00446</v>
      </c>
      <c r="M669" s="49">
        <f>Table1[[#This Row],[Close Value]]/Table1[[#This Row],[Shares]]/Table1[[#This Row],[Multiplier]]</f>
        <v>42.044319999999999</v>
      </c>
      <c r="N669" s="49">
        <v>14019.93</v>
      </c>
      <c r="O669" s="47">
        <f>Table1[[#This Row],[PnL]]/Table1[[#This Row],[Open Value]]</f>
        <v>2.0022092961813596</v>
      </c>
      <c r="P669" s="72">
        <f t="shared" si="10"/>
        <v>193922.70581368217</v>
      </c>
      <c r="Q669" s="49" t="str">
        <f>TEXT(Table1[[#This Row],[Closing Date]],"yyyy")</f>
        <v>2024</v>
      </c>
      <c r="R669" s="49" t="str">
        <f>TEXT(Table1[[#This Row],[Closing Date]],"mmmm")</f>
        <v>July</v>
      </c>
      <c r="S669" s="49" t="s">
        <v>368</v>
      </c>
      <c r="T669" s="49" t="s">
        <v>429</v>
      </c>
    </row>
    <row r="670" spans="1:20" x14ac:dyDescent="0.25">
      <c r="A670" t="s">
        <v>276</v>
      </c>
      <c r="B670" t="s">
        <v>430</v>
      </c>
      <c r="C670" t="s">
        <v>148</v>
      </c>
      <c r="D670" t="s">
        <v>38</v>
      </c>
      <c r="E670" s="90">
        <v>45455</v>
      </c>
      <c r="F670" s="60">
        <v>45498</v>
      </c>
      <c r="G670" t="s">
        <v>71</v>
      </c>
      <c r="H670">
        <v>85</v>
      </c>
      <c r="I670" s="49">
        <f>3766.23-551.26</f>
        <v>3214.9700000000003</v>
      </c>
      <c r="J670" s="106">
        <v>100</v>
      </c>
      <c r="K670" s="115">
        <f>Table1[[#This Row],[Open Value]]+Table1[[#This Row],[PnL]]</f>
        <v>1423.5700000000002</v>
      </c>
      <c r="L670" s="49">
        <f>Table1[[#This Row],[Open Value]]/Table1[[#This Row],[Shares]]/Table1[[#This Row],[Multiplier]]</f>
        <v>0.37823176470588238</v>
      </c>
      <c r="M670" s="49">
        <f>Table1[[#This Row],[Close Value]]/Table1[[#This Row],[Shares]]/Table1[[#This Row],[Multiplier]]</f>
        <v>0.16747882352941179</v>
      </c>
      <c r="N670" s="49">
        <f>79.57-1870.97</f>
        <v>-1791.4</v>
      </c>
      <c r="O670" s="47">
        <f>Table1[[#This Row],[PnL]]/Table1[[#This Row],[Open Value]]</f>
        <v>-0.55720582151621945</v>
      </c>
      <c r="P670" s="72">
        <f t="shared" si="10"/>
        <v>192131.30581368218</v>
      </c>
      <c r="Q670" s="49" t="str">
        <f>TEXT(Table1[[#This Row],[Closing Date]],"yyyy")</f>
        <v>2024</v>
      </c>
      <c r="R670" s="49" t="str">
        <f>TEXT(Table1[[#This Row],[Closing Date]],"mmmm")</f>
        <v>July</v>
      </c>
      <c r="S670" s="49" t="s">
        <v>368</v>
      </c>
      <c r="T670" s="49" t="s">
        <v>429</v>
      </c>
    </row>
    <row r="671" spans="1:20" x14ac:dyDescent="0.25">
      <c r="A671" t="s">
        <v>283</v>
      </c>
      <c r="B671" t="s">
        <v>434</v>
      </c>
      <c r="C671" t="s">
        <v>51</v>
      </c>
      <c r="D671" t="s">
        <v>38</v>
      </c>
      <c r="E671" s="90">
        <v>45460</v>
      </c>
      <c r="F671" s="60">
        <v>45504</v>
      </c>
      <c r="G671" t="s">
        <v>414</v>
      </c>
      <c r="H671">
        <v>2</v>
      </c>
      <c r="I671" s="49">
        <v>169811</v>
      </c>
      <c r="J671" s="106">
        <v>375</v>
      </c>
      <c r="K671" s="115">
        <v>170844.06</v>
      </c>
      <c r="L671" s="49">
        <f>Table1[[#This Row],[Open Value]]/Table1[[#This Row],[Shares]]/Table1[[#This Row],[Multiplier]]</f>
        <v>226.41466666666668</v>
      </c>
      <c r="M671" s="49">
        <f>Table1[[#This Row],[Close Value]]/Table1[[#This Row],[Shares]]/Table1[[#This Row],[Multiplier]]</f>
        <v>227.79208</v>
      </c>
      <c r="N671" s="49">
        <f>Table1[[#This Row],[Close Value]]-Table1[[#This Row],[Open Value]]</f>
        <v>1033.0599999999977</v>
      </c>
      <c r="O671" s="47">
        <f>Table1[[#This Row],[PnL]]/Table1[[#This Row],[Open Value]]</f>
        <v>6.0835870467755189E-3</v>
      </c>
      <c r="P671" s="107">
        <f>N671+P670</f>
        <v>193164.36581368218</v>
      </c>
      <c r="Q671" s="115" t="str">
        <f>TEXT(Table1[[#This Row],[Closing Date]],"yyyy")</f>
        <v>2024</v>
      </c>
      <c r="R671" s="115" t="str">
        <f>TEXT(Table1[[#This Row],[Closing Date]],"mmmm")</f>
        <v>July</v>
      </c>
      <c r="S671" s="49" t="s">
        <v>368</v>
      </c>
      <c r="T671" s="49" t="s">
        <v>429</v>
      </c>
    </row>
    <row r="672" spans="1:20" x14ac:dyDescent="0.25">
      <c r="A672" t="s">
        <v>283</v>
      </c>
      <c r="B672" t="s">
        <v>431</v>
      </c>
      <c r="C672" t="s">
        <v>56</v>
      </c>
      <c r="D672" t="s">
        <v>36</v>
      </c>
      <c r="E672" s="90">
        <v>45503</v>
      </c>
      <c r="F672" s="60">
        <v>45504</v>
      </c>
      <c r="G672" t="s">
        <v>435</v>
      </c>
      <c r="H672">
        <v>200</v>
      </c>
      <c r="I672" s="49">
        <f>Table1[[#This Row],[Close Value]]+Table1[[#This Row],[PnL]]</f>
        <v>153800.97</v>
      </c>
      <c r="J672" s="106">
        <v>1</v>
      </c>
      <c r="K672" s="115">
        <v>162801.97</v>
      </c>
      <c r="L672" s="49">
        <f>Table1[[#This Row],[Open Value]]/Table1[[#This Row],[Shares]]/Table1[[#This Row],[Multiplier]]</f>
        <v>769.00485000000003</v>
      </c>
      <c r="M672" s="49">
        <f>Table1[[#This Row],[Close Value]]/Table1[[#This Row],[Shares]]/Table1[[#This Row],[Multiplier]]</f>
        <v>814.00985000000003</v>
      </c>
      <c r="N672" s="49">
        <v>-9001</v>
      </c>
      <c r="O672" s="47">
        <f>Table1[[#This Row],[PnL]]/Table1[[#This Row],[Open Value]]</f>
        <v>-5.8523688114580814E-2</v>
      </c>
      <c r="P672" s="107">
        <f t="shared" ref="P672:P674" si="11">N672+P671</f>
        <v>184163.36581368218</v>
      </c>
      <c r="Q672" s="115" t="str">
        <f>TEXT(Table1[[#This Row],[Closing Date]],"yyyy")</f>
        <v>2024</v>
      </c>
      <c r="R672" s="115" t="str">
        <f>TEXT(Table1[[#This Row],[Closing Date]],"mmmm")</f>
        <v>July</v>
      </c>
      <c r="S672" s="49" t="s">
        <v>368</v>
      </c>
      <c r="T672" s="49" t="s">
        <v>429</v>
      </c>
    </row>
    <row r="673" spans="1:20" x14ac:dyDescent="0.25">
      <c r="A673" t="s">
        <v>283</v>
      </c>
      <c r="B673" t="s">
        <v>431</v>
      </c>
      <c r="C673" t="s">
        <v>56</v>
      </c>
      <c r="D673" t="s">
        <v>38</v>
      </c>
      <c r="E673" s="90">
        <v>45504</v>
      </c>
      <c r="F673" s="60">
        <v>45504</v>
      </c>
      <c r="G673" t="s">
        <v>359</v>
      </c>
      <c r="H673">
        <v>8333</v>
      </c>
      <c r="I673" s="49">
        <v>111245.55</v>
      </c>
      <c r="J673" s="106">
        <v>1</v>
      </c>
      <c r="K673" s="115">
        <f>106167.07-87.66</f>
        <v>106079.41</v>
      </c>
      <c r="L673" s="49">
        <f>Table1[[#This Row],[Open Value]]/Table1[[#This Row],[Shares]]/Table1[[#This Row],[Multiplier]]</f>
        <v>13.35</v>
      </c>
      <c r="M673" s="49">
        <f>Table1[[#This Row],[Close Value]]/Table1[[#This Row],[Shares]]/Table1[[#This Row],[Multiplier]]</f>
        <v>12.730038401536062</v>
      </c>
      <c r="N673" s="49">
        <v>-5166</v>
      </c>
      <c r="O673" s="47">
        <f>Table1[[#This Row],[PnL]]/Table1[[#This Row],[Open Value]]</f>
        <v>-4.643781256868252E-2</v>
      </c>
      <c r="P673" s="107">
        <f t="shared" si="11"/>
        <v>178997.36581368218</v>
      </c>
      <c r="Q673" s="115" t="str">
        <f>TEXT(Table1[[#This Row],[Closing Date]],"yyyy")</f>
        <v>2024</v>
      </c>
      <c r="R673" s="115" t="str">
        <f>TEXT(Table1[[#This Row],[Closing Date]],"mmmm")</f>
        <v>July</v>
      </c>
      <c r="S673" s="49" t="s">
        <v>368</v>
      </c>
      <c r="T673" s="49" t="s">
        <v>429</v>
      </c>
    </row>
    <row r="674" spans="1:20" x14ac:dyDescent="0.25">
      <c r="A674" t="s">
        <v>283</v>
      </c>
      <c r="B674" t="s">
        <v>431</v>
      </c>
      <c r="C674" t="s">
        <v>51</v>
      </c>
      <c r="D674" t="s">
        <v>36</v>
      </c>
      <c r="E674" s="90">
        <v>45497</v>
      </c>
      <c r="F674" s="60">
        <v>45504</v>
      </c>
      <c r="G674" t="s">
        <v>395</v>
      </c>
      <c r="H674">
        <v>15</v>
      </c>
      <c r="I674" s="49">
        <f>Table1[[#This Row],[Close Value]]+Table1[[#This Row],[PnL]]</f>
        <v>3607280.8</v>
      </c>
      <c r="J674" s="106">
        <v>2500</v>
      </c>
      <c r="K674" s="115">
        <v>3612406.8</v>
      </c>
      <c r="L674" s="49">
        <f>Table1[[#This Row],[Open Value]]/Table1[[#This Row],[Shares]]/Table1[[#This Row],[Multiplier]]</f>
        <v>96.194154666666662</v>
      </c>
      <c r="M674" s="49">
        <f>Table1[[#This Row],[Close Value]]/Table1[[#This Row],[Shares]]/Table1[[#This Row],[Multiplier]]</f>
        <v>96.330848000000003</v>
      </c>
      <c r="N674" s="49">
        <v>-5126</v>
      </c>
      <c r="O674" s="47">
        <f>Table1[[#This Row],[PnL]]/Table1[[#This Row],[Open Value]]</f>
        <v>-1.4210149650673162E-3</v>
      </c>
      <c r="P674" s="107">
        <f t="shared" si="11"/>
        <v>173871.36581368218</v>
      </c>
      <c r="Q674" s="115" t="str">
        <f>TEXT(Table1[[#This Row],[Closing Date]],"yyyy")</f>
        <v>2024</v>
      </c>
      <c r="R674" s="115" t="str">
        <f>TEXT(Table1[[#This Row],[Closing Date]],"mmmm")</f>
        <v>July</v>
      </c>
      <c r="S674" s="49" t="s">
        <v>368</v>
      </c>
      <c r="T674" s="49" t="s">
        <v>429</v>
      </c>
    </row>
  </sheetData>
  <sortState xmlns:xlrd2="http://schemas.microsoft.com/office/spreadsheetml/2017/richdata2" ref="A2:O414">
    <sortCondition ref="F1:F414"/>
  </sortState>
  <phoneticPr fontId="8" type="noConversion"/>
  <conditionalFormatting sqref="O675:O1048576 P1 N1:N674">
    <cfRule type="colorScale" priority="2">
      <colorScale>
        <cfvo type="min"/>
        <cfvo type="percentile" val="50"/>
        <cfvo type="max"/>
        <color rgb="FFF8696B"/>
        <color rgb="FFFFEB84"/>
        <color rgb="FF63BE7B"/>
      </colorScale>
    </cfRule>
  </conditionalFormatting>
  <conditionalFormatting sqref="Q1:R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F30FD-D669-48C2-B192-E0F12634855F}">
  <dimension ref="A1:Z27"/>
  <sheetViews>
    <sheetView workbookViewId="0">
      <selection activeCell="A28" sqref="A28"/>
    </sheetView>
  </sheetViews>
  <sheetFormatPr defaultRowHeight="15" x14ac:dyDescent="0.25"/>
  <cols>
    <col min="1" max="2" width="5" bestFit="1" customWidth="1"/>
    <col min="3" max="3" width="10.5703125" bestFit="1" customWidth="1"/>
    <col min="4" max="4" width="9" bestFit="1" customWidth="1"/>
    <col min="5" max="5" width="12.28515625" bestFit="1" customWidth="1"/>
    <col min="6" max="6" width="7.7109375" style="49" bestFit="1" customWidth="1"/>
    <col min="7" max="7" width="7.140625" style="49" bestFit="1" customWidth="1"/>
    <col min="8" max="8" width="12.5703125" bestFit="1" customWidth="1"/>
    <col min="9" max="9" width="9" style="49" bestFit="1" customWidth="1"/>
    <col min="10" max="10" width="8.140625" style="49" bestFit="1" customWidth="1"/>
    <col min="11" max="11" width="13.140625" style="49" bestFit="1" customWidth="1"/>
    <col min="12" max="12" width="12.42578125" style="47" bestFit="1" customWidth="1"/>
    <col min="13" max="13" width="12.28515625" bestFit="1" customWidth="1"/>
    <col min="14" max="14" width="6.8554687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0.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s="74" t="s">
        <v>283</v>
      </c>
      <c r="B2" s="75" t="s">
        <v>285</v>
      </c>
      <c r="C2" s="75" t="s">
        <v>56</v>
      </c>
      <c r="D2" s="75" t="s">
        <v>36</v>
      </c>
      <c r="E2" s="81">
        <v>45019</v>
      </c>
      <c r="F2" s="75" t="s">
        <v>50</v>
      </c>
      <c r="G2" s="75">
        <v>1800</v>
      </c>
      <c r="H2" s="82">
        <v>489596.08</v>
      </c>
      <c r="I2" s="82">
        <v>271.99782222222223</v>
      </c>
      <c r="J2" s="75">
        <v>1800</v>
      </c>
      <c r="K2" s="82">
        <v>483437.52</v>
      </c>
      <c r="L2" s="82">
        <v>268.57640000000004</v>
      </c>
      <c r="M2" s="82">
        <v>6158.5599999999977</v>
      </c>
      <c r="N2" s="83">
        <v>1.2578858883020464E-2</v>
      </c>
      <c r="O2" s="72">
        <f>M2</f>
        <v>6158.5599999999977</v>
      </c>
      <c r="P2" s="72"/>
      <c r="Q2" s="63">
        <f>COUNTA(J$2:J$1048576)</f>
        <v>26</v>
      </c>
      <c r="R2" s="64">
        <f>COUNTIF(M$2:M$1048576,"&gt;0")/Q2</f>
        <v>0.46153846153846156</v>
      </c>
      <c r="S2" s="64">
        <f>COUNTIF(M$2:M$1048576,"&lt;0")/COUNTA(M$2:M$1048576)</f>
        <v>0.53846153846153844</v>
      </c>
      <c r="T2" s="64">
        <f>AVERAGEIF(N:N,"&gt;0")</f>
        <v>0.12926192307718268</v>
      </c>
      <c r="U2" s="64">
        <f>AVERAGEIF(N:N,"&lt;0")</f>
        <v>-4.4083973854587212E-2</v>
      </c>
      <c r="V2" s="65">
        <f>T2/ABS(U2)</f>
        <v>2.9321749328578774</v>
      </c>
      <c r="W2" s="66">
        <f>AVERAGEIF(M:M,"&gt;0")</f>
        <v>18482.7225</v>
      </c>
      <c r="X2" s="68">
        <f>AVERAGEIF(M:M,"&lt;0")</f>
        <v>-7306.299285714289</v>
      </c>
      <c r="Y2" s="65">
        <f>W2/ABS(X2)</f>
        <v>2.5296968789847574</v>
      </c>
      <c r="Z2" s="67">
        <f>SUM(J:J)</f>
        <v>89114</v>
      </c>
    </row>
    <row r="3" spans="1:26" x14ac:dyDescent="0.25">
      <c r="A3" s="76" t="s">
        <v>283</v>
      </c>
      <c r="B3" s="77" t="s">
        <v>285</v>
      </c>
      <c r="C3" s="77" t="s">
        <v>56</v>
      </c>
      <c r="D3" s="77" t="s">
        <v>38</v>
      </c>
      <c r="E3" s="84">
        <v>45035</v>
      </c>
      <c r="F3" s="77" t="s">
        <v>221</v>
      </c>
      <c r="G3" s="77">
        <v>333</v>
      </c>
      <c r="H3" s="85">
        <v>99733.5</v>
      </c>
      <c r="I3" s="85">
        <v>299.5</v>
      </c>
      <c r="J3" s="77">
        <v>333</v>
      </c>
      <c r="K3" s="85">
        <v>106541.85</v>
      </c>
      <c r="L3" s="85">
        <v>319.94549549549549</v>
      </c>
      <c r="M3" s="85">
        <v>6808.3500000000058</v>
      </c>
      <c r="N3" s="86">
        <v>6.8265427363924921E-2</v>
      </c>
      <c r="O3" s="72">
        <f>M3+O2</f>
        <v>12966.910000000003</v>
      </c>
      <c r="P3" s="72"/>
    </row>
    <row r="4" spans="1:26" x14ac:dyDescent="0.25">
      <c r="A4" s="74" t="s">
        <v>283</v>
      </c>
      <c r="B4" s="75" t="s">
        <v>285</v>
      </c>
      <c r="C4" s="75" t="s">
        <v>70</v>
      </c>
      <c r="D4" s="75" t="s">
        <v>38</v>
      </c>
      <c r="E4" s="81">
        <v>45048</v>
      </c>
      <c r="F4" s="75" t="s">
        <v>170</v>
      </c>
      <c r="G4" s="75">
        <v>2361</v>
      </c>
      <c r="H4" s="82">
        <v>99870.3</v>
      </c>
      <c r="I4" s="82">
        <v>42.300000000000004</v>
      </c>
      <c r="J4" s="75">
        <v>2361</v>
      </c>
      <c r="K4" s="82">
        <v>94321.2</v>
      </c>
      <c r="L4" s="82">
        <v>39.949682337992378</v>
      </c>
      <c r="M4" s="82">
        <v>-5549.1000000000058</v>
      </c>
      <c r="N4" s="83">
        <v>-5.5563065295688566E-2</v>
      </c>
      <c r="O4" s="72">
        <f t="shared" ref="O4:O27" si="0">M4+O3</f>
        <v>7417.8099999999977</v>
      </c>
      <c r="P4" s="72"/>
    </row>
    <row r="5" spans="1:26" x14ac:dyDescent="0.25">
      <c r="A5" s="76" t="s">
        <v>283</v>
      </c>
      <c r="B5" s="77" t="s">
        <v>285</v>
      </c>
      <c r="C5" s="77" t="s">
        <v>56</v>
      </c>
      <c r="D5" s="77" t="s">
        <v>38</v>
      </c>
      <c r="E5" s="84">
        <v>45050</v>
      </c>
      <c r="F5" s="77" t="s">
        <v>58</v>
      </c>
      <c r="G5" s="77">
        <v>1154</v>
      </c>
      <c r="H5" s="85">
        <v>149922.29</v>
      </c>
      <c r="I5" s="85">
        <v>129.91532928942809</v>
      </c>
      <c r="J5" s="77">
        <v>1154</v>
      </c>
      <c r="K5" s="85">
        <v>157248.65</v>
      </c>
      <c r="L5" s="85">
        <v>136.26399480069324</v>
      </c>
      <c r="M5" s="85">
        <v>7326.359999999986</v>
      </c>
      <c r="N5" s="86">
        <v>4.886771673511648E-2</v>
      </c>
      <c r="O5" s="72">
        <f t="shared" si="0"/>
        <v>14744.169999999984</v>
      </c>
    </row>
    <row r="6" spans="1:26" x14ac:dyDescent="0.25">
      <c r="A6" s="74" t="s">
        <v>283</v>
      </c>
      <c r="B6" s="75" t="s">
        <v>285</v>
      </c>
      <c r="C6" s="75" t="s">
        <v>56</v>
      </c>
      <c r="D6" s="75" t="s">
        <v>38</v>
      </c>
      <c r="E6" s="81">
        <v>45054</v>
      </c>
      <c r="F6" s="75" t="s">
        <v>264</v>
      </c>
      <c r="G6" s="75">
        <v>3500</v>
      </c>
      <c r="H6" s="82">
        <v>256479.65</v>
      </c>
      <c r="I6" s="82">
        <v>73.279899999999998</v>
      </c>
      <c r="J6" s="75">
        <v>3500</v>
      </c>
      <c r="K6" s="82">
        <v>244263.1</v>
      </c>
      <c r="L6" s="82">
        <v>69.789457142857145</v>
      </c>
      <c r="M6" s="82">
        <v>-12216.549999999988</v>
      </c>
      <c r="N6" s="83">
        <v>-4.763165420726357E-2</v>
      </c>
      <c r="O6" s="72">
        <f t="shared" si="0"/>
        <v>2527.6199999999953</v>
      </c>
    </row>
    <row r="7" spans="1:26" x14ac:dyDescent="0.25">
      <c r="A7" s="76" t="s">
        <v>283</v>
      </c>
      <c r="B7" s="77" t="s">
        <v>285</v>
      </c>
      <c r="C7" s="77" t="s">
        <v>56</v>
      </c>
      <c r="D7" s="77" t="s">
        <v>36</v>
      </c>
      <c r="E7" s="84">
        <v>45058</v>
      </c>
      <c r="F7" s="77" t="s">
        <v>68</v>
      </c>
      <c r="G7" s="77">
        <v>10685</v>
      </c>
      <c r="H7" s="85">
        <v>151859.99</v>
      </c>
      <c r="I7" s="85">
        <v>14.212446420215255</v>
      </c>
      <c r="J7" s="77">
        <v>10685</v>
      </c>
      <c r="K7" s="85">
        <v>125423.6</v>
      </c>
      <c r="L7" s="85">
        <v>11.738287318671034</v>
      </c>
      <c r="M7" s="85">
        <v>26436.389999999985</v>
      </c>
      <c r="N7" s="86">
        <v>0.17408397037297307</v>
      </c>
      <c r="O7" s="72">
        <f t="shared" si="0"/>
        <v>28964.00999999998</v>
      </c>
    </row>
    <row r="8" spans="1:26" x14ac:dyDescent="0.25">
      <c r="A8" s="74" t="s">
        <v>283</v>
      </c>
      <c r="B8" s="75" t="s">
        <v>285</v>
      </c>
      <c r="C8" s="75" t="s">
        <v>56</v>
      </c>
      <c r="D8" s="75" t="s">
        <v>38</v>
      </c>
      <c r="E8" s="81">
        <v>45064</v>
      </c>
      <c r="F8" s="75" t="s">
        <v>265</v>
      </c>
      <c r="G8" s="75">
        <v>345</v>
      </c>
      <c r="H8" s="82">
        <v>99937.88</v>
      </c>
      <c r="I8" s="82">
        <v>289.67501449275363</v>
      </c>
      <c r="J8" s="75">
        <v>345</v>
      </c>
      <c r="K8" s="82">
        <v>97239.03</v>
      </c>
      <c r="L8" s="82">
        <v>281.85226086956521</v>
      </c>
      <c r="M8" s="82">
        <v>-2698.8500000000058</v>
      </c>
      <c r="N8" s="83">
        <v>-2.7005275677250765E-2</v>
      </c>
      <c r="O8" s="72">
        <f t="shared" si="0"/>
        <v>26265.159999999974</v>
      </c>
    </row>
    <row r="9" spans="1:26" x14ac:dyDescent="0.25">
      <c r="A9" s="76" t="s">
        <v>283</v>
      </c>
      <c r="B9" s="77" t="s">
        <v>285</v>
      </c>
      <c r="C9" s="77" t="s">
        <v>56</v>
      </c>
      <c r="D9" s="77" t="s">
        <v>38</v>
      </c>
      <c r="E9" s="84">
        <v>45065</v>
      </c>
      <c r="F9" s="77" t="s">
        <v>266</v>
      </c>
      <c r="G9" s="77">
        <v>1500</v>
      </c>
      <c r="H9" s="85">
        <v>129630</v>
      </c>
      <c r="I9" s="85">
        <v>86.42</v>
      </c>
      <c r="J9" s="77">
        <v>1500</v>
      </c>
      <c r="K9" s="85">
        <v>125357.56</v>
      </c>
      <c r="L9" s="85">
        <v>83.571706666666671</v>
      </c>
      <c r="M9" s="85">
        <v>-4272.4400000000023</v>
      </c>
      <c r="N9" s="86">
        <v>-3.2958728689346621E-2</v>
      </c>
      <c r="O9" s="72">
        <f t="shared" si="0"/>
        <v>21992.719999999972</v>
      </c>
    </row>
    <row r="10" spans="1:26" x14ac:dyDescent="0.25">
      <c r="A10" s="74" t="s">
        <v>283</v>
      </c>
      <c r="B10" s="75" t="s">
        <v>285</v>
      </c>
      <c r="C10" s="75" t="s">
        <v>56</v>
      </c>
      <c r="D10" s="75" t="s">
        <v>38</v>
      </c>
      <c r="E10" s="81">
        <v>45106</v>
      </c>
      <c r="F10" s="75" t="s">
        <v>267</v>
      </c>
      <c r="G10" s="75">
        <v>4761</v>
      </c>
      <c r="H10" s="82">
        <v>159415.42000000001</v>
      </c>
      <c r="I10" s="82">
        <v>33.483600084015968</v>
      </c>
      <c r="J10" s="75">
        <v>4761</v>
      </c>
      <c r="K10" s="82">
        <v>149119.85999999999</v>
      </c>
      <c r="L10" s="82">
        <v>31.321121613106488</v>
      </c>
      <c r="M10" s="82">
        <v>-10295.560000000027</v>
      </c>
      <c r="N10" s="83">
        <v>-6.4583212841016424E-2</v>
      </c>
      <c r="O10" s="72">
        <f t="shared" si="0"/>
        <v>11697.159999999945</v>
      </c>
    </row>
    <row r="11" spans="1:26" x14ac:dyDescent="0.25">
      <c r="A11" s="76" t="s">
        <v>283</v>
      </c>
      <c r="B11" s="77" t="s">
        <v>285</v>
      </c>
      <c r="C11" s="77" t="s">
        <v>56</v>
      </c>
      <c r="D11" s="77" t="s">
        <v>38</v>
      </c>
      <c r="E11" s="84">
        <v>45118</v>
      </c>
      <c r="F11" s="77" t="s">
        <v>64</v>
      </c>
      <c r="G11" s="77">
        <v>157</v>
      </c>
      <c r="H11" s="85">
        <v>99716.479999999996</v>
      </c>
      <c r="I11" s="85">
        <v>635.13681528662414</v>
      </c>
      <c r="J11" s="77">
        <v>157</v>
      </c>
      <c r="K11" s="85">
        <v>109266.42</v>
      </c>
      <c r="L11" s="85">
        <v>695.96445859872608</v>
      </c>
      <c r="M11" s="85">
        <v>9549.9400000000023</v>
      </c>
      <c r="N11" s="86">
        <v>9.5770929739998872E-2</v>
      </c>
      <c r="O11" s="72">
        <f t="shared" si="0"/>
        <v>21247.099999999948</v>
      </c>
    </row>
    <row r="12" spans="1:26" x14ac:dyDescent="0.25">
      <c r="A12" s="74" t="s">
        <v>283</v>
      </c>
      <c r="B12" s="75" t="s">
        <v>285</v>
      </c>
      <c r="C12" s="75" t="s">
        <v>56</v>
      </c>
      <c r="D12" s="75" t="s">
        <v>38</v>
      </c>
      <c r="E12" s="81">
        <v>45118</v>
      </c>
      <c r="F12" s="75" t="s">
        <v>126</v>
      </c>
      <c r="G12" s="75">
        <v>550</v>
      </c>
      <c r="H12" s="82">
        <v>99990</v>
      </c>
      <c r="I12" s="82">
        <v>181.8</v>
      </c>
      <c r="J12" s="75">
        <v>550</v>
      </c>
      <c r="K12" s="82">
        <v>99961.7</v>
      </c>
      <c r="L12" s="82">
        <v>181.74854545454545</v>
      </c>
      <c r="M12" s="82">
        <v>-28.30000000000291</v>
      </c>
      <c r="N12" s="83">
        <v>-2.8302830283031215E-4</v>
      </c>
      <c r="O12" s="72">
        <f t="shared" si="0"/>
        <v>21218.799999999945</v>
      </c>
    </row>
    <row r="13" spans="1:26" x14ac:dyDescent="0.25">
      <c r="A13" s="76" t="s">
        <v>283</v>
      </c>
      <c r="B13" s="77" t="s">
        <v>285</v>
      </c>
      <c r="C13" s="77" t="s">
        <v>56</v>
      </c>
      <c r="D13" s="77" t="s">
        <v>38</v>
      </c>
      <c r="E13" s="84">
        <v>45118</v>
      </c>
      <c r="F13" s="77" t="s">
        <v>221</v>
      </c>
      <c r="G13" s="77">
        <v>246</v>
      </c>
      <c r="H13" s="85">
        <v>87728.52</v>
      </c>
      <c r="I13" s="85">
        <v>356.62</v>
      </c>
      <c r="J13" s="77">
        <v>246</v>
      </c>
      <c r="K13" s="85">
        <v>107680.72</v>
      </c>
      <c r="L13" s="85">
        <v>437.72650406504067</v>
      </c>
      <c r="M13" s="85">
        <v>19952.199999999997</v>
      </c>
      <c r="N13" s="86">
        <v>0.22743117061589546</v>
      </c>
      <c r="O13" s="72">
        <f t="shared" si="0"/>
        <v>41170.999999999942</v>
      </c>
    </row>
    <row r="14" spans="1:26" x14ac:dyDescent="0.25">
      <c r="A14" s="74" t="s">
        <v>283</v>
      </c>
      <c r="B14" s="75" t="s">
        <v>285</v>
      </c>
      <c r="C14" s="75" t="s">
        <v>56</v>
      </c>
      <c r="D14" s="75" t="s">
        <v>38</v>
      </c>
      <c r="E14" s="81">
        <v>45118</v>
      </c>
      <c r="F14" s="75" t="s">
        <v>268</v>
      </c>
      <c r="G14" s="75">
        <v>5600</v>
      </c>
      <c r="H14" s="82">
        <v>305480</v>
      </c>
      <c r="I14" s="82">
        <v>54.55</v>
      </c>
      <c r="J14" s="75">
        <v>3600</v>
      </c>
      <c r="K14" s="82">
        <v>308529.53000000003</v>
      </c>
      <c r="L14" s="82">
        <v>85.702647222222225</v>
      </c>
      <c r="M14" s="82">
        <v>3049.5300000000279</v>
      </c>
      <c r="N14" s="83">
        <v>9.9827484614378285E-3</v>
      </c>
      <c r="O14" s="72">
        <f t="shared" si="0"/>
        <v>44220.52999999997</v>
      </c>
    </row>
    <row r="15" spans="1:26" x14ac:dyDescent="0.25">
      <c r="A15" s="76" t="s">
        <v>283</v>
      </c>
      <c r="B15" s="77" t="s">
        <v>285</v>
      </c>
      <c r="C15" s="77" t="s">
        <v>56</v>
      </c>
      <c r="D15" s="77" t="s">
        <v>38</v>
      </c>
      <c r="E15" s="84">
        <v>45132</v>
      </c>
      <c r="F15" s="77" t="s">
        <v>241</v>
      </c>
      <c r="G15" s="77">
        <v>5555</v>
      </c>
      <c r="H15" s="85">
        <v>459740.33</v>
      </c>
      <c r="I15" s="85">
        <v>82.761535553555362</v>
      </c>
      <c r="J15" s="77">
        <v>5555</v>
      </c>
      <c r="K15" s="85">
        <v>523936.23</v>
      </c>
      <c r="L15" s="85">
        <v>94.317953195319532</v>
      </c>
      <c r="M15" s="85">
        <v>64195.899999999965</v>
      </c>
      <c r="N15" s="86">
        <v>0.13963512837779526</v>
      </c>
      <c r="O15" s="72">
        <f t="shared" si="0"/>
        <v>108416.42999999993</v>
      </c>
    </row>
    <row r="16" spans="1:26" x14ac:dyDescent="0.25">
      <c r="A16" s="74" t="s">
        <v>283</v>
      </c>
      <c r="B16" s="75" t="s">
        <v>285</v>
      </c>
      <c r="C16" s="75" t="s">
        <v>56</v>
      </c>
      <c r="D16" s="75" t="s">
        <v>38</v>
      </c>
      <c r="E16" s="81">
        <v>45187</v>
      </c>
      <c r="F16" s="75" t="s">
        <v>204</v>
      </c>
      <c r="G16" s="75">
        <v>1800</v>
      </c>
      <c r="H16" s="82">
        <v>78840</v>
      </c>
      <c r="I16" s="82">
        <v>43.8</v>
      </c>
      <c r="J16" s="75">
        <v>1800</v>
      </c>
      <c r="K16" s="82">
        <v>82832.67</v>
      </c>
      <c r="L16" s="82">
        <v>46.018149999999999</v>
      </c>
      <c r="M16" s="82">
        <v>3992.6699999999983</v>
      </c>
      <c r="N16" s="83">
        <v>5.0642694063926921E-2</v>
      </c>
      <c r="O16" s="72">
        <f t="shared" si="0"/>
        <v>112409.09999999993</v>
      </c>
    </row>
    <row r="17" spans="1:15" x14ac:dyDescent="0.25">
      <c r="A17" s="76" t="s">
        <v>283</v>
      </c>
      <c r="B17" s="77" t="s">
        <v>285</v>
      </c>
      <c r="C17" s="77" t="s">
        <v>56</v>
      </c>
      <c r="D17" s="77" t="s">
        <v>38</v>
      </c>
      <c r="E17" s="84">
        <v>45187</v>
      </c>
      <c r="F17" s="77" t="s">
        <v>269</v>
      </c>
      <c r="G17" s="77">
        <v>15000</v>
      </c>
      <c r="H17" s="85">
        <v>233513.49</v>
      </c>
      <c r="I17" s="85">
        <v>15.567565999999999</v>
      </c>
      <c r="J17" s="77">
        <v>15000</v>
      </c>
      <c r="K17" s="85">
        <v>227548.18</v>
      </c>
      <c r="L17" s="85">
        <v>15.169878666666666</v>
      </c>
      <c r="M17" s="85">
        <v>-5965.3099999999977</v>
      </c>
      <c r="N17" s="86">
        <v>-2.5545890303810704E-2</v>
      </c>
      <c r="O17" s="72">
        <f t="shared" si="0"/>
        <v>106443.78999999994</v>
      </c>
    </row>
    <row r="18" spans="1:15" x14ac:dyDescent="0.25">
      <c r="A18" s="74" t="s">
        <v>283</v>
      </c>
      <c r="B18" s="75" t="s">
        <v>285</v>
      </c>
      <c r="C18" s="75" t="s">
        <v>56</v>
      </c>
      <c r="D18" s="75" t="s">
        <v>38</v>
      </c>
      <c r="E18" s="81">
        <v>45190</v>
      </c>
      <c r="F18" s="75" t="s">
        <v>173</v>
      </c>
      <c r="G18" s="75">
        <v>2500</v>
      </c>
      <c r="H18" s="82">
        <v>49724.75</v>
      </c>
      <c r="I18" s="82">
        <v>19.889900000000001</v>
      </c>
      <c r="J18" s="75">
        <v>2500</v>
      </c>
      <c r="K18" s="82">
        <v>52749.83</v>
      </c>
      <c r="L18" s="82">
        <v>21.099931999999999</v>
      </c>
      <c r="M18" s="82">
        <v>3025.0800000000017</v>
      </c>
      <c r="N18" s="83">
        <v>6.0836504959803757E-2</v>
      </c>
      <c r="O18" s="72">
        <f t="shared" si="0"/>
        <v>109468.86999999994</v>
      </c>
    </row>
    <row r="19" spans="1:15" x14ac:dyDescent="0.25">
      <c r="A19" s="76" t="s">
        <v>283</v>
      </c>
      <c r="B19" s="77" t="s">
        <v>285</v>
      </c>
      <c r="C19" s="77" t="s">
        <v>56</v>
      </c>
      <c r="D19" s="77" t="s">
        <v>38</v>
      </c>
      <c r="E19" s="84">
        <v>45190</v>
      </c>
      <c r="F19" s="77" t="s">
        <v>146</v>
      </c>
      <c r="G19" s="77">
        <v>1600</v>
      </c>
      <c r="H19" s="85">
        <v>217600</v>
      </c>
      <c r="I19" s="85">
        <v>136</v>
      </c>
      <c r="J19" s="77">
        <v>1600</v>
      </c>
      <c r="K19" s="85">
        <v>210468.55</v>
      </c>
      <c r="L19" s="85">
        <v>131.54284375</v>
      </c>
      <c r="M19" s="85">
        <v>-7131.4500000000116</v>
      </c>
      <c r="N19" s="86">
        <v>-3.2773207720588289E-2</v>
      </c>
      <c r="O19" s="72">
        <f t="shared" si="0"/>
        <v>102337.41999999993</v>
      </c>
    </row>
    <row r="20" spans="1:15" x14ac:dyDescent="0.25">
      <c r="A20" s="74" t="s">
        <v>283</v>
      </c>
      <c r="B20" s="75" t="s">
        <v>285</v>
      </c>
      <c r="C20" s="75" t="s">
        <v>56</v>
      </c>
      <c r="D20" s="75" t="s">
        <v>38</v>
      </c>
      <c r="E20" s="81">
        <v>45190</v>
      </c>
      <c r="F20" s="75" t="s">
        <v>270</v>
      </c>
      <c r="G20" s="75">
        <v>325</v>
      </c>
      <c r="H20" s="82">
        <v>151450</v>
      </c>
      <c r="I20" s="82">
        <v>466</v>
      </c>
      <c r="J20" s="75">
        <v>325</v>
      </c>
      <c r="K20" s="82">
        <v>142414.18</v>
      </c>
      <c r="L20" s="82">
        <v>438.19747692307692</v>
      </c>
      <c r="M20" s="82">
        <v>-9035.820000000007</v>
      </c>
      <c r="N20" s="83">
        <v>-5.9662066688676178E-2</v>
      </c>
      <c r="O20" s="72">
        <f t="shared" si="0"/>
        <v>93301.599999999919</v>
      </c>
    </row>
    <row r="21" spans="1:15" x14ac:dyDescent="0.25">
      <c r="A21" s="76" t="s">
        <v>283</v>
      </c>
      <c r="B21" s="77" t="s">
        <v>285</v>
      </c>
      <c r="C21" s="77" t="s">
        <v>56</v>
      </c>
      <c r="D21" s="77" t="s">
        <v>38</v>
      </c>
      <c r="E21" s="84">
        <v>45203</v>
      </c>
      <c r="F21" s="77" t="s">
        <v>271</v>
      </c>
      <c r="G21" s="77">
        <v>6500</v>
      </c>
      <c r="H21" s="85">
        <v>103951.65</v>
      </c>
      <c r="I21" s="85">
        <v>15.992561538461537</v>
      </c>
      <c r="J21" s="77">
        <v>6500</v>
      </c>
      <c r="K21" s="85">
        <v>103696.47</v>
      </c>
      <c r="L21" s="85">
        <v>15.953303076923078</v>
      </c>
      <c r="M21" s="85">
        <v>-255.17999999999302</v>
      </c>
      <c r="N21" s="86">
        <v>-2.454795089832562E-3</v>
      </c>
      <c r="O21" s="72">
        <f t="shared" si="0"/>
        <v>93046.419999999925</v>
      </c>
    </row>
    <row r="22" spans="1:15" x14ac:dyDescent="0.25">
      <c r="A22" s="74" t="s">
        <v>283</v>
      </c>
      <c r="B22" s="75" t="s">
        <v>285</v>
      </c>
      <c r="C22" s="75" t="s">
        <v>56</v>
      </c>
      <c r="D22" s="75" t="s">
        <v>38</v>
      </c>
      <c r="E22" s="81">
        <v>45219</v>
      </c>
      <c r="F22" s="75" t="s">
        <v>272</v>
      </c>
      <c r="G22" s="75">
        <v>8200</v>
      </c>
      <c r="H22" s="82">
        <v>204179.89</v>
      </c>
      <c r="I22" s="82">
        <v>24.899986585365856</v>
      </c>
      <c r="J22" s="75">
        <v>8200</v>
      </c>
      <c r="K22" s="82">
        <v>194516.94</v>
      </c>
      <c r="L22" s="82">
        <v>23.721578048780486</v>
      </c>
      <c r="M22" s="82">
        <v>-9662.9500000000116</v>
      </c>
      <c r="N22" s="83">
        <v>-4.7325669535819667E-2</v>
      </c>
      <c r="O22" s="72">
        <f t="shared" si="0"/>
        <v>83383.469999999914</v>
      </c>
    </row>
    <row r="23" spans="1:15" x14ac:dyDescent="0.25">
      <c r="A23" s="76" t="s">
        <v>283</v>
      </c>
      <c r="B23" s="77" t="s">
        <v>285</v>
      </c>
      <c r="C23" s="77" t="s">
        <v>56</v>
      </c>
      <c r="D23" s="77" t="s">
        <v>38</v>
      </c>
      <c r="E23" s="84">
        <v>45238</v>
      </c>
      <c r="F23" s="77" t="s">
        <v>273</v>
      </c>
      <c r="G23" s="77">
        <v>742</v>
      </c>
      <c r="H23" s="85">
        <v>189395.5</v>
      </c>
      <c r="I23" s="85">
        <v>255.25</v>
      </c>
      <c r="J23" s="77">
        <v>742</v>
      </c>
      <c r="K23" s="85">
        <v>174344.64</v>
      </c>
      <c r="L23" s="85">
        <v>234.9658221024259</v>
      </c>
      <c r="M23" s="85">
        <v>-15050.859999999986</v>
      </c>
      <c r="N23" s="86">
        <v>-7.9467885984619416E-2</v>
      </c>
      <c r="O23" s="72">
        <f t="shared" si="0"/>
        <v>68332.609999999928</v>
      </c>
    </row>
    <row r="24" spans="1:15" x14ac:dyDescent="0.25">
      <c r="A24" s="74" t="s">
        <v>283</v>
      </c>
      <c r="B24" s="75" t="s">
        <v>285</v>
      </c>
      <c r="C24" s="75" t="s">
        <v>56</v>
      </c>
      <c r="D24" s="75" t="s">
        <v>38</v>
      </c>
      <c r="E24" s="81">
        <v>45259</v>
      </c>
      <c r="F24" s="75" t="s">
        <v>274</v>
      </c>
      <c r="G24" s="75">
        <v>1500</v>
      </c>
      <c r="H24" s="82">
        <v>56800</v>
      </c>
      <c r="I24" s="82">
        <v>37.866666666666667</v>
      </c>
      <c r="J24" s="75">
        <v>1500</v>
      </c>
      <c r="K24" s="82">
        <v>67870.210000000006</v>
      </c>
      <c r="L24" s="82">
        <v>45.246806666666672</v>
      </c>
      <c r="M24" s="82">
        <v>11070.210000000006</v>
      </c>
      <c r="N24" s="83">
        <v>0.19489806338028182</v>
      </c>
      <c r="O24" s="72">
        <f t="shared" si="0"/>
        <v>79402.819999999934</v>
      </c>
    </row>
    <row r="25" spans="1:15" x14ac:dyDescent="0.25">
      <c r="A25" s="76" t="s">
        <v>283</v>
      </c>
      <c r="B25" s="77" t="s">
        <v>285</v>
      </c>
      <c r="C25" s="77" t="s">
        <v>56</v>
      </c>
      <c r="D25" s="77" t="s">
        <v>38</v>
      </c>
      <c r="E25" s="84">
        <v>45280</v>
      </c>
      <c r="F25" s="77" t="s">
        <v>275</v>
      </c>
      <c r="G25" s="77">
        <v>2400</v>
      </c>
      <c r="H25" s="85">
        <v>148042.25</v>
      </c>
      <c r="I25" s="85">
        <v>61.684270833333336</v>
      </c>
      <c r="J25" s="77">
        <v>2400</v>
      </c>
      <c r="K25" s="85">
        <v>147925.35999999999</v>
      </c>
      <c r="L25" s="85">
        <v>61.635566666666662</v>
      </c>
      <c r="M25" s="85">
        <v>-116.89000000001397</v>
      </c>
      <c r="N25" s="86">
        <v>-7.8957189586090432E-4</v>
      </c>
      <c r="O25" s="72">
        <f t="shared" si="0"/>
        <v>79285.92999999992</v>
      </c>
    </row>
    <row r="26" spans="1:15" x14ac:dyDescent="0.25">
      <c r="A26" s="74" t="s">
        <v>283</v>
      </c>
      <c r="B26" s="75" t="s">
        <v>285</v>
      </c>
      <c r="C26" s="75" t="s">
        <v>56</v>
      </c>
      <c r="D26" s="75" t="s">
        <v>38</v>
      </c>
      <c r="E26" s="81">
        <v>45308</v>
      </c>
      <c r="F26" s="75" t="s">
        <v>230</v>
      </c>
      <c r="G26" s="75">
        <v>3700</v>
      </c>
      <c r="H26" s="82">
        <v>141775</v>
      </c>
      <c r="I26" s="82">
        <v>38.317567567567565</v>
      </c>
      <c r="J26" s="75">
        <v>3700</v>
      </c>
      <c r="K26" s="82">
        <v>121766.07</v>
      </c>
      <c r="L26" s="82">
        <v>32.909748648648652</v>
      </c>
      <c r="M26" s="82">
        <v>-20008.929999999993</v>
      </c>
      <c r="N26" s="83">
        <v>-0.14113158173161694</v>
      </c>
      <c r="O26" s="72">
        <f t="shared" si="0"/>
        <v>59276.999999999927</v>
      </c>
    </row>
    <row r="27" spans="1:15" x14ac:dyDescent="0.25">
      <c r="A27" s="76" t="s">
        <v>283</v>
      </c>
      <c r="B27" s="77" t="s">
        <v>285</v>
      </c>
      <c r="C27" s="77" t="s">
        <v>70</v>
      </c>
      <c r="D27" s="77" t="s">
        <v>38</v>
      </c>
      <c r="E27" s="84">
        <v>45343</v>
      </c>
      <c r="F27" s="77" t="s">
        <v>271</v>
      </c>
      <c r="G27" s="77">
        <v>8300</v>
      </c>
      <c r="H27" s="85">
        <v>128650</v>
      </c>
      <c r="I27" s="85">
        <v>15.5</v>
      </c>
      <c r="J27" s="77">
        <v>8300</v>
      </c>
      <c r="K27" s="85">
        <v>188877.48</v>
      </c>
      <c r="L27" s="85">
        <v>0.22756322891566266</v>
      </c>
      <c r="M27" s="85">
        <v>60227.48000000001</v>
      </c>
      <c r="N27" s="86">
        <v>0.46814986397201719</v>
      </c>
      <c r="O27" s="72">
        <f t="shared" si="0"/>
        <v>119504.47999999994</v>
      </c>
    </row>
  </sheetData>
  <conditionalFormatting sqref="K28:K1048576">
    <cfRule type="colorScale" priority="10">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
    <cfRule type="colorScale" priority="4">
      <colorScale>
        <cfvo type="min"/>
        <cfvo type="percentile" val="50"/>
        <cfvo type="max"/>
        <color rgb="FFF8696B"/>
        <color rgb="FFFFEB84"/>
        <color rgb="FF63BE7B"/>
      </colorScale>
    </cfRule>
  </conditionalFormatting>
  <conditionalFormatting sqref="M2:M27">
    <cfRule type="colorScale" priority="1">
      <colorScale>
        <cfvo type="min"/>
        <cfvo type="percentile" val="50"/>
        <cfvo type="max"/>
        <color rgb="FFF8696B"/>
        <color rgb="FFFFEB84"/>
        <color rgb="FF63BE7B"/>
      </colorScale>
    </cfRule>
  </conditionalFormatting>
  <conditionalFormatting sqref="N1">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7">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A148-0091-4688-9BA6-CA1FCFE07F79}">
  <dimension ref="A1:Z16"/>
  <sheetViews>
    <sheetView workbookViewId="0">
      <selection activeCell="K31" sqref="K31"/>
    </sheetView>
  </sheetViews>
  <sheetFormatPr defaultRowHeight="15" x14ac:dyDescent="0.25"/>
  <cols>
    <col min="1" max="1" width="16" bestFit="1" customWidth="1"/>
    <col min="2" max="2" width="9.42578125" style="50" bestFit="1" customWidth="1"/>
    <col min="3" max="3" width="10.5703125" bestFit="1" customWidth="1"/>
    <col min="4" max="4" width="9" bestFit="1" customWidth="1"/>
    <col min="5" max="5" width="12.2851562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style="4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31</v>
      </c>
      <c r="C2" t="s">
        <v>149</v>
      </c>
      <c r="D2" t="s">
        <v>38</v>
      </c>
      <c r="E2" s="90">
        <v>45002</v>
      </c>
      <c r="F2" s="49" t="s">
        <v>48</v>
      </c>
      <c r="G2">
        <v>55</v>
      </c>
      <c r="H2" s="49">
        <v>4404.13</v>
      </c>
      <c r="I2" s="49">
        <v>0.80075090909090918</v>
      </c>
      <c r="J2" s="88">
        <v>55</v>
      </c>
      <c r="K2" s="49">
        <v>6979.07</v>
      </c>
      <c r="L2" s="49">
        <v>1.268921818181818</v>
      </c>
      <c r="M2" s="49">
        <v>2574.9399999999996</v>
      </c>
      <c r="N2" s="45">
        <v>0.58466484867612867</v>
      </c>
      <c r="O2" s="72">
        <f>M2</f>
        <v>2574.9399999999996</v>
      </c>
      <c r="Q2" s="63">
        <f>COUNTA(J$2:J$1048576)</f>
        <v>10</v>
      </c>
      <c r="R2" s="64">
        <f>COUNTIF(M$2:M$1048576,"&gt;0")/Q2</f>
        <v>0.5</v>
      </c>
      <c r="S2" s="64">
        <f>COUNTIF(M$2:M$1048576,"&lt;0")/COUNTA(M$2:M$1048576)</f>
        <v>0.5</v>
      </c>
      <c r="T2" s="64">
        <f>AVERAGEIF(N:N,"&gt;0")</f>
        <v>0.68394382855704972</v>
      </c>
      <c r="U2" s="64">
        <f>AVERAGEIF(N:N,"&lt;0")</f>
        <v>-0.85581372633896957</v>
      </c>
      <c r="V2" s="65">
        <f>T2/ABS(U2)</f>
        <v>0.79917370744081073</v>
      </c>
      <c r="W2" s="66">
        <f>AVERAGEIF(M:M,"&gt;0")</f>
        <v>6368.3380000000006</v>
      </c>
      <c r="X2" s="68">
        <f>AVERAGEIF(M:M,"&lt;0")</f>
        <v>-5288.3860000000004</v>
      </c>
      <c r="Y2" s="65">
        <f>W2/ABS(X2)</f>
        <v>1.2042120223448138</v>
      </c>
      <c r="Z2" s="67">
        <f>SUM(J:J)</f>
        <v>922</v>
      </c>
    </row>
    <row r="3" spans="1:26" x14ac:dyDescent="0.25">
      <c r="A3" t="s">
        <v>276</v>
      </c>
      <c r="B3" s="50" t="s">
        <v>31</v>
      </c>
      <c r="C3" t="s">
        <v>149</v>
      </c>
      <c r="D3" t="s">
        <v>38</v>
      </c>
      <c r="E3" s="90">
        <v>45009</v>
      </c>
      <c r="F3" s="49" t="s">
        <v>48</v>
      </c>
      <c r="G3">
        <v>40</v>
      </c>
      <c r="H3" s="49">
        <v>4202.76</v>
      </c>
      <c r="I3" s="49">
        <v>1.0506900000000001</v>
      </c>
      <c r="J3" s="88">
        <v>40</v>
      </c>
      <c r="K3" s="49">
        <v>0</v>
      </c>
      <c r="L3" s="49">
        <v>0</v>
      </c>
      <c r="M3" s="49">
        <v>-4202.76</v>
      </c>
      <c r="N3" s="45">
        <v>-1</v>
      </c>
      <c r="O3" s="72">
        <f>M3+O2</f>
        <v>-1627.8200000000006</v>
      </c>
    </row>
    <row r="4" spans="1:26" x14ac:dyDescent="0.25">
      <c r="A4" t="s">
        <v>276</v>
      </c>
      <c r="B4" s="50" t="s">
        <v>31</v>
      </c>
      <c r="C4" t="s">
        <v>149</v>
      </c>
      <c r="D4" t="s">
        <v>38</v>
      </c>
      <c r="E4" s="90">
        <v>45016</v>
      </c>
      <c r="F4" s="49" t="s">
        <v>48</v>
      </c>
      <c r="G4">
        <v>65</v>
      </c>
      <c r="H4" s="49">
        <v>3977.79</v>
      </c>
      <c r="I4" s="49">
        <v>0.61196769230769232</v>
      </c>
      <c r="J4" s="88">
        <v>40</v>
      </c>
      <c r="K4" s="49">
        <v>0</v>
      </c>
      <c r="L4" s="49">
        <v>0</v>
      </c>
      <c r="M4" s="49">
        <v>-3977.79</v>
      </c>
      <c r="N4" s="45">
        <v>-1</v>
      </c>
      <c r="O4" s="72">
        <f>M4+O3</f>
        <v>-5605.6100000000006</v>
      </c>
    </row>
    <row r="5" spans="1:26" x14ac:dyDescent="0.25">
      <c r="A5" t="s">
        <v>276</v>
      </c>
      <c r="B5" s="50" t="s">
        <v>31</v>
      </c>
      <c r="C5" t="s">
        <v>152</v>
      </c>
      <c r="D5" t="s">
        <v>38</v>
      </c>
      <c r="E5" s="90">
        <v>45182</v>
      </c>
      <c r="F5" s="49" t="s">
        <v>172</v>
      </c>
      <c r="G5">
        <v>200</v>
      </c>
      <c r="H5" s="49">
        <v>8133</v>
      </c>
      <c r="I5" s="49">
        <v>0.40665000000000001</v>
      </c>
      <c r="J5" s="88">
        <v>200</v>
      </c>
      <c r="K5" s="49">
        <v>17473</v>
      </c>
      <c r="L5" s="49">
        <v>0.87364999999999993</v>
      </c>
      <c r="M5" s="49">
        <v>9340</v>
      </c>
      <c r="N5" s="45">
        <v>1.1484077216279354</v>
      </c>
      <c r="O5" s="72">
        <f t="shared" ref="O5:O11" si="0">M5+O4</f>
        <v>3734.3899999999994</v>
      </c>
    </row>
    <row r="6" spans="1:26" x14ac:dyDescent="0.25">
      <c r="A6" t="s">
        <v>276</v>
      </c>
      <c r="B6" s="50" t="s">
        <v>31</v>
      </c>
      <c r="C6" t="s">
        <v>152</v>
      </c>
      <c r="D6" t="s">
        <v>38</v>
      </c>
      <c r="E6" s="90">
        <v>45219</v>
      </c>
      <c r="F6" s="49" t="s">
        <v>172</v>
      </c>
      <c r="G6">
        <v>200</v>
      </c>
      <c r="H6" s="49">
        <v>8734</v>
      </c>
      <c r="I6" s="49">
        <v>0.43670000000000003</v>
      </c>
      <c r="J6" s="88">
        <v>200</v>
      </c>
      <c r="K6" s="49">
        <v>0</v>
      </c>
      <c r="M6" s="49">
        <v>-8734</v>
      </c>
      <c r="N6" s="45">
        <v>-1</v>
      </c>
      <c r="O6" s="72">
        <f t="shared" si="0"/>
        <v>-4999.6100000000006</v>
      </c>
    </row>
    <row r="7" spans="1:26" x14ac:dyDescent="0.25">
      <c r="A7" t="s">
        <v>276</v>
      </c>
      <c r="B7" s="50" t="s">
        <v>31</v>
      </c>
      <c r="C7" t="s">
        <v>152</v>
      </c>
      <c r="D7" t="s">
        <v>38</v>
      </c>
      <c r="E7" s="90">
        <v>45250</v>
      </c>
      <c r="F7" s="49" t="s">
        <v>173</v>
      </c>
      <c r="G7">
        <v>20</v>
      </c>
      <c r="H7" s="49">
        <v>2910.5</v>
      </c>
      <c r="I7" s="49">
        <v>1.4552500000000002</v>
      </c>
      <c r="J7" s="88">
        <v>0</v>
      </c>
      <c r="K7" s="49">
        <v>0</v>
      </c>
      <c r="M7" s="49">
        <v>-2910.5</v>
      </c>
      <c r="N7" s="45">
        <v>-1</v>
      </c>
      <c r="O7" s="72">
        <f t="shared" si="0"/>
        <v>-7910.1100000000006</v>
      </c>
    </row>
    <row r="8" spans="1:26" x14ac:dyDescent="0.25">
      <c r="A8" t="s">
        <v>276</v>
      </c>
      <c r="B8" s="50" t="s">
        <v>31</v>
      </c>
      <c r="C8" t="s">
        <v>152</v>
      </c>
      <c r="D8" t="s">
        <v>38</v>
      </c>
      <c r="E8" s="90">
        <v>45273</v>
      </c>
      <c r="F8" s="49" t="s">
        <v>52</v>
      </c>
      <c r="G8">
        <v>270</v>
      </c>
      <c r="H8" s="49">
        <v>78064.740000000005</v>
      </c>
      <c r="I8" s="49">
        <v>4.5047700000000006</v>
      </c>
      <c r="J8" s="88">
        <v>220</v>
      </c>
      <c r="K8" s="49">
        <v>71447.86</v>
      </c>
      <c r="L8" s="49">
        <v>3.2476299999999996</v>
      </c>
      <c r="M8" s="49">
        <v>-6616.8800000000047</v>
      </c>
      <c r="N8" s="45">
        <v>-0.27906863169484808</v>
      </c>
      <c r="O8" s="72">
        <f t="shared" si="0"/>
        <v>-14526.990000000005</v>
      </c>
    </row>
    <row r="9" spans="1:26" x14ac:dyDescent="0.25">
      <c r="A9" t="s">
        <v>276</v>
      </c>
      <c r="B9" s="50" t="s">
        <v>31</v>
      </c>
      <c r="C9" t="s">
        <v>149</v>
      </c>
      <c r="D9" t="s">
        <v>38</v>
      </c>
      <c r="E9" s="90">
        <v>45273</v>
      </c>
      <c r="F9" s="49" t="s">
        <v>140</v>
      </c>
      <c r="G9">
        <v>4</v>
      </c>
      <c r="H9" s="49">
        <v>7369.48</v>
      </c>
      <c r="I9" s="49">
        <v>18.4237</v>
      </c>
      <c r="J9" s="88">
        <v>4</v>
      </c>
      <c r="K9" s="49">
        <v>12490.52</v>
      </c>
      <c r="L9" s="49">
        <v>31.226300000000002</v>
      </c>
      <c r="M9" s="49">
        <v>5121.0400000000009</v>
      </c>
      <c r="N9" s="45">
        <v>0.69489841888437187</v>
      </c>
      <c r="O9" s="72">
        <f t="shared" si="0"/>
        <v>-9405.9500000000044</v>
      </c>
    </row>
    <row r="10" spans="1:26" x14ac:dyDescent="0.25">
      <c r="A10" t="s">
        <v>276</v>
      </c>
      <c r="B10" s="50" t="s">
        <v>31</v>
      </c>
      <c r="C10" t="s">
        <v>149</v>
      </c>
      <c r="D10" t="s">
        <v>38</v>
      </c>
      <c r="E10" s="90">
        <v>45310</v>
      </c>
      <c r="F10" s="49" t="s">
        <v>174</v>
      </c>
      <c r="G10">
        <v>130</v>
      </c>
      <c r="H10" s="49">
        <v>19459.599999999999</v>
      </c>
      <c r="I10" s="49">
        <v>1.4968923076923075</v>
      </c>
      <c r="J10" s="88">
        <v>130</v>
      </c>
      <c r="K10" s="49">
        <v>24959.73</v>
      </c>
      <c r="L10" s="49">
        <v>1.9199792307692309</v>
      </c>
      <c r="M10" s="49">
        <v>5500.130000000001</v>
      </c>
      <c r="N10" s="45">
        <v>0.28264352813007487</v>
      </c>
      <c r="O10" s="72">
        <f t="shared" si="0"/>
        <v>-3905.8200000000033</v>
      </c>
    </row>
    <row r="11" spans="1:26" x14ac:dyDescent="0.25">
      <c r="A11" t="s">
        <v>276</v>
      </c>
      <c r="B11" s="50" t="s">
        <v>31</v>
      </c>
      <c r="C11" t="s">
        <v>152</v>
      </c>
      <c r="D11" t="s">
        <v>38</v>
      </c>
      <c r="E11" s="90">
        <v>45341</v>
      </c>
      <c r="F11" s="49" t="s">
        <v>288</v>
      </c>
      <c r="G11">
        <v>33</v>
      </c>
      <c r="H11" s="49">
        <v>13123</v>
      </c>
      <c r="I11" s="49">
        <v>3.976666666666667</v>
      </c>
      <c r="J11" s="88">
        <v>33</v>
      </c>
      <c r="K11" s="49">
        <v>22428.58</v>
      </c>
      <c r="L11" s="49">
        <v>6.796539393939395</v>
      </c>
      <c r="M11" s="49">
        <v>9305.5800000000017</v>
      </c>
      <c r="N11" s="45">
        <v>0.70910462546673791</v>
      </c>
      <c r="O11" s="72">
        <f t="shared" si="0"/>
        <v>5399.7599999999984</v>
      </c>
    </row>
    <row r="12" spans="1:26" x14ac:dyDescent="0.25">
      <c r="O12" s="72"/>
    </row>
    <row r="13" spans="1:26" x14ac:dyDescent="0.25">
      <c r="O13" s="72"/>
    </row>
    <row r="14" spans="1:26" x14ac:dyDescent="0.25">
      <c r="O14" s="72"/>
    </row>
    <row r="15" spans="1:26" x14ac:dyDescent="0.25">
      <c r="O15" s="72"/>
    </row>
    <row r="16" spans="1:26" x14ac:dyDescent="0.25">
      <c r="O16" s="72"/>
    </row>
  </sheetData>
  <conditionalFormatting sqref="L1:N1">
    <cfRule type="colorScale" priority="10">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7:O1048576 N1:N16">
    <cfRule type="colorScale" priority="6">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O1:O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7DD2-BBF4-4FB2-B7B6-052EDC953FE3}">
  <dimension ref="A1:Z38"/>
  <sheetViews>
    <sheetView topLeftCell="C1" workbookViewId="0">
      <selection activeCell="V18" sqref="V18"/>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40</v>
      </c>
      <c r="C2" t="s">
        <v>148</v>
      </c>
      <c r="D2" t="s">
        <v>38</v>
      </c>
      <c r="E2" s="90">
        <v>44645</v>
      </c>
      <c r="F2" s="49" t="s">
        <v>48</v>
      </c>
      <c r="G2">
        <v>16</v>
      </c>
      <c r="H2" s="49">
        <v>3604.51</v>
      </c>
      <c r="I2" s="49">
        <v>2.2528187500000003</v>
      </c>
      <c r="J2" s="88">
        <v>16</v>
      </c>
      <c r="K2" s="49">
        <v>1297.03</v>
      </c>
      <c r="L2" s="49">
        <v>0.81064375</v>
      </c>
      <c r="M2" s="49">
        <v>-2307.4800000000005</v>
      </c>
      <c r="N2" s="45">
        <v>-0.64016468257821457</v>
      </c>
      <c r="O2" s="72">
        <f>M2</f>
        <v>-2307.4800000000005</v>
      </c>
      <c r="Q2" s="63">
        <f>COUNTA(J$2:J$1048576)</f>
        <v>37</v>
      </c>
      <c r="R2" s="64">
        <f>COUNTIF(M$2:M$1048576,"&gt;0")/Q2</f>
        <v>0.45945945945945948</v>
      </c>
      <c r="S2" s="64">
        <f>COUNTIF(M$2:M$1048576,"&lt;0")/COUNTA(M$2:M$1048576)</f>
        <v>0.54054054054054057</v>
      </c>
      <c r="T2" s="64">
        <f>AVERAGEIF(N:N,"&gt;0")</f>
        <v>1.454673251578245</v>
      </c>
      <c r="U2" s="64">
        <f>AVERAGEIF(N:N,"&lt;0")</f>
        <v>-0.68534608995103674</v>
      </c>
      <c r="V2" s="65">
        <f>T2/ABS(U2)</f>
        <v>2.1225381933413692</v>
      </c>
      <c r="W2" s="66">
        <f>AVERAGEIF(M:M,"&gt;0")</f>
        <v>6322.4129411764716</v>
      </c>
      <c r="X2" s="68">
        <f>AVERAGEIF(M:M,"&lt;0")</f>
        <v>-3985.1165000000001</v>
      </c>
      <c r="Y2" s="65">
        <f>W2/ABS(X2)</f>
        <v>1.5865064273971592</v>
      </c>
      <c r="Z2" s="67">
        <f>SUM(M:M)</f>
        <v>27778.690000000021</v>
      </c>
    </row>
    <row r="3" spans="1:26" x14ac:dyDescent="0.25">
      <c r="A3" t="s">
        <v>276</v>
      </c>
      <c r="B3" s="50" t="s">
        <v>40</v>
      </c>
      <c r="C3" t="s">
        <v>148</v>
      </c>
      <c r="D3" t="s">
        <v>38</v>
      </c>
      <c r="E3" s="90">
        <v>44679</v>
      </c>
      <c r="F3" s="49" t="s">
        <v>79</v>
      </c>
      <c r="G3">
        <v>25</v>
      </c>
      <c r="H3" s="49">
        <v>3752.06</v>
      </c>
      <c r="I3" s="49">
        <v>1.5008240000000002</v>
      </c>
      <c r="J3" s="88">
        <v>25</v>
      </c>
      <c r="K3" s="49">
        <v>15103.41</v>
      </c>
      <c r="L3" s="49">
        <v>6.0413639999999997</v>
      </c>
      <c r="M3" s="49">
        <v>11351.35</v>
      </c>
      <c r="N3" s="45">
        <v>3.0253647329733528</v>
      </c>
      <c r="O3" s="72">
        <f>M3+O2</f>
        <v>9043.869999999999</v>
      </c>
    </row>
    <row r="4" spans="1:26" x14ac:dyDescent="0.25">
      <c r="A4" t="s">
        <v>276</v>
      </c>
      <c r="B4" s="50" t="s">
        <v>40</v>
      </c>
      <c r="C4" t="s">
        <v>147</v>
      </c>
      <c r="D4" t="s">
        <v>38</v>
      </c>
      <c r="E4" s="90">
        <v>44694</v>
      </c>
      <c r="F4" s="49" t="s">
        <v>48</v>
      </c>
      <c r="G4">
        <v>20</v>
      </c>
      <c r="H4" s="49">
        <v>3329.78</v>
      </c>
      <c r="I4" s="49">
        <v>1.66489</v>
      </c>
      <c r="J4" s="88">
        <v>20</v>
      </c>
      <c r="K4" s="49">
        <v>1645.71</v>
      </c>
      <c r="L4" s="49">
        <v>0.822855</v>
      </c>
      <c r="M4" s="49">
        <v>-1684.0700000000002</v>
      </c>
      <c r="N4" s="45">
        <v>-0.50576014030956995</v>
      </c>
      <c r="O4" s="72">
        <f t="shared" ref="O4:O25" si="0">M4+O3</f>
        <v>7359.7999999999993</v>
      </c>
    </row>
    <row r="5" spans="1:26" x14ac:dyDescent="0.25">
      <c r="A5" t="s">
        <v>276</v>
      </c>
      <c r="B5" s="50" t="s">
        <v>40</v>
      </c>
      <c r="C5" t="s">
        <v>147</v>
      </c>
      <c r="D5" t="s">
        <v>38</v>
      </c>
      <c r="E5" s="90">
        <v>44708</v>
      </c>
      <c r="F5" s="49" t="s">
        <v>146</v>
      </c>
      <c r="G5">
        <v>25</v>
      </c>
      <c r="H5" s="49">
        <v>3521.88</v>
      </c>
      <c r="I5" s="49">
        <v>1.408752</v>
      </c>
      <c r="J5" s="88">
        <v>25</v>
      </c>
      <c r="K5" s="49">
        <v>0</v>
      </c>
      <c r="L5" s="49">
        <v>0</v>
      </c>
      <c r="M5" s="49">
        <v>-3521.88</v>
      </c>
      <c r="N5" s="45">
        <v>-1</v>
      </c>
      <c r="O5" s="72">
        <f t="shared" si="0"/>
        <v>3837.9199999999992</v>
      </c>
    </row>
    <row r="6" spans="1:26" x14ac:dyDescent="0.25">
      <c r="A6" t="s">
        <v>276</v>
      </c>
      <c r="B6" s="50" t="s">
        <v>40</v>
      </c>
      <c r="C6" t="s">
        <v>149</v>
      </c>
      <c r="D6" t="s">
        <v>38</v>
      </c>
      <c r="E6" s="90">
        <v>44844</v>
      </c>
      <c r="F6" s="49" t="s">
        <v>79</v>
      </c>
      <c r="G6">
        <v>5</v>
      </c>
      <c r="H6" s="49">
        <v>2278.4499999999998</v>
      </c>
      <c r="I6" s="49">
        <v>4.5568999999999997</v>
      </c>
      <c r="J6" s="88">
        <v>5</v>
      </c>
      <c r="K6" s="49">
        <v>8484.5499999999993</v>
      </c>
      <c r="L6" s="49">
        <v>16.969099999999997</v>
      </c>
      <c r="M6" s="49">
        <v>6206.0999999999995</v>
      </c>
      <c r="N6" s="45">
        <v>2.7238254076236035</v>
      </c>
      <c r="O6" s="72">
        <f t="shared" si="0"/>
        <v>10044.019999999999</v>
      </c>
    </row>
    <row r="7" spans="1:26" x14ac:dyDescent="0.25">
      <c r="A7" t="s">
        <v>276</v>
      </c>
      <c r="B7" s="50" t="s">
        <v>40</v>
      </c>
      <c r="C7" t="s">
        <v>148</v>
      </c>
      <c r="D7" t="s">
        <v>38</v>
      </c>
      <c r="E7" s="90">
        <v>44925</v>
      </c>
      <c r="F7" s="49" t="s">
        <v>96</v>
      </c>
      <c r="G7">
        <v>5</v>
      </c>
      <c r="H7" s="49">
        <v>2451.3199999999997</v>
      </c>
      <c r="I7" s="49">
        <v>4.9026399999999999</v>
      </c>
      <c r="J7" s="88">
        <v>5</v>
      </c>
      <c r="K7" s="49">
        <v>7028.34</v>
      </c>
      <c r="L7" s="49">
        <v>14.056680000000002</v>
      </c>
      <c r="M7" s="49">
        <v>4577.0200000000004</v>
      </c>
      <c r="N7" s="45">
        <v>1.8671654455558642</v>
      </c>
      <c r="O7" s="72">
        <f t="shared" si="0"/>
        <v>14621.039999999999</v>
      </c>
    </row>
    <row r="8" spans="1:26" x14ac:dyDescent="0.25">
      <c r="A8" t="s">
        <v>276</v>
      </c>
      <c r="B8" s="50" t="s">
        <v>40</v>
      </c>
      <c r="C8" t="s">
        <v>148</v>
      </c>
      <c r="D8" t="s">
        <v>38</v>
      </c>
      <c r="E8" s="90">
        <v>44946</v>
      </c>
      <c r="F8" s="49" t="s">
        <v>48</v>
      </c>
      <c r="G8">
        <v>14</v>
      </c>
      <c r="H8" s="49">
        <v>3435.77</v>
      </c>
      <c r="I8" s="49">
        <v>2.4541214285714288</v>
      </c>
      <c r="J8" s="88">
        <v>14</v>
      </c>
      <c r="K8" s="49">
        <v>3574.7400000000002</v>
      </c>
      <c r="L8" s="49">
        <v>2.5533857142857146</v>
      </c>
      <c r="M8" s="49">
        <v>138.97000000000025</v>
      </c>
      <c r="N8" s="45">
        <v>4.0447992735252979E-2</v>
      </c>
      <c r="O8" s="72">
        <f t="shared" si="0"/>
        <v>14760.009999999998</v>
      </c>
    </row>
    <row r="9" spans="1:26" x14ac:dyDescent="0.25">
      <c r="A9" t="s">
        <v>276</v>
      </c>
      <c r="B9" s="50" t="s">
        <v>40</v>
      </c>
      <c r="C9" t="s">
        <v>149</v>
      </c>
      <c r="D9" t="s">
        <v>38</v>
      </c>
      <c r="E9" s="90">
        <v>44970</v>
      </c>
      <c r="F9" s="49" t="s">
        <v>150</v>
      </c>
      <c r="G9">
        <v>10</v>
      </c>
      <c r="H9" s="49">
        <v>1896.99</v>
      </c>
      <c r="I9" s="49">
        <v>1.8969900000000002</v>
      </c>
      <c r="J9" s="88">
        <v>10</v>
      </c>
      <c r="K9" s="49">
        <v>5420.01</v>
      </c>
      <c r="L9" s="49">
        <v>5.4200099999999996</v>
      </c>
      <c r="M9" s="49">
        <v>3523.0200000000004</v>
      </c>
      <c r="N9" s="45">
        <v>1.8571631901064312</v>
      </c>
      <c r="O9" s="72">
        <f t="shared" si="0"/>
        <v>18283.03</v>
      </c>
    </row>
    <row r="10" spans="1:26" x14ac:dyDescent="0.25">
      <c r="A10" t="s">
        <v>276</v>
      </c>
      <c r="B10" s="50" t="s">
        <v>40</v>
      </c>
      <c r="C10" t="s">
        <v>152</v>
      </c>
      <c r="D10" t="s">
        <v>38</v>
      </c>
      <c r="E10" s="90">
        <v>44979</v>
      </c>
      <c r="F10" s="49" t="s">
        <v>151</v>
      </c>
      <c r="G10">
        <v>75</v>
      </c>
      <c r="H10" s="49">
        <v>3616.61</v>
      </c>
      <c r="I10" s="49">
        <v>0.48221466666666674</v>
      </c>
      <c r="J10" s="88">
        <v>75</v>
      </c>
      <c r="K10" s="49">
        <v>3534.1099999999997</v>
      </c>
      <c r="L10" s="49">
        <v>0.47121466666666662</v>
      </c>
      <c r="M10" s="49">
        <v>-82.500000000000455</v>
      </c>
      <c r="N10" s="45">
        <v>-2.2811417321746304E-2</v>
      </c>
      <c r="O10" s="72">
        <f t="shared" si="0"/>
        <v>18200.53</v>
      </c>
    </row>
    <row r="11" spans="1:26" x14ac:dyDescent="0.25">
      <c r="A11" t="s">
        <v>276</v>
      </c>
      <c r="B11" s="50" t="s">
        <v>40</v>
      </c>
      <c r="C11" t="s">
        <v>149</v>
      </c>
      <c r="D11" t="s">
        <v>38</v>
      </c>
      <c r="E11" s="90">
        <v>44993</v>
      </c>
      <c r="F11" s="49" t="s">
        <v>153</v>
      </c>
      <c r="G11">
        <v>60</v>
      </c>
      <c r="H11" s="49">
        <v>6391.94</v>
      </c>
      <c r="I11" s="49">
        <v>1.0653233333333332</v>
      </c>
      <c r="J11" s="88">
        <v>60</v>
      </c>
      <c r="K11" s="49">
        <v>3302.88</v>
      </c>
      <c r="L11" s="49">
        <v>0.55047999999999997</v>
      </c>
      <c r="M11" s="49">
        <v>-3089.0599999999995</v>
      </c>
      <c r="N11" s="45">
        <v>-0.48327424850671308</v>
      </c>
      <c r="O11" s="72">
        <f t="shared" si="0"/>
        <v>15111.47</v>
      </c>
    </row>
    <row r="12" spans="1:26" x14ac:dyDescent="0.25">
      <c r="A12" t="s">
        <v>276</v>
      </c>
      <c r="B12" s="50" t="s">
        <v>40</v>
      </c>
      <c r="C12" t="s">
        <v>148</v>
      </c>
      <c r="D12" t="s">
        <v>38</v>
      </c>
      <c r="E12" s="90">
        <v>44995</v>
      </c>
      <c r="F12" s="49" t="s">
        <v>96</v>
      </c>
      <c r="G12">
        <v>9</v>
      </c>
      <c r="H12" s="49">
        <v>3147.38</v>
      </c>
      <c r="I12" s="49">
        <v>3.4970888888888889</v>
      </c>
      <c r="J12" s="88">
        <v>9</v>
      </c>
      <c r="K12" s="49">
        <v>6614.1900000000005</v>
      </c>
      <c r="L12" s="49">
        <v>7.3491000000000009</v>
      </c>
      <c r="M12" s="49">
        <v>3466.8100000000004</v>
      </c>
      <c r="N12" s="45">
        <v>1.1014907637463542</v>
      </c>
      <c r="O12" s="72">
        <f t="shared" si="0"/>
        <v>18578.28</v>
      </c>
    </row>
    <row r="13" spans="1:26" x14ac:dyDescent="0.25">
      <c r="A13" t="s">
        <v>276</v>
      </c>
      <c r="B13" s="50" t="s">
        <v>40</v>
      </c>
      <c r="C13" t="s">
        <v>149</v>
      </c>
      <c r="D13" t="s">
        <v>38</v>
      </c>
      <c r="E13" s="90">
        <v>44995</v>
      </c>
      <c r="F13" s="49" t="s">
        <v>81</v>
      </c>
      <c r="G13">
        <v>150</v>
      </c>
      <c r="H13" s="49">
        <v>2278.16</v>
      </c>
      <c r="I13" s="49">
        <v>0.15187733333333331</v>
      </c>
      <c r="J13" s="88">
        <v>150</v>
      </c>
      <c r="K13" s="49">
        <v>5950.2300000000014</v>
      </c>
      <c r="L13" s="49">
        <v>0.39668200000000003</v>
      </c>
      <c r="M13" s="49">
        <v>3672.0700000000015</v>
      </c>
      <c r="N13" s="45">
        <v>1.6118578150788363</v>
      </c>
      <c r="O13" s="72">
        <f t="shared" si="0"/>
        <v>22250.35</v>
      </c>
    </row>
    <row r="14" spans="1:26" x14ac:dyDescent="0.25">
      <c r="A14" t="s">
        <v>276</v>
      </c>
      <c r="B14" s="50" t="s">
        <v>40</v>
      </c>
      <c r="C14" t="s">
        <v>148</v>
      </c>
      <c r="D14" t="s">
        <v>38</v>
      </c>
      <c r="E14" s="90">
        <v>45065</v>
      </c>
      <c r="F14" s="49" t="s">
        <v>62</v>
      </c>
      <c r="G14">
        <v>25</v>
      </c>
      <c r="H14" s="49">
        <v>6285.04</v>
      </c>
      <c r="I14" s="49">
        <v>2.5140159999999998</v>
      </c>
      <c r="J14" s="88">
        <v>25</v>
      </c>
      <c r="K14" s="49">
        <v>0</v>
      </c>
      <c r="L14" s="49">
        <v>0</v>
      </c>
      <c r="M14" s="49">
        <v>-6285.04</v>
      </c>
      <c r="N14" s="45">
        <v>-1</v>
      </c>
      <c r="O14" s="72">
        <f t="shared" si="0"/>
        <v>15965.309999999998</v>
      </c>
    </row>
    <row r="15" spans="1:26" x14ac:dyDescent="0.25">
      <c r="A15" t="s">
        <v>276</v>
      </c>
      <c r="B15" s="50" t="s">
        <v>40</v>
      </c>
      <c r="C15" t="s">
        <v>149</v>
      </c>
      <c r="D15" t="s">
        <v>38</v>
      </c>
      <c r="E15" s="90">
        <v>45065</v>
      </c>
      <c r="F15" s="49" t="s">
        <v>48</v>
      </c>
      <c r="G15">
        <v>20</v>
      </c>
      <c r="H15" s="49">
        <v>3920.58</v>
      </c>
      <c r="I15" s="49">
        <v>1.9602899999999999</v>
      </c>
      <c r="J15" s="88">
        <v>20</v>
      </c>
      <c r="K15" s="49">
        <v>0</v>
      </c>
      <c r="L15" s="49">
        <v>0</v>
      </c>
      <c r="M15" s="49">
        <v>-3920.58</v>
      </c>
      <c r="N15" s="45">
        <v>-1</v>
      </c>
      <c r="O15" s="72">
        <f t="shared" si="0"/>
        <v>12044.729999999998</v>
      </c>
    </row>
    <row r="16" spans="1:26" x14ac:dyDescent="0.25">
      <c r="A16" t="s">
        <v>276</v>
      </c>
      <c r="B16" s="50" t="s">
        <v>40</v>
      </c>
      <c r="C16" t="s">
        <v>148</v>
      </c>
      <c r="D16" t="s">
        <v>38</v>
      </c>
      <c r="E16" s="90">
        <v>45072</v>
      </c>
      <c r="F16" s="49" t="s">
        <v>96</v>
      </c>
      <c r="G16">
        <v>50</v>
      </c>
      <c r="H16" s="49">
        <v>5249.04</v>
      </c>
      <c r="I16" s="49">
        <v>1.0498080000000001</v>
      </c>
      <c r="J16" s="88">
        <v>50</v>
      </c>
      <c r="K16" s="49">
        <v>0</v>
      </c>
      <c r="L16" s="49">
        <v>0</v>
      </c>
      <c r="M16" s="49">
        <v>-5249.04</v>
      </c>
      <c r="N16" s="45">
        <v>-1</v>
      </c>
      <c r="O16" s="72">
        <f t="shared" si="0"/>
        <v>6795.6899999999978</v>
      </c>
    </row>
    <row r="17" spans="1:15" x14ac:dyDescent="0.25">
      <c r="A17" t="s">
        <v>276</v>
      </c>
      <c r="B17" s="50" t="s">
        <v>40</v>
      </c>
      <c r="C17" t="s">
        <v>149</v>
      </c>
      <c r="D17" t="s">
        <v>38</v>
      </c>
      <c r="E17" s="90">
        <v>45203</v>
      </c>
      <c r="F17" s="49" t="s">
        <v>97</v>
      </c>
      <c r="G17">
        <v>350</v>
      </c>
      <c r="H17" s="49">
        <v>6195</v>
      </c>
      <c r="I17" s="49">
        <v>0.17699999999999999</v>
      </c>
      <c r="J17" s="88">
        <v>350</v>
      </c>
      <c r="K17" s="49">
        <v>25950.480000000003</v>
      </c>
      <c r="L17" s="49">
        <v>0.74144228571428583</v>
      </c>
      <c r="M17" s="49">
        <v>19755.480000000003</v>
      </c>
      <c r="N17" s="45">
        <v>3.1889394673123497</v>
      </c>
      <c r="O17" s="72">
        <f t="shared" si="0"/>
        <v>26551.170000000002</v>
      </c>
    </row>
    <row r="18" spans="1:15" x14ac:dyDescent="0.25">
      <c r="A18" t="s">
        <v>276</v>
      </c>
      <c r="B18" s="50" t="s">
        <v>40</v>
      </c>
      <c r="C18" t="s">
        <v>149</v>
      </c>
      <c r="D18" t="s">
        <v>38</v>
      </c>
      <c r="E18" s="90">
        <v>45205</v>
      </c>
      <c r="F18" s="49" t="s">
        <v>57</v>
      </c>
      <c r="G18">
        <v>25</v>
      </c>
      <c r="H18" s="49">
        <v>6007.01</v>
      </c>
      <c r="I18" s="49">
        <v>2.4028040000000002</v>
      </c>
      <c r="J18" s="88">
        <v>25</v>
      </c>
      <c r="K18" s="49">
        <v>12473.33</v>
      </c>
      <c r="L18" s="49">
        <v>4.9893320000000001</v>
      </c>
      <c r="M18" s="49">
        <v>6466.32</v>
      </c>
      <c r="N18" s="45">
        <v>1.0764623331740748</v>
      </c>
      <c r="O18" s="72">
        <f t="shared" si="0"/>
        <v>33017.490000000005</v>
      </c>
    </row>
    <row r="19" spans="1:15" x14ac:dyDescent="0.25">
      <c r="A19" t="s">
        <v>276</v>
      </c>
      <c r="B19" s="50" t="s">
        <v>40</v>
      </c>
      <c r="C19" t="s">
        <v>147</v>
      </c>
      <c r="D19" t="s">
        <v>38</v>
      </c>
      <c r="E19" s="90">
        <v>45245</v>
      </c>
      <c r="F19" s="49" t="s">
        <v>154</v>
      </c>
      <c r="G19">
        <v>6</v>
      </c>
      <c r="H19" s="49">
        <v>9567.16</v>
      </c>
      <c r="I19" s="49">
        <v>15.945266666666667</v>
      </c>
      <c r="J19" s="88">
        <v>6</v>
      </c>
      <c r="K19" s="49">
        <v>9674.31</v>
      </c>
      <c r="L19" s="49">
        <v>16.123850000000001</v>
      </c>
      <c r="M19" s="49">
        <v>107.14999999999964</v>
      </c>
      <c r="N19" s="45">
        <v>1.1199770882895277E-2</v>
      </c>
      <c r="O19" s="72">
        <f t="shared" si="0"/>
        <v>33124.640000000007</v>
      </c>
    </row>
    <row r="20" spans="1:15" x14ac:dyDescent="0.25">
      <c r="A20" t="s">
        <v>276</v>
      </c>
      <c r="B20" s="50" t="s">
        <v>40</v>
      </c>
      <c r="C20" t="s">
        <v>149</v>
      </c>
      <c r="D20" t="s">
        <v>38</v>
      </c>
      <c r="E20" s="90">
        <v>45250</v>
      </c>
      <c r="F20" s="49" t="s">
        <v>150</v>
      </c>
      <c r="G20">
        <v>30</v>
      </c>
      <c r="H20" s="49">
        <v>5420.38</v>
      </c>
      <c r="I20" s="49">
        <v>1.8067933333333335</v>
      </c>
      <c r="J20" s="88">
        <v>30</v>
      </c>
      <c r="K20" s="49">
        <v>9784.32</v>
      </c>
      <c r="L20" s="49">
        <v>3.2614399999999999</v>
      </c>
      <c r="M20" s="49">
        <v>4363.9399999999996</v>
      </c>
      <c r="N20" s="45">
        <v>0.80509853552702926</v>
      </c>
      <c r="O20" s="72">
        <f t="shared" si="0"/>
        <v>37488.580000000009</v>
      </c>
    </row>
    <row r="21" spans="1:15" x14ac:dyDescent="0.25">
      <c r="A21" t="s">
        <v>276</v>
      </c>
      <c r="B21" s="50" t="s">
        <v>40</v>
      </c>
      <c r="C21" t="s">
        <v>156</v>
      </c>
      <c r="D21" t="s">
        <v>36</v>
      </c>
      <c r="E21" s="90">
        <v>45275</v>
      </c>
      <c r="F21" s="49" t="s">
        <v>155</v>
      </c>
      <c r="G21">
        <v>20</v>
      </c>
      <c r="H21" s="49">
        <v>-4672.33</v>
      </c>
      <c r="I21" s="49">
        <v>-2.3361649999999998</v>
      </c>
      <c r="J21" s="88">
        <v>20</v>
      </c>
      <c r="K21" s="49">
        <v>-12498.03</v>
      </c>
      <c r="L21" s="49">
        <v>-6.2490150000000009</v>
      </c>
      <c r="M21" s="49">
        <v>-7825.7000000000007</v>
      </c>
      <c r="N21" s="45">
        <v>-1.6749030997382468</v>
      </c>
      <c r="O21" s="72">
        <f t="shared" si="0"/>
        <v>29662.880000000008</v>
      </c>
    </row>
    <row r="22" spans="1:15" x14ac:dyDescent="0.25">
      <c r="A22" t="s">
        <v>276</v>
      </c>
      <c r="B22" s="50" t="s">
        <v>40</v>
      </c>
      <c r="C22" t="s">
        <v>156</v>
      </c>
      <c r="D22" t="s">
        <v>38</v>
      </c>
      <c r="E22" s="90">
        <v>45275</v>
      </c>
      <c r="F22" s="49" t="s">
        <v>157</v>
      </c>
      <c r="G22">
        <v>12</v>
      </c>
      <c r="H22" s="49">
        <v>-4327.34</v>
      </c>
      <c r="I22" s="49">
        <v>-3.6061166666666669</v>
      </c>
      <c r="J22" s="88">
        <v>12</v>
      </c>
      <c r="K22" s="49">
        <v>-2650.64</v>
      </c>
      <c r="L22" s="49">
        <v>-2.2088666666666668</v>
      </c>
      <c r="M22" s="49">
        <v>1676.7000000000003</v>
      </c>
      <c r="N22" s="45">
        <v>0.38746666543419284</v>
      </c>
      <c r="O22" s="72">
        <f t="shared" si="0"/>
        <v>31339.580000000009</v>
      </c>
    </row>
    <row r="23" spans="1:15" x14ac:dyDescent="0.25">
      <c r="A23" t="s">
        <v>276</v>
      </c>
      <c r="B23" s="50" t="s">
        <v>40</v>
      </c>
      <c r="C23" t="s">
        <v>152</v>
      </c>
      <c r="D23" t="s">
        <v>38</v>
      </c>
      <c r="E23" s="90">
        <v>45317</v>
      </c>
      <c r="F23" s="49" t="s">
        <v>170</v>
      </c>
      <c r="G23">
        <v>80</v>
      </c>
      <c r="H23" s="49">
        <v>7057.2</v>
      </c>
      <c r="I23" s="49">
        <v>0.88214999999999999</v>
      </c>
      <c r="J23" s="88">
        <v>80</v>
      </c>
      <c r="K23" s="49">
        <v>19795.29</v>
      </c>
      <c r="L23" s="49">
        <v>2.4744112500000002</v>
      </c>
      <c r="M23" s="49">
        <v>12738.09</v>
      </c>
      <c r="N23" s="45">
        <v>1.8049778949158308</v>
      </c>
      <c r="O23" s="72">
        <f t="shared" si="0"/>
        <v>44077.670000000013</v>
      </c>
    </row>
    <row r="24" spans="1:15" x14ac:dyDescent="0.25">
      <c r="A24" t="s">
        <v>276</v>
      </c>
      <c r="B24" s="50" t="s">
        <v>40</v>
      </c>
      <c r="C24" t="s">
        <v>152</v>
      </c>
      <c r="D24" t="s">
        <v>38</v>
      </c>
      <c r="E24" s="90">
        <v>45324</v>
      </c>
      <c r="F24" s="49" t="s">
        <v>171</v>
      </c>
      <c r="G24">
        <v>25</v>
      </c>
      <c r="H24" s="49">
        <v>7248.67</v>
      </c>
      <c r="I24" s="49">
        <v>2.8994680000000002</v>
      </c>
      <c r="J24" s="88">
        <v>25</v>
      </c>
      <c r="K24" s="49">
        <v>18053.370000000003</v>
      </c>
      <c r="L24" s="49">
        <v>7.2213480000000017</v>
      </c>
      <c r="M24" s="49">
        <v>10804.700000000003</v>
      </c>
      <c r="N24" s="45">
        <v>1.4905768920367466</v>
      </c>
      <c r="O24" s="72">
        <f t="shared" si="0"/>
        <v>54882.370000000017</v>
      </c>
    </row>
    <row r="25" spans="1:15" x14ac:dyDescent="0.25">
      <c r="A25" t="s">
        <v>276</v>
      </c>
      <c r="B25" s="50" t="s">
        <v>40</v>
      </c>
      <c r="C25" t="s">
        <v>276</v>
      </c>
      <c r="D25" t="s">
        <v>38</v>
      </c>
      <c r="E25" s="90">
        <v>45334</v>
      </c>
      <c r="F25" s="49" t="s">
        <v>193</v>
      </c>
      <c r="G25">
        <v>40</v>
      </c>
      <c r="H25" s="49">
        <v>10055.879999999999</v>
      </c>
      <c r="I25" s="49">
        <v>2.51397</v>
      </c>
      <c r="J25" s="88">
        <v>0</v>
      </c>
      <c r="K25" s="49">
        <v>0</v>
      </c>
      <c r="M25" s="49">
        <v>-10055.879999999999</v>
      </c>
      <c r="N25" s="45">
        <v>-1</v>
      </c>
      <c r="O25" s="72">
        <f t="shared" si="0"/>
        <v>44826.49000000002</v>
      </c>
    </row>
    <row r="26" spans="1:15" x14ac:dyDescent="0.25">
      <c r="A26" t="s">
        <v>276</v>
      </c>
      <c r="B26" s="50" t="s">
        <v>40</v>
      </c>
      <c r="C26" t="s">
        <v>149</v>
      </c>
      <c r="D26" t="s">
        <v>38</v>
      </c>
      <c r="E26" s="90">
        <v>45352</v>
      </c>
      <c r="F26" s="49" t="s">
        <v>150</v>
      </c>
      <c r="G26">
        <v>90</v>
      </c>
      <c r="H26" s="49">
        <v>10411.82</v>
      </c>
      <c r="I26" s="49">
        <v>1.1568688888888889</v>
      </c>
      <c r="J26" s="88">
        <v>90</v>
      </c>
      <c r="K26" s="49">
        <v>4437</v>
      </c>
      <c r="L26" s="49">
        <v>0.49299999999999999</v>
      </c>
      <c r="M26" s="49">
        <v>-5974.82</v>
      </c>
      <c r="N26" s="45">
        <v>-0.57384972079809293</v>
      </c>
      <c r="O26" s="72">
        <f t="shared" ref="O26:O38" si="1">M26+O25</f>
        <v>38851.67000000002</v>
      </c>
    </row>
    <row r="27" spans="1:15" x14ac:dyDescent="0.25">
      <c r="A27" t="s">
        <v>276</v>
      </c>
      <c r="B27" s="50" t="s">
        <v>40</v>
      </c>
      <c r="C27" t="s">
        <v>149</v>
      </c>
      <c r="D27" t="s">
        <v>38</v>
      </c>
      <c r="E27" s="90">
        <v>45366</v>
      </c>
      <c r="F27" s="49" t="s">
        <v>363</v>
      </c>
      <c r="G27">
        <v>50</v>
      </c>
      <c r="H27" s="49">
        <v>10272.34</v>
      </c>
      <c r="I27" s="49">
        <v>2.054468</v>
      </c>
      <c r="J27" s="88">
        <v>50</v>
      </c>
      <c r="K27" s="49">
        <v>8352.4500000000007</v>
      </c>
      <c r="L27" s="49">
        <v>1.67049</v>
      </c>
      <c r="M27" s="49">
        <v>-1919.8899999999994</v>
      </c>
      <c r="N27" s="45">
        <v>-0.18689899282928715</v>
      </c>
      <c r="O27" s="72">
        <f t="shared" si="1"/>
        <v>36931.780000000021</v>
      </c>
    </row>
    <row r="28" spans="1:15" x14ac:dyDescent="0.25">
      <c r="A28" t="s">
        <v>276</v>
      </c>
      <c r="B28" s="50" t="s">
        <v>40</v>
      </c>
      <c r="C28" t="s">
        <v>149</v>
      </c>
      <c r="D28" t="s">
        <v>38</v>
      </c>
      <c r="E28" s="90">
        <v>45366</v>
      </c>
      <c r="F28" s="49" t="s">
        <v>363</v>
      </c>
      <c r="G28">
        <v>50</v>
      </c>
      <c r="H28" s="49">
        <v>10272.34</v>
      </c>
      <c r="I28" s="49">
        <v>2.054468</v>
      </c>
      <c r="J28" s="88">
        <v>50</v>
      </c>
      <c r="K28" s="49">
        <v>8352.4500000000007</v>
      </c>
      <c r="L28" s="49">
        <v>1.67049</v>
      </c>
      <c r="M28" s="49">
        <v>-1919.8899999999994</v>
      </c>
      <c r="N28" s="45">
        <v>-0.18689899282928715</v>
      </c>
      <c r="O28" s="72">
        <f t="shared" si="1"/>
        <v>35011.890000000021</v>
      </c>
    </row>
    <row r="29" spans="1:15" x14ac:dyDescent="0.25">
      <c r="A29" t="s">
        <v>276</v>
      </c>
      <c r="B29" s="50" t="s">
        <v>40</v>
      </c>
      <c r="C29" t="s">
        <v>152</v>
      </c>
      <c r="D29" t="s">
        <v>38</v>
      </c>
      <c r="E29" s="90">
        <v>45372</v>
      </c>
      <c r="F29" s="49" t="s">
        <v>379</v>
      </c>
      <c r="G29">
        <v>10</v>
      </c>
      <c r="H29" s="49">
        <v>7850</v>
      </c>
      <c r="I29" s="49">
        <v>7.85</v>
      </c>
      <c r="J29" s="88">
        <v>5</v>
      </c>
      <c r="K29" s="49">
        <v>6295</v>
      </c>
      <c r="L29" s="49">
        <v>12.59</v>
      </c>
      <c r="M29" s="49">
        <v>-1555</v>
      </c>
      <c r="N29" s="45">
        <v>0.6038216560509555</v>
      </c>
      <c r="O29" s="72">
        <f t="shared" si="1"/>
        <v>33456.890000000021</v>
      </c>
    </row>
    <row r="30" spans="1:15" x14ac:dyDescent="0.25">
      <c r="A30" t="s">
        <v>276</v>
      </c>
      <c r="B30" s="50" t="s">
        <v>40</v>
      </c>
      <c r="C30" t="s">
        <v>152</v>
      </c>
      <c r="D30" t="s">
        <v>38</v>
      </c>
      <c r="E30" s="90">
        <v>45372</v>
      </c>
      <c r="F30" s="49" t="s">
        <v>392</v>
      </c>
      <c r="G30">
        <v>100</v>
      </c>
      <c r="H30" s="49">
        <v>9981.49</v>
      </c>
      <c r="I30" s="49">
        <v>0.99814899999999995</v>
      </c>
      <c r="J30" s="88">
        <v>100</v>
      </c>
      <c r="K30" s="49">
        <v>5954.99</v>
      </c>
      <c r="L30" s="49">
        <v>0.595499</v>
      </c>
      <c r="M30" s="49">
        <v>-4026.5</v>
      </c>
      <c r="N30" s="45">
        <v>-0.40339668726813327</v>
      </c>
      <c r="O30" s="72">
        <f t="shared" si="1"/>
        <v>29430.390000000021</v>
      </c>
    </row>
    <row r="31" spans="1:15" x14ac:dyDescent="0.25">
      <c r="A31" t="s">
        <v>276</v>
      </c>
      <c r="B31" s="50" t="s">
        <v>40</v>
      </c>
      <c r="C31" t="s">
        <v>152</v>
      </c>
      <c r="D31" t="s">
        <v>38</v>
      </c>
      <c r="E31" s="90">
        <v>45372</v>
      </c>
      <c r="F31" s="49" t="s">
        <v>379</v>
      </c>
      <c r="G31">
        <v>10</v>
      </c>
      <c r="H31" s="49">
        <v>7850</v>
      </c>
      <c r="I31" s="49">
        <v>7.85</v>
      </c>
      <c r="J31" s="88">
        <v>5</v>
      </c>
      <c r="K31" s="49">
        <v>6295</v>
      </c>
      <c r="L31" s="49">
        <v>12.59</v>
      </c>
      <c r="M31" s="49">
        <v>-1555</v>
      </c>
      <c r="N31" s="45">
        <v>0.6038216560509555</v>
      </c>
      <c r="O31" s="72">
        <f t="shared" si="1"/>
        <v>27875.390000000021</v>
      </c>
    </row>
    <row r="32" spans="1:15" x14ac:dyDescent="0.25">
      <c r="A32" t="s">
        <v>276</v>
      </c>
      <c r="B32" s="50" t="s">
        <v>40</v>
      </c>
      <c r="C32" t="s">
        <v>149</v>
      </c>
      <c r="D32" t="s">
        <v>38</v>
      </c>
      <c r="E32" s="90">
        <v>45371</v>
      </c>
      <c r="F32" s="49" t="s">
        <v>48</v>
      </c>
      <c r="G32">
        <v>60</v>
      </c>
      <c r="H32" s="49">
        <v>8460</v>
      </c>
      <c r="I32" s="49">
        <v>1.41</v>
      </c>
      <c r="J32" s="88">
        <v>60</v>
      </c>
      <c r="K32" s="49">
        <v>7140</v>
      </c>
      <c r="L32" s="49">
        <v>1.19</v>
      </c>
      <c r="M32" s="49">
        <v>-1320</v>
      </c>
      <c r="N32" s="45">
        <v>-0.15602836879432624</v>
      </c>
      <c r="O32" s="72">
        <f t="shared" si="1"/>
        <v>26555.390000000021</v>
      </c>
    </row>
    <row r="33" spans="1:15" x14ac:dyDescent="0.25">
      <c r="A33" t="s">
        <v>276</v>
      </c>
      <c r="B33" s="50" t="s">
        <v>40</v>
      </c>
      <c r="C33" t="s">
        <v>149</v>
      </c>
      <c r="D33" t="s">
        <v>38</v>
      </c>
      <c r="E33" s="90">
        <v>45386</v>
      </c>
      <c r="F33" s="49" t="s">
        <v>393</v>
      </c>
      <c r="G33">
        <v>200</v>
      </c>
      <c r="H33" s="49">
        <v>9020</v>
      </c>
      <c r="I33" s="49">
        <v>0.45100000000000001</v>
      </c>
      <c r="J33" s="88">
        <v>200</v>
      </c>
      <c r="K33" s="49">
        <v>3600</v>
      </c>
      <c r="L33" s="49">
        <v>0.18</v>
      </c>
      <c r="M33" s="49">
        <v>-5420</v>
      </c>
      <c r="N33" s="45">
        <v>-0.60088691796008875</v>
      </c>
      <c r="O33" s="72">
        <f t="shared" si="1"/>
        <v>21135.390000000021</v>
      </c>
    </row>
    <row r="34" spans="1:15" x14ac:dyDescent="0.25">
      <c r="A34" t="s">
        <v>276</v>
      </c>
      <c r="B34" s="50" t="s">
        <v>40</v>
      </c>
      <c r="C34" t="s">
        <v>152</v>
      </c>
      <c r="D34" t="s">
        <v>38</v>
      </c>
      <c r="E34" s="90">
        <v>45390</v>
      </c>
      <c r="F34" s="49" t="s">
        <v>48</v>
      </c>
      <c r="G34">
        <v>15</v>
      </c>
      <c r="H34" s="49">
        <v>4680</v>
      </c>
      <c r="I34" s="49">
        <v>3.12</v>
      </c>
      <c r="J34" s="88">
        <v>15</v>
      </c>
      <c r="K34" s="49">
        <v>0</v>
      </c>
      <c r="L34" s="49">
        <v>0</v>
      </c>
      <c r="M34" s="49">
        <v>-4680</v>
      </c>
      <c r="N34" s="45">
        <v>-1</v>
      </c>
      <c r="O34" s="72">
        <f t="shared" si="1"/>
        <v>16455.390000000021</v>
      </c>
    </row>
    <row r="35" spans="1:15" x14ac:dyDescent="0.25">
      <c r="A35" t="s">
        <v>276</v>
      </c>
      <c r="B35" s="50" t="s">
        <v>40</v>
      </c>
      <c r="C35" t="s">
        <v>152</v>
      </c>
      <c r="D35" t="s">
        <v>38</v>
      </c>
      <c r="E35" s="90">
        <v>45404</v>
      </c>
      <c r="F35" s="49" t="s">
        <v>55</v>
      </c>
      <c r="G35">
        <v>30</v>
      </c>
      <c r="H35" s="49">
        <v>6410.98</v>
      </c>
      <c r="I35" s="49">
        <v>2.1369933333333333</v>
      </c>
      <c r="J35" s="88">
        <v>30</v>
      </c>
      <c r="K35" s="49">
        <v>15997.11</v>
      </c>
      <c r="L35" s="49">
        <v>5.3323700000000001</v>
      </c>
      <c r="M35" s="49">
        <v>9586.130000000001</v>
      </c>
      <c r="N35" s="45">
        <v>1.4952674942052542</v>
      </c>
      <c r="O35" s="72">
        <f t="shared" si="1"/>
        <v>26041.520000000022</v>
      </c>
    </row>
    <row r="36" spans="1:15" x14ac:dyDescent="0.25">
      <c r="A36" t="s">
        <v>276</v>
      </c>
      <c r="B36" s="50" t="s">
        <v>40</v>
      </c>
      <c r="C36" t="s">
        <v>148</v>
      </c>
      <c r="D36" t="s">
        <v>38</v>
      </c>
      <c r="E36" s="90">
        <v>45422</v>
      </c>
      <c r="F36" s="49" t="s">
        <v>394</v>
      </c>
      <c r="G36">
        <v>100</v>
      </c>
      <c r="H36" s="49">
        <v>8110.0000000000009</v>
      </c>
      <c r="I36" s="49">
        <v>0.81100000000000005</v>
      </c>
      <c r="J36" s="88">
        <v>100</v>
      </c>
      <c r="K36" s="49">
        <v>800</v>
      </c>
      <c r="L36" s="49">
        <v>0.08</v>
      </c>
      <c r="M36" s="49">
        <v>-7310.0000000000009</v>
      </c>
      <c r="N36" s="45">
        <v>-0.90135635018495686</v>
      </c>
      <c r="O36" s="72">
        <f t="shared" si="1"/>
        <v>18731.520000000022</v>
      </c>
    </row>
    <row r="37" spans="1:15" x14ac:dyDescent="0.25">
      <c r="A37" t="s">
        <v>276</v>
      </c>
      <c r="B37" s="50" t="s">
        <v>40</v>
      </c>
      <c r="C37" t="s">
        <v>147</v>
      </c>
      <c r="D37" t="s">
        <v>38</v>
      </c>
      <c r="E37" s="90">
        <v>45450</v>
      </c>
      <c r="F37" s="49" t="s">
        <v>224</v>
      </c>
      <c r="G37">
        <v>4</v>
      </c>
      <c r="H37" s="49">
        <v>3202.79</v>
      </c>
      <c r="I37" s="49">
        <v>8.0069750000000006</v>
      </c>
      <c r="J37" s="88">
        <v>4</v>
      </c>
      <c r="K37" s="49">
        <v>9321</v>
      </c>
      <c r="L37" s="49">
        <v>23.302499999999998</v>
      </c>
      <c r="M37" s="49">
        <v>6118.21</v>
      </c>
      <c r="N37" s="45">
        <v>1.9102751038937922</v>
      </c>
      <c r="O37" s="72">
        <f t="shared" si="1"/>
        <v>24849.730000000021</v>
      </c>
    </row>
    <row r="38" spans="1:15" x14ac:dyDescent="0.25">
      <c r="A38" t="s">
        <v>276</v>
      </c>
      <c r="B38" s="50" t="s">
        <v>40</v>
      </c>
      <c r="C38" t="s">
        <v>152</v>
      </c>
      <c r="D38" t="s">
        <v>38</v>
      </c>
      <c r="E38" s="90">
        <v>45433</v>
      </c>
      <c r="F38" s="49" t="s">
        <v>79</v>
      </c>
      <c r="G38">
        <v>10</v>
      </c>
      <c r="H38" s="49">
        <v>2607</v>
      </c>
      <c r="I38" s="49">
        <v>2.6069999999999998</v>
      </c>
      <c r="J38" s="88">
        <v>7</v>
      </c>
      <c r="K38" s="49">
        <v>5535.96</v>
      </c>
      <c r="L38" s="49">
        <v>7.9085142857142854</v>
      </c>
      <c r="M38" s="49">
        <v>2928.96</v>
      </c>
      <c r="N38" s="45">
        <v>2.0335689626828866</v>
      </c>
      <c r="O38" s="72">
        <f t="shared" si="1"/>
        <v>27778.690000000021</v>
      </c>
    </row>
  </sheetData>
  <sortState xmlns:xlrd2="http://schemas.microsoft.com/office/spreadsheetml/2017/richdata2" ref="A2:K24">
    <sortCondition ref="B1:B24"/>
  </sortState>
  <conditionalFormatting sqref="L1:O1">
    <cfRule type="colorScale" priority="9">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00FA-D000-4D7C-A676-CE8F13EB697B}">
  <dimension ref="A1:Z24"/>
  <sheetViews>
    <sheetView topLeftCell="D1" workbookViewId="0">
      <selection activeCell="Z3" sqref="Z3"/>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14.28515625" style="49" bestFit="1" customWidth="1"/>
    <col min="12" max="12" width="12.42578125" style="47" bestFit="1" customWidth="1"/>
    <col min="13" max="13" width="11.5703125" bestFit="1" customWidth="1"/>
    <col min="14" max="14" width="6.28515625" bestFit="1" customWidth="1"/>
    <col min="15" max="15" width="12.285156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285156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40</v>
      </c>
      <c r="C2" t="s">
        <v>56</v>
      </c>
      <c r="D2" t="s">
        <v>36</v>
      </c>
      <c r="E2" s="90">
        <v>45009</v>
      </c>
      <c r="F2" s="49" t="s">
        <v>57</v>
      </c>
      <c r="G2">
        <v>1000</v>
      </c>
      <c r="H2" s="49">
        <v>160170</v>
      </c>
      <c r="I2" s="49">
        <v>160.16999999999999</v>
      </c>
      <c r="J2" s="88">
        <v>1000</v>
      </c>
      <c r="K2" s="49">
        <v>159653.57999999999</v>
      </c>
      <c r="L2" s="49">
        <v>159.65357999999998</v>
      </c>
      <c r="M2" s="49">
        <v>-516.42000000001281</v>
      </c>
      <c r="N2" s="45">
        <v>-3.2241992882562952E-3</v>
      </c>
      <c r="O2" s="72">
        <f>M2</f>
        <v>-516.42000000001281</v>
      </c>
      <c r="P2" s="72"/>
      <c r="Q2" s="63">
        <f>COUNTA(J$2:J$1048576)</f>
        <v>23</v>
      </c>
      <c r="R2" s="64">
        <f>COUNTIF(M$2:M$1048576,"&gt;0")/Q2</f>
        <v>0.21739130434782608</v>
      </c>
      <c r="S2" s="64">
        <f>COUNTIF(M$2:M$1048576,"&lt;0")/COUNTA(M$2:M$1048576)</f>
        <v>0.78260869565217395</v>
      </c>
      <c r="T2" s="64">
        <f>AVERAGEIF(N:N,"&gt;0")</f>
        <v>4.1371765909599256</v>
      </c>
      <c r="U2" s="64">
        <f>AVERAGEIF(N:N,"&lt;0")</f>
        <v>-1.5163342999397136E-2</v>
      </c>
      <c r="V2" s="65">
        <f>T2/ABS(U2)</f>
        <v>272.84066522299281</v>
      </c>
      <c r="W2" s="66">
        <f>AVERAGEIF(M:M,"&gt;0")</f>
        <v>10950.323999999999</v>
      </c>
      <c r="X2" s="68">
        <f>AVERAGEIF(M:M,"&lt;0")</f>
        <v>-4275.840555555561</v>
      </c>
      <c r="Y2" s="65">
        <f>W2/ABS(X2)</f>
        <v>2.5609757561638591</v>
      </c>
      <c r="Z2" s="67">
        <f>SUM(M:M)</f>
        <v>-22213.510000000097</v>
      </c>
    </row>
    <row r="3" spans="1:26" x14ac:dyDescent="0.25">
      <c r="A3" t="s">
        <v>283</v>
      </c>
      <c r="B3" s="50" t="s">
        <v>40</v>
      </c>
      <c r="C3" t="s">
        <v>56</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-3853.2500000000291</v>
      </c>
      <c r="P3" s="72"/>
    </row>
    <row r="4" spans="1:26" x14ac:dyDescent="0.25">
      <c r="A4" t="s">
        <v>283</v>
      </c>
      <c r="B4" s="50" t="s">
        <v>40</v>
      </c>
      <c r="C4" t="s">
        <v>70</v>
      </c>
      <c r="D4" t="s">
        <v>38</v>
      </c>
      <c r="E4" s="90">
        <v>45047</v>
      </c>
      <c r="F4" s="49" t="s">
        <v>71</v>
      </c>
      <c r="G4">
        <v>1500</v>
      </c>
      <c r="H4" s="49">
        <v>160461.22</v>
      </c>
      <c r="I4" s="49">
        <v>106.97414666666667</v>
      </c>
      <c r="J4" s="88">
        <v>1500</v>
      </c>
      <c r="K4" s="49">
        <v>155122.21</v>
      </c>
      <c r="L4" s="49">
        <v>103.41480666666666</v>
      </c>
      <c r="M4" s="49">
        <v>-5339.0100000000093</v>
      </c>
      <c r="N4" s="45">
        <v>-3.3272899208917947E-2</v>
      </c>
      <c r="O4" s="72">
        <f t="shared" ref="O4:O13" si="0">M4+O3</f>
        <v>-9192.2600000000384</v>
      </c>
      <c r="P4" s="72"/>
    </row>
    <row r="5" spans="1:26" x14ac:dyDescent="0.25">
      <c r="A5" t="s">
        <v>283</v>
      </c>
      <c r="B5" s="50" t="s">
        <v>40</v>
      </c>
      <c r="C5" t="s">
        <v>56</v>
      </c>
      <c r="D5" t="s">
        <v>36</v>
      </c>
      <c r="E5" s="90">
        <v>45063</v>
      </c>
      <c r="F5" s="49" t="s">
        <v>83</v>
      </c>
      <c r="G5">
        <v>1000</v>
      </c>
      <c r="H5" s="49">
        <v>309772.51</v>
      </c>
      <c r="I5" s="49">
        <v>309.77251000000001</v>
      </c>
      <c r="J5" s="88">
        <v>1000</v>
      </c>
      <c r="K5" s="49">
        <v>313780.01</v>
      </c>
      <c r="L5" s="49">
        <v>313.78001</v>
      </c>
      <c r="M5" s="49">
        <v>-4007.5</v>
      </c>
      <c r="N5" s="45">
        <v>1.2936912962354189E-2</v>
      </c>
      <c r="O5" s="72">
        <f t="shared" si="0"/>
        <v>-13199.760000000038</v>
      </c>
    </row>
    <row r="6" spans="1:26" x14ac:dyDescent="0.25">
      <c r="A6" t="s">
        <v>283</v>
      </c>
      <c r="B6" s="50" t="s">
        <v>40</v>
      </c>
      <c r="C6" t="s">
        <v>197</v>
      </c>
      <c r="D6" t="s">
        <v>36</v>
      </c>
      <c r="E6" s="90">
        <v>45084</v>
      </c>
      <c r="F6" s="49" t="s">
        <v>91</v>
      </c>
      <c r="G6">
        <v>9400</v>
      </c>
      <c r="H6" s="49">
        <v>176095.57</v>
      </c>
      <c r="I6" s="49">
        <v>18.733571276595747</v>
      </c>
      <c r="J6" s="88">
        <v>9400</v>
      </c>
      <c r="K6" s="49">
        <v>170698.4</v>
      </c>
      <c r="L6" s="49">
        <v>18.159404255319149</v>
      </c>
      <c r="M6" s="49">
        <v>5397.1700000000128</v>
      </c>
      <c r="N6" s="45">
        <v>3.0649095829043356E-2</v>
      </c>
      <c r="O6" s="72">
        <f t="shared" si="0"/>
        <v>-7802.5900000000256</v>
      </c>
    </row>
    <row r="7" spans="1:26" x14ac:dyDescent="0.25">
      <c r="A7" t="s">
        <v>283</v>
      </c>
      <c r="B7" s="50" t="s">
        <v>40</v>
      </c>
      <c r="C7" t="s">
        <v>56</v>
      </c>
      <c r="D7" t="s">
        <v>36</v>
      </c>
      <c r="E7" s="90">
        <v>45092</v>
      </c>
      <c r="F7" s="49" t="s">
        <v>63</v>
      </c>
      <c r="G7">
        <v>3000</v>
      </c>
      <c r="H7" s="49">
        <v>49674.3</v>
      </c>
      <c r="I7" s="49">
        <v>16.5581</v>
      </c>
      <c r="J7" s="88">
        <v>3000</v>
      </c>
      <c r="K7" s="49">
        <v>56539.33</v>
      </c>
      <c r="L7" s="49">
        <v>18.846443333333333</v>
      </c>
      <c r="M7" s="49">
        <v>6865.0299999999988</v>
      </c>
      <c r="N7" s="45">
        <v>0.13820084027354188</v>
      </c>
      <c r="O7" s="72">
        <f t="shared" si="0"/>
        <v>-937.56000000002678</v>
      </c>
    </row>
    <row r="8" spans="1:26" x14ac:dyDescent="0.25">
      <c r="A8" t="s">
        <v>283</v>
      </c>
      <c r="B8" s="50" t="s">
        <v>40</v>
      </c>
      <c r="C8" t="s">
        <v>56</v>
      </c>
      <c r="D8" t="s">
        <v>38</v>
      </c>
      <c r="E8" s="90">
        <v>45118</v>
      </c>
      <c r="F8" s="49" t="s">
        <v>112</v>
      </c>
      <c r="G8">
        <v>4500</v>
      </c>
      <c r="H8" s="49">
        <v>90022.5</v>
      </c>
      <c r="I8" s="49">
        <v>20.004999999999999</v>
      </c>
      <c r="J8" s="88">
        <v>4500</v>
      </c>
      <c r="K8" s="49">
        <v>98976.06</v>
      </c>
      <c r="L8" s="49">
        <v>21.994679999999999</v>
      </c>
      <c r="M8" s="49">
        <v>8953.5599999999977</v>
      </c>
      <c r="N8" s="45">
        <v>9.9459135216195954E-2</v>
      </c>
      <c r="O8" s="72">
        <f t="shared" si="0"/>
        <v>8015.9999999999709</v>
      </c>
    </row>
    <row r="9" spans="1:26" x14ac:dyDescent="0.25">
      <c r="A9" t="s">
        <v>283</v>
      </c>
      <c r="B9" s="50" t="s">
        <v>40</v>
      </c>
      <c r="C9" t="s">
        <v>51</v>
      </c>
      <c r="D9" t="s">
        <v>38</v>
      </c>
      <c r="E9" s="90">
        <v>45217</v>
      </c>
      <c r="F9" s="49" t="s">
        <v>140</v>
      </c>
      <c r="G9">
        <v>2</v>
      </c>
      <c r="H9" s="49">
        <v>366806</v>
      </c>
      <c r="I9" s="49">
        <v>1834.03</v>
      </c>
      <c r="J9" s="88">
        <v>2</v>
      </c>
      <c r="K9" s="49">
        <v>388195.16</v>
      </c>
      <c r="L9" s="49">
        <v>1940.9757999999999</v>
      </c>
      <c r="M9" s="49">
        <v>21389.159999999974</v>
      </c>
      <c r="N9" s="45">
        <v>5.8311914199876705E-2</v>
      </c>
      <c r="O9" s="72">
        <f t="shared" si="0"/>
        <v>29405.159999999945</v>
      </c>
    </row>
    <row r="10" spans="1:26" x14ac:dyDescent="0.25">
      <c r="A10" t="s">
        <v>283</v>
      </c>
      <c r="B10" s="50" t="s">
        <v>40</v>
      </c>
      <c r="C10" t="s">
        <v>197</v>
      </c>
      <c r="D10" t="s">
        <v>38</v>
      </c>
      <c r="E10" s="90">
        <v>45266</v>
      </c>
      <c r="F10" s="49" t="s">
        <v>50</v>
      </c>
      <c r="G10">
        <v>450</v>
      </c>
      <c r="H10" s="49">
        <v>207423.95</v>
      </c>
      <c r="I10" s="49">
        <v>460.94211111111116</v>
      </c>
      <c r="J10" s="88">
        <v>450</v>
      </c>
      <c r="K10" s="49">
        <v>204912.55</v>
      </c>
      <c r="L10" s="49">
        <v>455.36122222222218</v>
      </c>
      <c r="M10" s="49">
        <v>-2511.4000000000233</v>
      </c>
      <c r="N10" s="45">
        <v>-1.2107570027472831E-2</v>
      </c>
      <c r="O10" s="72">
        <f t="shared" si="0"/>
        <v>26893.759999999922</v>
      </c>
    </row>
    <row r="11" spans="1:26" x14ac:dyDescent="0.25">
      <c r="A11" t="s">
        <v>283</v>
      </c>
      <c r="B11" s="50" t="s">
        <v>40</v>
      </c>
      <c r="C11" t="s">
        <v>51</v>
      </c>
      <c r="D11" t="s">
        <v>38</v>
      </c>
      <c r="E11" s="90">
        <v>45287</v>
      </c>
      <c r="F11" s="49" t="s">
        <v>134</v>
      </c>
      <c r="G11">
        <v>100</v>
      </c>
      <c r="H11" s="49">
        <v>389557</v>
      </c>
      <c r="I11" s="49">
        <v>3.8955700000000002</v>
      </c>
      <c r="J11" s="88">
        <v>100</v>
      </c>
      <c r="K11" s="49">
        <v>382142</v>
      </c>
      <c r="L11" s="49">
        <v>38.214199999999998</v>
      </c>
      <c r="M11" s="49">
        <v>-7415</v>
      </c>
      <c r="N11" s="45">
        <v>-1.9034441686325749E-2</v>
      </c>
      <c r="O11" s="72">
        <f t="shared" si="0"/>
        <v>19478.759999999922</v>
      </c>
    </row>
    <row r="12" spans="1:26" x14ac:dyDescent="0.25">
      <c r="A12" t="s">
        <v>283</v>
      </c>
      <c r="B12" s="50" t="s">
        <v>40</v>
      </c>
      <c r="C12" t="s">
        <v>51</v>
      </c>
      <c r="D12" t="s">
        <v>38</v>
      </c>
      <c r="E12" s="90">
        <v>45296</v>
      </c>
      <c r="F12" s="49" t="s">
        <v>140</v>
      </c>
      <c r="G12">
        <v>5</v>
      </c>
      <c r="H12" s="49">
        <v>1029272.1</v>
      </c>
      <c r="I12" s="49">
        <v>2048.02</v>
      </c>
      <c r="J12" s="88">
        <v>5</v>
      </c>
      <c r="K12" s="49">
        <v>1027307.8999999999</v>
      </c>
      <c r="L12" s="49">
        <v>2093.9757999999997</v>
      </c>
      <c r="M12" s="49">
        <v>-1964.2000000001863</v>
      </c>
      <c r="N12" s="45">
        <v>-1.9083389125190376E-3</v>
      </c>
      <c r="O12" s="72">
        <f t="shared" si="0"/>
        <v>17514.559999999736</v>
      </c>
    </row>
    <row r="13" spans="1:26" x14ac:dyDescent="0.25">
      <c r="A13" t="s">
        <v>283</v>
      </c>
      <c r="B13" s="50" t="s">
        <v>40</v>
      </c>
      <c r="C13" t="s">
        <v>70</v>
      </c>
      <c r="D13" t="s">
        <v>36</v>
      </c>
      <c r="E13" s="90">
        <v>45310</v>
      </c>
      <c r="F13" s="49" t="s">
        <v>240</v>
      </c>
      <c r="G13">
        <v>3775</v>
      </c>
      <c r="H13" s="49">
        <v>743592.92</v>
      </c>
      <c r="I13" s="49">
        <v>196.97825695364239</v>
      </c>
      <c r="J13" s="88">
        <v>3775</v>
      </c>
      <c r="K13" s="49">
        <v>753376.74</v>
      </c>
      <c r="L13" s="49">
        <v>199.56999735099336</v>
      </c>
      <c r="M13" s="49">
        <v>-9783.8199999999488</v>
      </c>
      <c r="N13" s="45">
        <v>-1.3157494829294432E-2</v>
      </c>
      <c r="O13" s="72">
        <f t="shared" si="0"/>
        <v>7730.739999999787</v>
      </c>
    </row>
    <row r="14" spans="1:26" x14ac:dyDescent="0.25">
      <c r="A14" t="s">
        <v>283</v>
      </c>
      <c r="B14" s="50" t="s">
        <v>40</v>
      </c>
      <c r="C14" t="s">
        <v>51</v>
      </c>
      <c r="D14" t="s">
        <v>36</v>
      </c>
      <c r="E14" s="90">
        <v>45349</v>
      </c>
      <c r="F14" s="49" t="s">
        <v>130</v>
      </c>
      <c r="G14">
        <v>2</v>
      </c>
      <c r="H14" s="49">
        <v>502295.5</v>
      </c>
      <c r="I14" s="49">
        <v>5022.9549999999999</v>
      </c>
      <c r="J14" s="88">
        <v>2</v>
      </c>
      <c r="K14" s="49">
        <v>508504.5</v>
      </c>
      <c r="L14" s="49">
        <v>5085.0450000000001</v>
      </c>
      <c r="M14" s="49">
        <v>-6209</v>
      </c>
      <c r="N14" s="45">
        <v>0.98684250517070604</v>
      </c>
      <c r="O14" s="72">
        <f t="shared" ref="O14:O24" si="1">M14+O13</f>
        <v>1521.739999999787</v>
      </c>
    </row>
    <row r="15" spans="1:26" x14ac:dyDescent="0.25">
      <c r="A15" t="s">
        <v>283</v>
      </c>
      <c r="B15" s="50" t="s">
        <v>40</v>
      </c>
      <c r="C15" t="s">
        <v>51</v>
      </c>
      <c r="D15" t="s">
        <v>36</v>
      </c>
      <c r="E15" s="90">
        <v>45358</v>
      </c>
      <c r="F15" s="49" t="s">
        <v>130</v>
      </c>
      <c r="G15">
        <v>3</v>
      </c>
      <c r="H15" s="49">
        <v>767829.75</v>
      </c>
      <c r="I15" s="49">
        <v>5118.8649999999998</v>
      </c>
      <c r="J15" s="88">
        <v>3</v>
      </c>
      <c r="K15" s="49">
        <v>773931.75</v>
      </c>
      <c r="L15" s="49">
        <v>5159.5450000000001</v>
      </c>
      <c r="M15" s="49">
        <v>-6102</v>
      </c>
      <c r="N15" s="45">
        <v>1.9868425051707099</v>
      </c>
      <c r="O15" s="72">
        <f t="shared" si="1"/>
        <v>-4580.260000000213</v>
      </c>
    </row>
    <row r="16" spans="1:26" x14ac:dyDescent="0.25">
      <c r="A16" t="s">
        <v>283</v>
      </c>
      <c r="B16" s="50" t="s">
        <v>40</v>
      </c>
      <c r="C16" t="s">
        <v>56</v>
      </c>
      <c r="D16" t="s">
        <v>38</v>
      </c>
      <c r="E16" s="90">
        <v>45376</v>
      </c>
      <c r="F16" s="49" t="s">
        <v>201</v>
      </c>
      <c r="G16">
        <v>1000</v>
      </c>
      <c r="H16" s="49">
        <v>114025</v>
      </c>
      <c r="I16" s="49">
        <v>114.02500000000001</v>
      </c>
      <c r="J16" s="88">
        <v>1000</v>
      </c>
      <c r="K16" s="49">
        <v>113040.49</v>
      </c>
      <c r="L16" s="49">
        <v>113.04049000000001</v>
      </c>
      <c r="M16" s="49">
        <v>-984.50999999999476</v>
      </c>
      <c r="N16" s="45">
        <v>2.9868425051707099</v>
      </c>
      <c r="O16" s="72">
        <f t="shared" si="1"/>
        <v>-5564.7700000002078</v>
      </c>
    </row>
    <row r="17" spans="1:15" x14ac:dyDescent="0.25">
      <c r="A17" t="s">
        <v>283</v>
      </c>
      <c r="B17" s="50" t="s">
        <v>40</v>
      </c>
      <c r="C17" t="s">
        <v>56</v>
      </c>
      <c r="D17" t="s">
        <v>38</v>
      </c>
      <c r="E17" s="90">
        <v>45384</v>
      </c>
      <c r="F17" s="49" t="s">
        <v>228</v>
      </c>
      <c r="G17">
        <v>3000</v>
      </c>
      <c r="H17" s="49">
        <v>110298</v>
      </c>
      <c r="I17" s="49">
        <v>36.765999999999998</v>
      </c>
      <c r="J17" s="88">
        <v>3000</v>
      </c>
      <c r="K17" s="49">
        <v>104306.42</v>
      </c>
      <c r="L17" s="49">
        <v>34.768806666666663</v>
      </c>
      <c r="M17" s="49">
        <v>-5991.5800000000017</v>
      </c>
      <c r="N17" s="45">
        <v>3.9868425051707099</v>
      </c>
      <c r="O17" s="72">
        <f t="shared" si="1"/>
        <v>-11556.35000000021</v>
      </c>
    </row>
    <row r="18" spans="1:15" x14ac:dyDescent="0.25">
      <c r="A18" t="s">
        <v>283</v>
      </c>
      <c r="B18" s="50" t="s">
        <v>40</v>
      </c>
      <c r="C18" t="s">
        <v>56</v>
      </c>
      <c r="D18" t="s">
        <v>38</v>
      </c>
      <c r="E18" s="90">
        <v>45384</v>
      </c>
      <c r="F18" s="49" t="s">
        <v>380</v>
      </c>
      <c r="G18">
        <v>1000</v>
      </c>
      <c r="H18" s="49">
        <v>150505</v>
      </c>
      <c r="I18" s="49">
        <v>150.505</v>
      </c>
      <c r="J18" s="88">
        <v>1000</v>
      </c>
      <c r="K18" s="49">
        <v>146229.01999999999</v>
      </c>
      <c r="L18" s="49">
        <v>146.22901999999999</v>
      </c>
      <c r="M18" s="49">
        <v>-4275.9800000000105</v>
      </c>
      <c r="N18" s="45">
        <v>4.9868425051707099</v>
      </c>
      <c r="O18" s="72">
        <f t="shared" si="1"/>
        <v>-15832.33000000022</v>
      </c>
    </row>
    <row r="19" spans="1:15" x14ac:dyDescent="0.25">
      <c r="A19" t="s">
        <v>283</v>
      </c>
      <c r="B19" s="50" t="s">
        <v>40</v>
      </c>
      <c r="C19" t="s">
        <v>56</v>
      </c>
      <c r="D19" t="s">
        <v>38</v>
      </c>
      <c r="E19" s="90">
        <v>45384</v>
      </c>
      <c r="F19" s="49" t="s">
        <v>385</v>
      </c>
      <c r="G19">
        <v>700</v>
      </c>
      <c r="H19" s="49">
        <v>133636.15</v>
      </c>
      <c r="I19" s="49">
        <v>190.9087857142857</v>
      </c>
      <c r="J19" s="88">
        <v>700</v>
      </c>
      <c r="K19" s="49">
        <v>129639.15</v>
      </c>
      <c r="L19" s="49">
        <v>185.19878571428572</v>
      </c>
      <c r="M19" s="49">
        <v>-3997</v>
      </c>
      <c r="N19" s="45">
        <v>5.9868425051707099</v>
      </c>
      <c r="O19" s="72">
        <f t="shared" si="1"/>
        <v>-19829.33000000022</v>
      </c>
    </row>
    <row r="20" spans="1:15" x14ac:dyDescent="0.25">
      <c r="A20" t="s">
        <v>283</v>
      </c>
      <c r="B20" s="50" t="s">
        <v>40</v>
      </c>
      <c r="C20" t="s">
        <v>51</v>
      </c>
      <c r="D20" t="s">
        <v>38</v>
      </c>
      <c r="E20" s="90">
        <v>45392</v>
      </c>
      <c r="F20" s="49" t="s">
        <v>130</v>
      </c>
      <c r="G20">
        <v>2</v>
      </c>
      <c r="H20" s="49">
        <v>522729.5</v>
      </c>
      <c r="I20" s="49">
        <v>5227.2950000000001</v>
      </c>
      <c r="J20" s="88">
        <v>2</v>
      </c>
      <c r="K20" s="49">
        <v>515219.5</v>
      </c>
      <c r="L20" s="49">
        <v>5152.1949999999997</v>
      </c>
      <c r="M20" s="49">
        <v>-7510</v>
      </c>
      <c r="N20" s="45">
        <v>6.9868425051707099</v>
      </c>
      <c r="O20" s="72">
        <f t="shared" si="1"/>
        <v>-27339.33000000022</v>
      </c>
    </row>
    <row r="21" spans="1:15" x14ac:dyDescent="0.25">
      <c r="A21" t="s">
        <v>283</v>
      </c>
      <c r="B21" s="50" t="s">
        <v>40</v>
      </c>
      <c r="C21" t="s">
        <v>51</v>
      </c>
      <c r="D21" t="s">
        <v>38</v>
      </c>
      <c r="E21" s="90">
        <v>45372</v>
      </c>
      <c r="F21" s="49" t="s">
        <v>140</v>
      </c>
      <c r="G21">
        <v>3</v>
      </c>
      <c r="H21" s="49">
        <v>654304.93999999994</v>
      </c>
      <c r="I21" s="49">
        <v>2177.7247000000002</v>
      </c>
      <c r="J21" s="88">
        <v>1</v>
      </c>
      <c r="K21" s="49">
        <v>651435.06000000006</v>
      </c>
      <c r="L21" s="49">
        <v>13028.701200000001</v>
      </c>
      <c r="M21" s="49">
        <v>-2869.8799999998882</v>
      </c>
      <c r="N21" s="45">
        <v>7.9868425051707099</v>
      </c>
      <c r="O21" s="72">
        <f t="shared" si="1"/>
        <v>-30209.210000000108</v>
      </c>
    </row>
    <row r="22" spans="1:15" x14ac:dyDescent="0.25">
      <c r="A22" t="s">
        <v>283</v>
      </c>
      <c r="B22" s="50" t="s">
        <v>40</v>
      </c>
      <c r="C22" t="s">
        <v>51</v>
      </c>
      <c r="D22" t="s">
        <v>38</v>
      </c>
      <c r="E22" s="90">
        <v>45404</v>
      </c>
      <c r="F22" s="49" t="s">
        <v>137</v>
      </c>
      <c r="G22">
        <v>4</v>
      </c>
      <c r="H22" s="49">
        <v>415923.8</v>
      </c>
      <c r="I22" s="49">
        <v>2079.6190000000001</v>
      </c>
      <c r="J22" s="88">
        <v>4</v>
      </c>
      <c r="K22" s="49">
        <v>415890.8</v>
      </c>
      <c r="L22" s="49">
        <v>2079.4539999999997</v>
      </c>
      <c r="M22" s="49">
        <v>-33</v>
      </c>
      <c r="N22" s="45">
        <v>8.9868425051707099</v>
      </c>
      <c r="O22" s="72">
        <f t="shared" si="1"/>
        <v>-30242.210000000108</v>
      </c>
    </row>
    <row r="23" spans="1:15" x14ac:dyDescent="0.25">
      <c r="A23" t="s">
        <v>283</v>
      </c>
      <c r="B23" s="50" t="s">
        <v>40</v>
      </c>
      <c r="C23" t="s">
        <v>51</v>
      </c>
      <c r="D23" t="s">
        <v>38</v>
      </c>
      <c r="E23" s="90">
        <v>45398</v>
      </c>
      <c r="F23" s="49" t="s">
        <v>130</v>
      </c>
      <c r="G23">
        <v>4</v>
      </c>
      <c r="H23" s="49">
        <v>1021000</v>
      </c>
      <c r="I23" s="49">
        <v>5105</v>
      </c>
      <c r="J23" s="88">
        <v>4</v>
      </c>
      <c r="K23" s="49">
        <v>1016882</v>
      </c>
      <c r="L23" s="49">
        <v>254.22049999999999</v>
      </c>
      <c r="M23" s="49">
        <v>-4118</v>
      </c>
      <c r="N23" s="45">
        <v>9.9868425051707099</v>
      </c>
      <c r="O23" s="72">
        <f t="shared" si="1"/>
        <v>-34360.210000000108</v>
      </c>
    </row>
    <row r="24" spans="1:15" x14ac:dyDescent="0.25">
      <c r="A24" t="s">
        <v>283</v>
      </c>
      <c r="B24" s="50" t="s">
        <v>40</v>
      </c>
      <c r="C24" t="s">
        <v>56</v>
      </c>
      <c r="D24" t="s">
        <v>38</v>
      </c>
      <c r="E24" s="90">
        <v>45405</v>
      </c>
      <c r="F24" s="49" t="s">
        <v>244</v>
      </c>
      <c r="G24">
        <v>10000</v>
      </c>
      <c r="H24" s="49">
        <v>206728.24</v>
      </c>
      <c r="I24" s="49">
        <v>20.672823999999999</v>
      </c>
      <c r="J24" s="88">
        <v>10000</v>
      </c>
      <c r="K24" s="49">
        <v>218874.94</v>
      </c>
      <c r="L24" s="49">
        <v>21.887494</v>
      </c>
      <c r="M24" s="49">
        <v>12146.700000000012</v>
      </c>
      <c r="N24" s="45">
        <v>10.986842505170699</v>
      </c>
      <c r="O24" s="72">
        <f t="shared" si="1"/>
        <v>-22213.510000000097</v>
      </c>
    </row>
  </sheetData>
  <sortState xmlns:xlrd2="http://schemas.microsoft.com/office/spreadsheetml/2017/richdata2" ref="B2:L13">
    <sortCondition ref="K1:K13"/>
  </sortState>
  <conditionalFormatting sqref="K25:K1048576">
    <cfRule type="colorScale" priority="11">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M24">
    <cfRule type="colorScale" priority="4">
      <colorScale>
        <cfvo type="min"/>
        <cfvo type="percentile" val="50"/>
        <cfvo type="max"/>
        <color rgb="FFF8696B"/>
        <color rgb="FFFFEB84"/>
        <color rgb="FF63BE7B"/>
      </colorScale>
    </cfRule>
  </conditionalFormatting>
  <conditionalFormatting sqref="N1:N24">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4">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3C33-FC3C-46BD-B69A-8FCAE9FC1041}">
  <dimension ref="A1:AF248"/>
  <sheetViews>
    <sheetView workbookViewId="0">
      <pane ySplit="1" topLeftCell="A218" activePane="bottomLeft" state="frozen"/>
      <selection pane="bottomLeft" activeCell="Q252" sqref="Q252"/>
    </sheetView>
  </sheetViews>
  <sheetFormatPr defaultRowHeight="15" x14ac:dyDescent="0.25"/>
  <cols>
    <col min="1" max="2" width="9.5703125" bestFit="1" customWidth="1"/>
    <col min="3" max="3" width="15.140625" style="50" bestFit="1" customWidth="1"/>
    <col min="4" max="4" width="13.5703125" bestFit="1" customWidth="1"/>
    <col min="5" max="5" width="16.85546875" bestFit="1" customWidth="1"/>
    <col min="6" max="6" width="12.28515625" style="57" bestFit="1" customWidth="1"/>
    <col min="7" max="7" width="11.7109375" style="49" bestFit="1" customWidth="1"/>
    <col min="8" max="8" width="17.140625" style="59" bestFit="1" customWidth="1"/>
    <col min="9" max="9" width="11.5703125" style="57" bestFit="1" customWidth="1"/>
    <col min="10" max="10" width="12.7109375" style="49" bestFit="1" customWidth="1"/>
    <col min="11" max="11" width="17.7109375" style="49" bestFit="1" customWidth="1"/>
    <col min="12" max="12" width="17" style="54" bestFit="1" customWidth="1"/>
    <col min="13" max="13" width="12.28515625" style="54" bestFit="1" customWidth="1"/>
    <col min="14" max="14" width="6.28515625" style="54" bestFit="1" customWidth="1"/>
    <col min="15" max="15" width="13.42578125" style="54" bestFit="1" customWidth="1"/>
    <col min="16" max="18" width="12.5703125" style="57" bestFit="1" customWidth="1"/>
    <col min="23" max="23" width="11.85546875" bestFit="1" customWidth="1"/>
    <col min="24" max="25" width="7.140625" style="104" bestFit="1" customWidth="1"/>
    <col min="26" max="26" width="9.42578125" bestFit="1" customWidth="1"/>
    <col min="27" max="27" width="10" bestFit="1" customWidth="1"/>
    <col min="28" max="28" width="14.28515625" bestFit="1" customWidth="1"/>
    <col min="29" max="29" width="11.7109375" bestFit="1" customWidth="1"/>
    <col min="30" max="30" width="12.28515625" bestFit="1" customWidth="1"/>
    <col min="31" max="31" width="17.28515625" bestFit="1" customWidth="1"/>
    <col min="32" max="32" width="12.28515625" bestFit="1" customWidth="1"/>
  </cols>
  <sheetData>
    <row r="1" spans="1:32"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62" t="s">
        <v>340</v>
      </c>
      <c r="Q1" s="62" t="s">
        <v>341</v>
      </c>
      <c r="R1" s="62" t="s">
        <v>342</v>
      </c>
      <c r="W1" s="46" t="s">
        <v>158</v>
      </c>
      <c r="X1" s="46" t="s">
        <v>159</v>
      </c>
      <c r="Y1" s="46" t="s">
        <v>160</v>
      </c>
      <c r="Z1" s="46" t="s">
        <v>163</v>
      </c>
      <c r="AA1" s="46" t="s">
        <v>164</v>
      </c>
      <c r="AB1" s="46" t="s">
        <v>161</v>
      </c>
      <c r="AC1" s="56" t="s">
        <v>258</v>
      </c>
      <c r="AD1" s="55" t="s">
        <v>259</v>
      </c>
      <c r="AE1" s="46" t="s">
        <v>260</v>
      </c>
      <c r="AF1" s="46" t="s">
        <v>162</v>
      </c>
    </row>
    <row r="2" spans="1:32" x14ac:dyDescent="0.25">
      <c r="A2" t="s">
        <v>283</v>
      </c>
      <c r="B2" s="50" t="s">
        <v>31</v>
      </c>
      <c r="C2" t="s">
        <v>56</v>
      </c>
      <c r="D2" t="s">
        <v>38</v>
      </c>
      <c r="E2" s="90">
        <v>44934</v>
      </c>
      <c r="F2" s="49" t="s">
        <v>236</v>
      </c>
      <c r="G2">
        <v>12500</v>
      </c>
      <c r="H2" s="49">
        <v>422187.5</v>
      </c>
      <c r="I2" s="49">
        <v>33.774999999999999</v>
      </c>
      <c r="J2" s="88">
        <v>12500</v>
      </c>
      <c r="K2" s="49">
        <v>424757.63</v>
      </c>
      <c r="L2" s="49">
        <v>33.980610400000003</v>
      </c>
      <c r="M2" s="49">
        <v>2570.1300000000047</v>
      </c>
      <c r="N2" s="45">
        <v>6.0876506291635936E-3</v>
      </c>
      <c r="O2" s="72">
        <f>M2</f>
        <v>2570.1300000000047</v>
      </c>
      <c r="P2" s="57">
        <f>M2</f>
        <v>2570.1300000000047</v>
      </c>
      <c r="Q2" s="57">
        <v>0</v>
      </c>
      <c r="W2" s="63">
        <f>COUNTA(K$2:K$1048576)</f>
        <v>247</v>
      </c>
      <c r="X2" s="103">
        <f>COUNTIF(M$2:M$1048576,"&gt;0")/W2</f>
        <v>0.40485829959514169</v>
      </c>
      <c r="Y2" s="103">
        <f>COUNTIF(M$2:M$1048576,"&lt;0")/COUNTA(M$2:M$1048576)</f>
        <v>0.59514170040485825</v>
      </c>
      <c r="Z2" s="64">
        <f>AVERAGEIF(N:N,"&gt;0")</f>
        <v>4.3262315647333807E-2</v>
      </c>
      <c r="AA2" s="64">
        <f>AVERAGEIF(N:N,"&lt;0")</f>
        <v>-4.0531310210884748E-2</v>
      </c>
      <c r="AB2" s="65">
        <f>Z2/ABS(AA2)</f>
        <v>1.0673801419751696</v>
      </c>
      <c r="AC2" s="66">
        <f>AVERAGEIF(M:M,"&gt;0")</f>
        <v>9877.7018212368439</v>
      </c>
      <c r="AD2" s="68">
        <f>AVERAGEIF(M:M,"&lt;0")</f>
        <v>-7359.7090738643055</v>
      </c>
      <c r="AE2" s="65">
        <f>AC2/ABS(AD2)</f>
        <v>1.3421321036064318</v>
      </c>
      <c r="AF2" s="67">
        <f>SUM(M:M)</f>
        <v>-94107.051734368724</v>
      </c>
    </row>
    <row r="3" spans="1:32" x14ac:dyDescent="0.25">
      <c r="A3" t="s">
        <v>283</v>
      </c>
      <c r="B3" s="50" t="s">
        <v>31</v>
      </c>
      <c r="C3" t="s">
        <v>56</v>
      </c>
      <c r="D3" t="s">
        <v>36</v>
      </c>
      <c r="E3" s="90">
        <v>45051</v>
      </c>
      <c r="F3" s="49" t="s">
        <v>79</v>
      </c>
      <c r="G3">
        <v>2666</v>
      </c>
      <c r="H3" s="49">
        <v>439890</v>
      </c>
      <c r="I3" s="49">
        <v>165</v>
      </c>
      <c r="J3" s="88">
        <v>2666</v>
      </c>
      <c r="K3" s="49">
        <v>443868.76</v>
      </c>
      <c r="L3" s="49">
        <v>166.49240810202551</v>
      </c>
      <c r="M3" s="49">
        <v>-3978.7600000000093</v>
      </c>
      <c r="N3" s="45">
        <v>9.0448975880333786E-3</v>
      </c>
      <c r="O3" s="72">
        <f>M3+O2</f>
        <v>-1408.6300000000047</v>
      </c>
      <c r="P3" s="57">
        <f>IF(C3="Equity",M3+P2,P2)</f>
        <v>-1408.6300000000047</v>
      </c>
      <c r="Q3" s="57">
        <f>IF(C3="Forex",M3+Q2,Q2)</f>
        <v>0</v>
      </c>
      <c r="R3" s="57">
        <f>IF(C3="Futures",M3+R2,R2)</f>
        <v>0</v>
      </c>
    </row>
    <row r="4" spans="1:32" x14ac:dyDescent="0.25">
      <c r="A4" t="s">
        <v>283</v>
      </c>
      <c r="B4" s="50" t="s">
        <v>31</v>
      </c>
      <c r="C4" t="s">
        <v>56</v>
      </c>
      <c r="D4" t="s">
        <v>36</v>
      </c>
      <c r="E4" s="90">
        <v>45069</v>
      </c>
      <c r="F4" s="49" t="s">
        <v>79</v>
      </c>
      <c r="G4">
        <v>350</v>
      </c>
      <c r="H4" s="49">
        <v>63172.69</v>
      </c>
      <c r="I4" s="49">
        <v>180.49340000000001</v>
      </c>
      <c r="J4" s="88">
        <v>350</v>
      </c>
      <c r="K4" s="49">
        <v>67196.75</v>
      </c>
      <c r="L4" s="49">
        <v>191.99071428571429</v>
      </c>
      <c r="M4" s="49">
        <v>-4024.0599999999977</v>
      </c>
      <c r="N4" s="45">
        <v>6.3699361227137846E-2</v>
      </c>
      <c r="O4" s="72">
        <f t="shared" ref="O4:O67" si="0">M4+O3</f>
        <v>-5432.6900000000023</v>
      </c>
      <c r="P4" s="57">
        <f t="shared" ref="P4:P67" si="1">IF(C4="Equity",M4+P3,P3)</f>
        <v>-5432.6900000000023</v>
      </c>
      <c r="Q4" s="57">
        <f t="shared" ref="Q4:Q67" si="2">IF(C4="Forex",M4+Q3,Q3)</f>
        <v>0</v>
      </c>
      <c r="R4" s="57">
        <f t="shared" ref="R4:R67" si="3">IF(C4="Futures",M4+R3,R3)</f>
        <v>0</v>
      </c>
    </row>
    <row r="5" spans="1:32" x14ac:dyDescent="0.25">
      <c r="A5" t="s">
        <v>283</v>
      </c>
      <c r="B5" s="50" t="s">
        <v>31</v>
      </c>
      <c r="C5" t="s">
        <v>51</v>
      </c>
      <c r="D5" t="s">
        <v>38</v>
      </c>
      <c r="E5" s="90">
        <v>45079</v>
      </c>
      <c r="F5" s="49" t="s">
        <v>88</v>
      </c>
      <c r="G5">
        <v>3</v>
      </c>
      <c r="H5" s="49">
        <v>463409.04</v>
      </c>
      <c r="I5" s="49">
        <v>30893.935999999998</v>
      </c>
      <c r="J5" s="88">
        <v>3</v>
      </c>
      <c r="K5" s="49">
        <v>478465.95</v>
      </c>
      <c r="L5" s="49">
        <v>31897.73</v>
      </c>
      <c r="M5" s="49">
        <v>15056.910000000033</v>
      </c>
      <c r="N5" s="45">
        <v>3.2491619067250031E-2</v>
      </c>
      <c r="O5" s="72">
        <f t="shared" si="0"/>
        <v>9624.2200000000303</v>
      </c>
      <c r="P5" s="57">
        <f t="shared" si="1"/>
        <v>-5432.6900000000023</v>
      </c>
      <c r="Q5" s="57">
        <f t="shared" si="2"/>
        <v>0</v>
      </c>
      <c r="R5" s="57">
        <f t="shared" si="3"/>
        <v>15056.910000000033</v>
      </c>
    </row>
    <row r="6" spans="1:32" x14ac:dyDescent="0.25">
      <c r="A6" t="s">
        <v>283</v>
      </c>
      <c r="B6" s="50" t="s">
        <v>31</v>
      </c>
      <c r="C6" t="s">
        <v>56</v>
      </c>
      <c r="D6" t="s">
        <v>36</v>
      </c>
      <c r="E6" s="90">
        <v>45084</v>
      </c>
      <c r="F6" s="49" t="s">
        <v>79</v>
      </c>
      <c r="G6">
        <v>580</v>
      </c>
      <c r="H6" s="49">
        <v>127408.33</v>
      </c>
      <c r="I6" s="49">
        <v>219.66953448275862</v>
      </c>
      <c r="J6" s="88">
        <v>580</v>
      </c>
      <c r="K6" s="49">
        <v>133434.78</v>
      </c>
      <c r="L6" s="49">
        <v>230.05996551724138</v>
      </c>
      <c r="M6" s="49">
        <v>-6026.4499999999971</v>
      </c>
      <c r="N6" s="45">
        <v>-4.7300282485454447E-2</v>
      </c>
      <c r="O6" s="72">
        <f t="shared" si="0"/>
        <v>3597.7700000000332</v>
      </c>
      <c r="P6" s="57">
        <f t="shared" si="1"/>
        <v>-11459.14</v>
      </c>
      <c r="Q6" s="57">
        <f t="shared" si="2"/>
        <v>0</v>
      </c>
      <c r="R6" s="57">
        <f t="shared" si="3"/>
        <v>15056.910000000033</v>
      </c>
    </row>
    <row r="7" spans="1:32" x14ac:dyDescent="0.25">
      <c r="A7" t="s">
        <v>283</v>
      </c>
      <c r="B7" s="50" t="s">
        <v>31</v>
      </c>
      <c r="C7" t="s">
        <v>35</v>
      </c>
      <c r="D7" t="s">
        <v>38</v>
      </c>
      <c r="E7" s="90">
        <v>45086</v>
      </c>
      <c r="F7" s="49" t="s">
        <v>92</v>
      </c>
      <c r="G7">
        <v>780000</v>
      </c>
      <c r="H7" s="49">
        <v>9137713.3300000001</v>
      </c>
      <c r="I7" s="49">
        <v>11.71501708974359</v>
      </c>
      <c r="J7" s="88">
        <v>780000</v>
      </c>
      <c r="K7" s="49">
        <v>9070214.6300000008</v>
      </c>
      <c r="L7" s="49">
        <v>11.628480294871796</v>
      </c>
      <c r="M7" s="49">
        <v>-6249.8796296295604</v>
      </c>
      <c r="N7" s="45">
        <v>-6.8905531837779228E-4</v>
      </c>
      <c r="O7" s="72">
        <f t="shared" si="0"/>
        <v>-2652.1096296295273</v>
      </c>
      <c r="P7" s="57">
        <f t="shared" si="1"/>
        <v>-11459.14</v>
      </c>
      <c r="Q7" s="57">
        <f t="shared" si="2"/>
        <v>-6249.8796296295604</v>
      </c>
      <c r="R7" s="57">
        <f t="shared" si="3"/>
        <v>15056.910000000033</v>
      </c>
    </row>
    <row r="8" spans="1:32" x14ac:dyDescent="0.25">
      <c r="A8" t="s">
        <v>283</v>
      </c>
      <c r="B8" s="50" t="s">
        <v>31</v>
      </c>
      <c r="C8" t="s">
        <v>51</v>
      </c>
      <c r="D8" t="s">
        <v>36</v>
      </c>
      <c r="E8" s="90">
        <v>45093</v>
      </c>
      <c r="F8" s="49" t="s">
        <v>263</v>
      </c>
      <c r="G8">
        <v>26</v>
      </c>
      <c r="H8" s="49">
        <v>573283.88</v>
      </c>
      <c r="I8" s="49">
        <v>4409.8760000000002</v>
      </c>
      <c r="J8" s="88">
        <v>26</v>
      </c>
      <c r="K8" s="49">
        <v>583066.12</v>
      </c>
      <c r="L8" s="49">
        <v>4485.1239999999998</v>
      </c>
      <c r="M8" s="49">
        <v>-9826.2399999999907</v>
      </c>
      <c r="N8" s="45">
        <v>-1.7140269145540933E-2</v>
      </c>
      <c r="O8" s="72">
        <f t="shared" si="0"/>
        <v>-12478.349629629518</v>
      </c>
      <c r="P8" s="57">
        <f t="shared" si="1"/>
        <v>-11459.14</v>
      </c>
      <c r="Q8" s="57">
        <f t="shared" si="2"/>
        <v>-6249.8796296295604</v>
      </c>
      <c r="R8" s="57">
        <f t="shared" si="3"/>
        <v>5230.6700000000419</v>
      </c>
    </row>
    <row r="9" spans="1:32" x14ac:dyDescent="0.25">
      <c r="A9" t="s">
        <v>283</v>
      </c>
      <c r="B9" s="50" t="s">
        <v>31</v>
      </c>
      <c r="C9" t="s">
        <v>35</v>
      </c>
      <c r="D9" t="s">
        <v>38</v>
      </c>
      <c r="E9" s="90">
        <v>45107</v>
      </c>
      <c r="F9" s="49" t="s">
        <v>106</v>
      </c>
      <c r="G9">
        <v>1000000</v>
      </c>
      <c r="H9" s="49">
        <v>681553.63</v>
      </c>
      <c r="I9" s="49">
        <v>0.68155363000000002</v>
      </c>
      <c r="J9" s="88">
        <v>1000000</v>
      </c>
      <c r="K9" s="49">
        <v>676070</v>
      </c>
      <c r="L9" s="49">
        <v>0.67606999999999995</v>
      </c>
      <c r="M9" s="49">
        <v>-6129</v>
      </c>
      <c r="N9" s="45">
        <v>-9.0656292987412544E-3</v>
      </c>
      <c r="O9" s="72">
        <f t="shared" si="0"/>
        <v>-18607.34962962952</v>
      </c>
      <c r="P9" s="57">
        <f t="shared" si="1"/>
        <v>-11459.14</v>
      </c>
      <c r="Q9" s="57">
        <f t="shared" si="2"/>
        <v>-12378.87962962956</v>
      </c>
      <c r="R9" s="57">
        <f t="shared" si="3"/>
        <v>5230.6700000000419</v>
      </c>
    </row>
    <row r="10" spans="1:32" x14ac:dyDescent="0.25">
      <c r="A10" t="s">
        <v>283</v>
      </c>
      <c r="B10" s="50" t="s">
        <v>31</v>
      </c>
      <c r="C10" t="s">
        <v>35</v>
      </c>
      <c r="D10" t="s">
        <v>38</v>
      </c>
      <c r="E10" s="90">
        <v>45107</v>
      </c>
      <c r="F10" s="49" t="s">
        <v>175</v>
      </c>
      <c r="G10">
        <v>700000</v>
      </c>
      <c r="H10" s="49">
        <v>76080320.640000001</v>
      </c>
      <c r="I10" s="49">
        <v>108.68617234285715</v>
      </c>
      <c r="J10" s="88">
        <v>700000</v>
      </c>
      <c r="K10" s="49">
        <v>76262900</v>
      </c>
      <c r="L10" s="49">
        <v>108.947</v>
      </c>
      <c r="M10" s="49">
        <v>1675.8548652096836</v>
      </c>
      <c r="N10" s="45">
        <v>2.1974706773669551E-5</v>
      </c>
      <c r="O10" s="72">
        <f t="shared" si="0"/>
        <v>-16931.494764419836</v>
      </c>
      <c r="P10" s="57">
        <f t="shared" si="1"/>
        <v>-11459.14</v>
      </c>
      <c r="Q10" s="57">
        <f t="shared" si="2"/>
        <v>-10703.024764419877</v>
      </c>
      <c r="R10" s="57">
        <f t="shared" si="3"/>
        <v>5230.6700000000419</v>
      </c>
    </row>
    <row r="11" spans="1:32" x14ac:dyDescent="0.25">
      <c r="A11" t="s">
        <v>283</v>
      </c>
      <c r="B11" s="50" t="s">
        <v>31</v>
      </c>
      <c r="C11" t="s">
        <v>35</v>
      </c>
      <c r="D11" t="s">
        <v>38</v>
      </c>
      <c r="E11" s="90">
        <v>45107</v>
      </c>
      <c r="F11" s="49" t="s">
        <v>127</v>
      </c>
      <c r="G11">
        <v>230000</v>
      </c>
      <c r="H11" s="49">
        <v>36524040.020000003</v>
      </c>
      <c r="I11" s="49">
        <v>158.80017400000003</v>
      </c>
      <c r="J11" s="88">
        <v>230000</v>
      </c>
      <c r="K11" s="49">
        <v>37535242.109999999</v>
      </c>
      <c r="L11" s="49">
        <v>163.19670482608694</v>
      </c>
      <c r="M11" s="49">
        <v>7163.2558909275331</v>
      </c>
      <c r="N11" s="45">
        <v>1.9084080688583398E-4</v>
      </c>
      <c r="O11" s="72">
        <f t="shared" si="0"/>
        <v>-9768.2388734923043</v>
      </c>
      <c r="P11" s="57">
        <f t="shared" si="1"/>
        <v>-11459.14</v>
      </c>
      <c r="Q11" s="57">
        <f t="shared" si="2"/>
        <v>-3539.768873492344</v>
      </c>
      <c r="R11" s="57">
        <f t="shared" si="3"/>
        <v>5230.6700000000419</v>
      </c>
    </row>
    <row r="12" spans="1:32" x14ac:dyDescent="0.25">
      <c r="A12" t="s">
        <v>283</v>
      </c>
      <c r="B12" s="50" t="s">
        <v>31</v>
      </c>
      <c r="C12" t="s">
        <v>51</v>
      </c>
      <c r="D12" t="s">
        <v>38</v>
      </c>
      <c r="E12" s="90">
        <v>45117</v>
      </c>
      <c r="F12" s="49" t="s">
        <v>88</v>
      </c>
      <c r="G12">
        <v>4</v>
      </c>
      <c r="H12" s="49">
        <v>658962.07999999996</v>
      </c>
      <c r="I12" s="49">
        <v>32948.103999999999</v>
      </c>
      <c r="J12" s="88">
        <v>4</v>
      </c>
      <c r="K12" s="49">
        <v>644987.92000000004</v>
      </c>
      <c r="L12" s="49">
        <v>32249.396000000001</v>
      </c>
      <c r="M12" s="49">
        <v>-14018.159999999916</v>
      </c>
      <c r="N12" s="45">
        <v>-2.1273090554770491E-2</v>
      </c>
      <c r="O12" s="72">
        <f t="shared" si="0"/>
        <v>-23786.39887349222</v>
      </c>
      <c r="P12" s="57">
        <f t="shared" si="1"/>
        <v>-11459.14</v>
      </c>
      <c r="Q12" s="57">
        <f t="shared" si="2"/>
        <v>-3539.768873492344</v>
      </c>
      <c r="R12" s="57">
        <f t="shared" si="3"/>
        <v>-8787.4899999998743</v>
      </c>
    </row>
    <row r="13" spans="1:32" x14ac:dyDescent="0.25">
      <c r="A13" t="s">
        <v>283</v>
      </c>
      <c r="B13" s="50" t="s">
        <v>31</v>
      </c>
      <c r="C13" t="s">
        <v>35</v>
      </c>
      <c r="D13" t="s">
        <v>38</v>
      </c>
      <c r="E13" s="90">
        <v>45118</v>
      </c>
      <c r="F13" s="49" t="s">
        <v>92</v>
      </c>
      <c r="G13">
        <v>325000</v>
      </c>
      <c r="H13" s="49">
        <v>3841547.93</v>
      </c>
      <c r="I13" s="49">
        <v>11.820147476923077</v>
      </c>
      <c r="J13" s="88">
        <v>325000</v>
      </c>
      <c r="K13" s="49">
        <v>3745369.26</v>
      </c>
      <c r="L13" s="49">
        <v>11.524213107692306</v>
      </c>
      <c r="M13" s="49">
        <v>-8947.4838287613329</v>
      </c>
      <c r="N13" s="45">
        <v>-2.3889457107258184E-3</v>
      </c>
      <c r="O13" s="72">
        <f t="shared" si="0"/>
        <v>-32733.882702253555</v>
      </c>
      <c r="P13" s="57">
        <f t="shared" si="1"/>
        <v>-11459.14</v>
      </c>
      <c r="Q13" s="57">
        <f t="shared" si="2"/>
        <v>-12487.252702253678</v>
      </c>
      <c r="R13" s="57">
        <f t="shared" si="3"/>
        <v>-8787.4899999998743</v>
      </c>
    </row>
    <row r="14" spans="1:32" x14ac:dyDescent="0.25">
      <c r="A14" t="s">
        <v>283</v>
      </c>
      <c r="B14" s="50" t="s">
        <v>31</v>
      </c>
      <c r="C14" t="s">
        <v>51</v>
      </c>
      <c r="D14" t="s">
        <v>38</v>
      </c>
      <c r="E14" s="90">
        <v>45118</v>
      </c>
      <c r="F14" s="49" t="s">
        <v>52</v>
      </c>
      <c r="G14">
        <v>3</v>
      </c>
      <c r="H14" s="49">
        <v>219607.11</v>
      </c>
      <c r="I14" s="49">
        <v>73.202370000000002</v>
      </c>
      <c r="J14" s="88">
        <v>3</v>
      </c>
      <c r="K14" s="49">
        <v>224992.89</v>
      </c>
      <c r="L14" s="49">
        <v>74.997630000000001</v>
      </c>
      <c r="M14" s="49">
        <v>5341.7800000000279</v>
      </c>
      <c r="N14" s="45">
        <v>2.4324257989643543E-2</v>
      </c>
      <c r="O14" s="72">
        <f t="shared" si="0"/>
        <v>-27392.102702253527</v>
      </c>
      <c r="P14" s="57">
        <f t="shared" si="1"/>
        <v>-11459.14</v>
      </c>
      <c r="Q14" s="57">
        <f t="shared" si="2"/>
        <v>-12487.252702253678</v>
      </c>
      <c r="R14" s="57">
        <f t="shared" si="3"/>
        <v>-3445.7099999998463</v>
      </c>
    </row>
    <row r="15" spans="1:32" x14ac:dyDescent="0.25">
      <c r="A15" t="s">
        <v>283</v>
      </c>
      <c r="B15" s="50" t="s">
        <v>31</v>
      </c>
      <c r="C15" t="s">
        <v>35</v>
      </c>
      <c r="D15" t="s">
        <v>38</v>
      </c>
      <c r="E15" s="90">
        <v>45119</v>
      </c>
      <c r="F15" s="49" t="s">
        <v>116</v>
      </c>
      <c r="G15">
        <v>1950000</v>
      </c>
      <c r="H15" s="49">
        <v>14122699.51</v>
      </c>
      <c r="I15" s="49">
        <v>7.242410005128205</v>
      </c>
      <c r="J15" s="88">
        <v>1950000</v>
      </c>
      <c r="K15" s="49">
        <v>13993281.559999999</v>
      </c>
      <c r="L15" s="49">
        <v>7.1760418256410246</v>
      </c>
      <c r="M15" s="49">
        <v>-18034.726266166992</v>
      </c>
      <c r="N15" s="45">
        <v>-9.2485775723933281E-3</v>
      </c>
      <c r="O15" s="72">
        <f t="shared" si="0"/>
        <v>-45426.828968420523</v>
      </c>
      <c r="P15" s="57">
        <f t="shared" si="1"/>
        <v>-11459.14</v>
      </c>
      <c r="Q15" s="57">
        <f t="shared" si="2"/>
        <v>-30521.97896842067</v>
      </c>
      <c r="R15" s="57">
        <f t="shared" si="3"/>
        <v>-3445.7099999998463</v>
      </c>
    </row>
    <row r="16" spans="1:32" x14ac:dyDescent="0.25">
      <c r="A16" t="s">
        <v>283</v>
      </c>
      <c r="B16" s="50" t="s">
        <v>31</v>
      </c>
      <c r="C16" t="s">
        <v>35</v>
      </c>
      <c r="D16" t="s">
        <v>38</v>
      </c>
      <c r="E16" s="90">
        <v>45119</v>
      </c>
      <c r="F16" s="49" t="s">
        <v>115</v>
      </c>
      <c r="G16">
        <v>875000</v>
      </c>
      <c r="H16" s="49">
        <v>10280454.58</v>
      </c>
      <c r="I16" s="49">
        <v>11.749090948571428</v>
      </c>
      <c r="J16" s="88">
        <v>875000</v>
      </c>
      <c r="K16" s="49">
        <v>10107352.51</v>
      </c>
      <c r="L16" s="49">
        <v>11.551260011428571</v>
      </c>
      <c r="M16" s="49">
        <v>-16632.139184110645</v>
      </c>
      <c r="N16" s="45">
        <v>-1.645548541782347E-3</v>
      </c>
      <c r="O16" s="72">
        <f t="shared" si="0"/>
        <v>-62058.968152531168</v>
      </c>
      <c r="P16" s="57">
        <f t="shared" si="1"/>
        <v>-11459.14</v>
      </c>
      <c r="Q16" s="57">
        <f t="shared" si="2"/>
        <v>-47154.118152531315</v>
      </c>
      <c r="R16" s="57">
        <f t="shared" si="3"/>
        <v>-3445.7099999998463</v>
      </c>
    </row>
    <row r="17" spans="1:18" x14ac:dyDescent="0.25">
      <c r="A17" t="s">
        <v>283</v>
      </c>
      <c r="B17" s="50" t="s">
        <v>31</v>
      </c>
      <c r="C17" t="s">
        <v>35</v>
      </c>
      <c r="D17" t="s">
        <v>38</v>
      </c>
      <c r="E17" s="90">
        <v>45119</v>
      </c>
      <c r="F17" s="49" t="s">
        <v>93</v>
      </c>
      <c r="G17">
        <v>350000</v>
      </c>
      <c r="H17" s="49">
        <v>3750573.0700000003</v>
      </c>
      <c r="I17" s="49">
        <v>10.715923057142858</v>
      </c>
      <c r="J17" s="88">
        <v>350000</v>
      </c>
      <c r="K17" s="49">
        <v>3581268.7</v>
      </c>
      <c r="L17" s="49">
        <v>10.232196285714286</v>
      </c>
      <c r="M17" s="49">
        <v>-16546.239465360428</v>
      </c>
      <c r="N17" s="45">
        <v>-4.7274969901029799E-2</v>
      </c>
      <c r="O17" s="72">
        <f t="shared" si="0"/>
        <v>-78605.207617891603</v>
      </c>
      <c r="P17" s="57">
        <f t="shared" si="1"/>
        <v>-11459.14</v>
      </c>
      <c r="Q17" s="57">
        <f t="shared" si="2"/>
        <v>-63700.357617891743</v>
      </c>
      <c r="R17" s="57">
        <f t="shared" si="3"/>
        <v>-3445.7099999998463</v>
      </c>
    </row>
    <row r="18" spans="1:18" x14ac:dyDescent="0.25">
      <c r="A18" t="s">
        <v>283</v>
      </c>
      <c r="B18" s="50" t="s">
        <v>31</v>
      </c>
      <c r="C18" t="s">
        <v>35</v>
      </c>
      <c r="D18" t="s">
        <v>38</v>
      </c>
      <c r="E18" s="90">
        <v>45119</v>
      </c>
      <c r="F18" s="49" t="s">
        <v>118</v>
      </c>
      <c r="G18">
        <v>2600000</v>
      </c>
      <c r="H18" s="49">
        <v>366257164.62</v>
      </c>
      <c r="I18" s="49">
        <v>140.86814023846154</v>
      </c>
      <c r="J18" s="88">
        <v>1200000</v>
      </c>
      <c r="K18" s="49">
        <v>364397922.27000004</v>
      </c>
      <c r="L18" s="49">
        <v>303.66493522500002</v>
      </c>
      <c r="M18" s="49">
        <v>-6122.6771165474265</v>
      </c>
      <c r="N18" s="45">
        <v>-1.6802173509680002E-5</v>
      </c>
      <c r="O18" s="72">
        <f t="shared" si="0"/>
        <v>-84727.884734439023</v>
      </c>
      <c r="P18" s="57">
        <f t="shared" si="1"/>
        <v>-11459.14</v>
      </c>
      <c r="Q18" s="57">
        <f t="shared" si="2"/>
        <v>-69823.034734439163</v>
      </c>
      <c r="R18" s="57">
        <f t="shared" si="3"/>
        <v>-3445.7099999998463</v>
      </c>
    </row>
    <row r="19" spans="1:18" x14ac:dyDescent="0.25">
      <c r="A19" t="s">
        <v>283</v>
      </c>
      <c r="B19" s="50" t="s">
        <v>31</v>
      </c>
      <c r="C19" t="s">
        <v>56</v>
      </c>
      <c r="D19" t="s">
        <v>36</v>
      </c>
      <c r="E19" s="90">
        <v>45119</v>
      </c>
      <c r="F19" s="49" t="s">
        <v>124</v>
      </c>
      <c r="G19">
        <v>8000</v>
      </c>
      <c r="H19" s="49">
        <v>231956.98</v>
      </c>
      <c r="I19" s="49">
        <v>28.994622500000002</v>
      </c>
      <c r="J19" s="88">
        <v>8000</v>
      </c>
      <c r="K19" s="49">
        <v>232039</v>
      </c>
      <c r="L19" s="49">
        <v>29.004874999999998</v>
      </c>
      <c r="M19" s="49">
        <v>-82.019999999989523</v>
      </c>
      <c r="N19" s="45">
        <v>-3.5360005118178188E-4</v>
      </c>
      <c r="O19" s="72">
        <f t="shared" si="0"/>
        <v>-84809.904734439013</v>
      </c>
      <c r="P19" s="57">
        <f t="shared" si="1"/>
        <v>-11541.159999999989</v>
      </c>
      <c r="Q19" s="57">
        <f t="shared" si="2"/>
        <v>-69823.034734439163</v>
      </c>
      <c r="R19" s="57">
        <f t="shared" si="3"/>
        <v>-3445.7099999998463</v>
      </c>
    </row>
    <row r="20" spans="1:18" x14ac:dyDescent="0.25">
      <c r="A20" t="s">
        <v>283</v>
      </c>
      <c r="B20" s="50" t="s">
        <v>31</v>
      </c>
      <c r="C20" t="s">
        <v>56</v>
      </c>
      <c r="D20" t="s">
        <v>38</v>
      </c>
      <c r="E20" s="90">
        <v>45124</v>
      </c>
      <c r="F20" s="49" t="s">
        <v>79</v>
      </c>
      <c r="G20">
        <v>205</v>
      </c>
      <c r="H20" s="49">
        <v>55348.5</v>
      </c>
      <c r="I20" s="49">
        <v>269.99268292682927</v>
      </c>
      <c r="J20" s="88">
        <v>205</v>
      </c>
      <c r="K20" s="49">
        <v>59364.92</v>
      </c>
      <c r="L20" s="49">
        <v>289.5849756097561</v>
      </c>
      <c r="M20" s="49">
        <v>-4016.4199999999983</v>
      </c>
      <c r="N20" s="45">
        <v>-7.2566013532435372E-2</v>
      </c>
      <c r="O20" s="72">
        <f t="shared" si="0"/>
        <v>-88826.324734439011</v>
      </c>
      <c r="P20" s="57">
        <f t="shared" si="1"/>
        <v>-15557.579999999987</v>
      </c>
      <c r="Q20" s="57">
        <f t="shared" si="2"/>
        <v>-69823.034734439163</v>
      </c>
      <c r="R20" s="57">
        <f t="shared" si="3"/>
        <v>-3445.7099999998463</v>
      </c>
    </row>
    <row r="21" spans="1:18" x14ac:dyDescent="0.25">
      <c r="A21" t="s">
        <v>283</v>
      </c>
      <c r="B21" s="50" t="s">
        <v>31</v>
      </c>
      <c r="C21" t="s">
        <v>51</v>
      </c>
      <c r="D21" t="s">
        <v>38</v>
      </c>
      <c r="E21" s="90">
        <v>45134</v>
      </c>
      <c r="F21" s="49" t="s">
        <v>134</v>
      </c>
      <c r="G21">
        <v>125</v>
      </c>
      <c r="H21" s="49">
        <v>475767.25</v>
      </c>
      <c r="I21" s="49">
        <v>3.8061379999999998</v>
      </c>
      <c r="J21" s="88">
        <v>125</v>
      </c>
      <c r="K21" s="49">
        <v>499928.75</v>
      </c>
      <c r="L21" s="49">
        <v>3.9994299999999998</v>
      </c>
      <c r="M21" s="49">
        <v>24117.5</v>
      </c>
      <c r="N21" s="45">
        <v>5.0691803607751482E-2</v>
      </c>
      <c r="O21" s="72">
        <f t="shared" si="0"/>
        <v>-64708.824734439011</v>
      </c>
      <c r="P21" s="57">
        <f t="shared" si="1"/>
        <v>-15557.579999999987</v>
      </c>
      <c r="Q21" s="57">
        <f t="shared" si="2"/>
        <v>-69823.034734439163</v>
      </c>
      <c r="R21" s="57">
        <f t="shared" si="3"/>
        <v>20671.790000000154</v>
      </c>
    </row>
    <row r="22" spans="1:18" x14ac:dyDescent="0.25">
      <c r="A22" t="s">
        <v>283</v>
      </c>
      <c r="B22" s="50" t="s">
        <v>31</v>
      </c>
      <c r="C22" t="s">
        <v>51</v>
      </c>
      <c r="D22" t="s">
        <v>38</v>
      </c>
      <c r="E22" s="90">
        <v>45147</v>
      </c>
      <c r="F22" s="49" t="s">
        <v>132</v>
      </c>
      <c r="G22">
        <v>50</v>
      </c>
      <c r="H22" s="49">
        <v>223025</v>
      </c>
      <c r="I22" s="49">
        <v>4460.5</v>
      </c>
      <c r="J22" s="88">
        <v>50</v>
      </c>
      <c r="K22" s="49">
        <v>210351</v>
      </c>
      <c r="L22" s="49">
        <v>4207.0200000000004</v>
      </c>
      <c r="M22" s="49">
        <v>-13774</v>
      </c>
      <c r="N22" s="45">
        <v>-6.1759892388745657E-2</v>
      </c>
      <c r="O22" s="72">
        <f t="shared" si="0"/>
        <v>-78482.824734439011</v>
      </c>
      <c r="P22" s="57">
        <f t="shared" si="1"/>
        <v>-15557.579999999987</v>
      </c>
      <c r="Q22" s="57">
        <f t="shared" si="2"/>
        <v>-69823.034734439163</v>
      </c>
      <c r="R22" s="57">
        <f t="shared" si="3"/>
        <v>6897.7900000001537</v>
      </c>
    </row>
    <row r="23" spans="1:18" x14ac:dyDescent="0.25">
      <c r="A23" t="s">
        <v>283</v>
      </c>
      <c r="B23" s="50" t="s">
        <v>31</v>
      </c>
      <c r="C23" t="s">
        <v>51</v>
      </c>
      <c r="D23" t="s">
        <v>38</v>
      </c>
      <c r="E23" s="90">
        <v>45168</v>
      </c>
      <c r="F23" s="49" t="s">
        <v>134</v>
      </c>
      <c r="G23">
        <v>175</v>
      </c>
      <c r="H23" s="49">
        <v>694936.85</v>
      </c>
      <c r="I23" s="49">
        <v>3.9710677142857138</v>
      </c>
      <c r="J23" s="88">
        <v>175</v>
      </c>
      <c r="K23" s="49">
        <v>719451.25</v>
      </c>
      <c r="L23" s="49">
        <v>4.1111499999999994</v>
      </c>
      <c r="M23" s="49">
        <v>24470.400000000023</v>
      </c>
      <c r="N23" s="45">
        <v>3.5212408149028249E-2</v>
      </c>
      <c r="O23" s="72">
        <f t="shared" si="0"/>
        <v>-54012.424734438988</v>
      </c>
      <c r="P23" s="57">
        <f t="shared" si="1"/>
        <v>-15557.579999999987</v>
      </c>
      <c r="Q23" s="57">
        <f t="shared" si="2"/>
        <v>-69823.034734439163</v>
      </c>
      <c r="R23" s="57">
        <f t="shared" si="3"/>
        <v>31368.190000000177</v>
      </c>
    </row>
    <row r="24" spans="1:18" x14ac:dyDescent="0.25">
      <c r="A24" t="s">
        <v>283</v>
      </c>
      <c r="B24" s="50" t="s">
        <v>31</v>
      </c>
      <c r="C24" t="s">
        <v>51</v>
      </c>
      <c r="D24" t="s">
        <v>38</v>
      </c>
      <c r="E24" s="90">
        <v>45171</v>
      </c>
      <c r="F24" s="49" t="s">
        <v>133</v>
      </c>
      <c r="G24">
        <v>65</v>
      </c>
      <c r="H24" s="49">
        <v>181270.05</v>
      </c>
      <c r="I24" s="49">
        <v>27887.699999999997</v>
      </c>
      <c r="J24" s="88">
        <v>65</v>
      </c>
      <c r="K24" s="49">
        <v>166018.45000000001</v>
      </c>
      <c r="L24" s="49">
        <v>25541.300000000003</v>
      </c>
      <c r="M24" s="49">
        <v>-15251.599999999977</v>
      </c>
      <c r="N24" s="45">
        <v>-8.4137451277803352E-2</v>
      </c>
      <c r="O24" s="72">
        <f t="shared" si="0"/>
        <v>-69264.024734438965</v>
      </c>
      <c r="P24" s="57">
        <f t="shared" si="1"/>
        <v>-15557.579999999987</v>
      </c>
      <c r="Q24" s="57">
        <f t="shared" si="2"/>
        <v>-69823.034734439163</v>
      </c>
      <c r="R24" s="57">
        <f t="shared" si="3"/>
        <v>16116.5900000002</v>
      </c>
    </row>
    <row r="25" spans="1:18" x14ac:dyDescent="0.25">
      <c r="A25" t="s">
        <v>283</v>
      </c>
      <c r="B25" s="50" t="s">
        <v>31</v>
      </c>
      <c r="C25" t="s">
        <v>56</v>
      </c>
      <c r="D25" t="s">
        <v>38</v>
      </c>
      <c r="E25" s="90">
        <v>45177</v>
      </c>
      <c r="F25" s="49" t="s">
        <v>202</v>
      </c>
      <c r="G25">
        <v>6900</v>
      </c>
      <c r="H25" s="49">
        <v>90750.5</v>
      </c>
      <c r="I25" s="49">
        <v>13.152246376811593</v>
      </c>
      <c r="J25" s="88">
        <v>6900</v>
      </c>
      <c r="K25" s="49">
        <v>81415</v>
      </c>
      <c r="L25" s="49">
        <v>11.799275362318841</v>
      </c>
      <c r="M25" s="49">
        <v>-9335.5</v>
      </c>
      <c r="N25" s="45">
        <v>-0.10286995663935725</v>
      </c>
      <c r="O25" s="72">
        <f t="shared" si="0"/>
        <v>-78599.524734438965</v>
      </c>
      <c r="P25" s="57">
        <f t="shared" si="1"/>
        <v>-24893.079999999987</v>
      </c>
      <c r="Q25" s="57">
        <f t="shared" si="2"/>
        <v>-69823.034734439163</v>
      </c>
      <c r="R25" s="57">
        <f t="shared" si="3"/>
        <v>16116.5900000002</v>
      </c>
    </row>
    <row r="26" spans="1:18" x14ac:dyDescent="0.25">
      <c r="A26" t="s">
        <v>283</v>
      </c>
      <c r="B26" s="50" t="s">
        <v>31</v>
      </c>
      <c r="C26" t="s">
        <v>56</v>
      </c>
      <c r="D26" t="s">
        <v>38</v>
      </c>
      <c r="E26" s="90">
        <v>45177</v>
      </c>
      <c r="F26" s="49" t="s">
        <v>200</v>
      </c>
      <c r="G26">
        <v>1730</v>
      </c>
      <c r="H26" s="49">
        <v>196379.13</v>
      </c>
      <c r="I26" s="49">
        <v>113.51394797687861</v>
      </c>
      <c r="J26" s="88">
        <v>1730</v>
      </c>
      <c r="K26" s="49">
        <v>195854.59</v>
      </c>
      <c r="L26" s="49">
        <v>113.21074566473989</v>
      </c>
      <c r="M26" s="49">
        <v>524.54000000000815</v>
      </c>
      <c r="N26" s="45">
        <v>2.6710577646412333E-3</v>
      </c>
      <c r="O26" s="72">
        <f t="shared" si="0"/>
        <v>-78074.984734438956</v>
      </c>
      <c r="P26" s="57">
        <f t="shared" si="1"/>
        <v>-24368.539999999979</v>
      </c>
      <c r="Q26" s="57">
        <f t="shared" si="2"/>
        <v>-69823.034734439163</v>
      </c>
      <c r="R26" s="57">
        <f t="shared" si="3"/>
        <v>16116.5900000002</v>
      </c>
    </row>
    <row r="27" spans="1:18" x14ac:dyDescent="0.25">
      <c r="A27" t="s">
        <v>283</v>
      </c>
      <c r="B27" s="50" t="s">
        <v>31</v>
      </c>
      <c r="C27" t="s">
        <v>56</v>
      </c>
      <c r="D27" t="s">
        <v>38</v>
      </c>
      <c r="E27" s="90">
        <v>45182</v>
      </c>
      <c r="F27" s="49" t="s">
        <v>203</v>
      </c>
      <c r="G27">
        <v>9000</v>
      </c>
      <c r="H27" s="49">
        <v>168554</v>
      </c>
      <c r="I27" s="49">
        <v>18.728222222222222</v>
      </c>
      <c r="J27" s="88">
        <v>9000</v>
      </c>
      <c r="K27" s="49">
        <v>168489.31</v>
      </c>
      <c r="L27" s="49">
        <v>18.721034444444445</v>
      </c>
      <c r="M27" s="49">
        <v>-64.690000000002328</v>
      </c>
      <c r="N27" s="45">
        <v>-3.8379391767616401E-4</v>
      </c>
      <c r="O27" s="72">
        <f t="shared" si="0"/>
        <v>-78139.674734438959</v>
      </c>
      <c r="P27" s="57">
        <f t="shared" si="1"/>
        <v>-24433.229999999981</v>
      </c>
      <c r="Q27" s="57">
        <f t="shared" si="2"/>
        <v>-69823.034734439163</v>
      </c>
      <c r="R27" s="57">
        <f t="shared" si="3"/>
        <v>16116.5900000002</v>
      </c>
    </row>
    <row r="28" spans="1:18" x14ac:dyDescent="0.25">
      <c r="A28" t="s">
        <v>283</v>
      </c>
      <c r="B28" s="50" t="s">
        <v>31</v>
      </c>
      <c r="C28" t="s">
        <v>56</v>
      </c>
      <c r="D28" t="s">
        <v>38</v>
      </c>
      <c r="E28" s="90">
        <v>45182</v>
      </c>
      <c r="F28" s="49" t="s">
        <v>50</v>
      </c>
      <c r="G28">
        <v>600</v>
      </c>
      <c r="H28" s="49">
        <v>269924.49</v>
      </c>
      <c r="I28" s="49">
        <v>449.87414999999999</v>
      </c>
      <c r="J28" s="88">
        <v>600</v>
      </c>
      <c r="K28" s="49">
        <v>271076.99</v>
      </c>
      <c r="L28" s="49">
        <v>451.79498333333333</v>
      </c>
      <c r="M28" s="49">
        <v>1152.5</v>
      </c>
      <c r="N28" s="45">
        <v>4.2697126148131615E-3</v>
      </c>
      <c r="O28" s="72">
        <f t="shared" si="0"/>
        <v>-76987.174734438959</v>
      </c>
      <c r="P28" s="57">
        <f t="shared" si="1"/>
        <v>-23280.729999999981</v>
      </c>
      <c r="Q28" s="57">
        <f t="shared" si="2"/>
        <v>-69823.034734439163</v>
      </c>
      <c r="R28" s="57">
        <f t="shared" si="3"/>
        <v>16116.5900000002</v>
      </c>
    </row>
    <row r="29" spans="1:18" x14ac:dyDescent="0.25">
      <c r="A29" t="s">
        <v>283</v>
      </c>
      <c r="B29" s="50" t="s">
        <v>31</v>
      </c>
      <c r="C29" t="s">
        <v>56</v>
      </c>
      <c r="D29" t="s">
        <v>38</v>
      </c>
      <c r="E29" s="90">
        <v>45182</v>
      </c>
      <c r="F29" s="49" t="s">
        <v>204</v>
      </c>
      <c r="G29">
        <v>2250</v>
      </c>
      <c r="H29" s="49">
        <v>109256.05</v>
      </c>
      <c r="I29" s="49">
        <v>48.558244444444448</v>
      </c>
      <c r="J29" s="88">
        <v>2250</v>
      </c>
      <c r="K29" s="49">
        <v>110908.04</v>
      </c>
      <c r="L29" s="49">
        <v>49.29246222222222</v>
      </c>
      <c r="M29" s="49">
        <v>1651.9899999999907</v>
      </c>
      <c r="N29" s="45">
        <v>1.5120352602899218E-2</v>
      </c>
      <c r="O29" s="72">
        <f t="shared" si="0"/>
        <v>-75335.184734438968</v>
      </c>
      <c r="P29" s="57">
        <f t="shared" si="1"/>
        <v>-21628.739999999991</v>
      </c>
      <c r="Q29" s="57">
        <f t="shared" si="2"/>
        <v>-69823.034734439163</v>
      </c>
      <c r="R29" s="57">
        <f t="shared" si="3"/>
        <v>16116.5900000002</v>
      </c>
    </row>
    <row r="30" spans="1:18" x14ac:dyDescent="0.25">
      <c r="A30" t="s">
        <v>283</v>
      </c>
      <c r="B30" s="50" t="s">
        <v>31</v>
      </c>
      <c r="C30" t="s">
        <v>56</v>
      </c>
      <c r="D30" t="s">
        <v>38</v>
      </c>
      <c r="E30" s="90">
        <v>45183</v>
      </c>
      <c r="F30" s="49" t="s">
        <v>205</v>
      </c>
      <c r="G30">
        <v>15000</v>
      </c>
      <c r="H30" s="49">
        <v>153075</v>
      </c>
      <c r="I30" s="49">
        <v>10.205</v>
      </c>
      <c r="J30" s="88">
        <v>15000</v>
      </c>
      <c r="K30" s="49">
        <v>152651.6</v>
      </c>
      <c r="L30" s="49">
        <v>10.176773333333333</v>
      </c>
      <c r="M30" s="49">
        <v>-423.39999999999418</v>
      </c>
      <c r="N30" s="45">
        <v>-2.7659643965376622E-3</v>
      </c>
      <c r="O30" s="72">
        <f t="shared" si="0"/>
        <v>-75758.584734438962</v>
      </c>
      <c r="P30" s="57">
        <f t="shared" si="1"/>
        <v>-22052.139999999985</v>
      </c>
      <c r="Q30" s="57">
        <f t="shared" si="2"/>
        <v>-69823.034734439163</v>
      </c>
      <c r="R30" s="57">
        <f t="shared" si="3"/>
        <v>16116.5900000002</v>
      </c>
    </row>
    <row r="31" spans="1:18" x14ac:dyDescent="0.25">
      <c r="A31" t="s">
        <v>283</v>
      </c>
      <c r="B31" s="50" t="s">
        <v>31</v>
      </c>
      <c r="C31" t="s">
        <v>56</v>
      </c>
      <c r="D31" t="s">
        <v>38</v>
      </c>
      <c r="E31" s="90">
        <v>45183</v>
      </c>
      <c r="F31" s="49" t="s">
        <v>201</v>
      </c>
      <c r="G31">
        <v>1800</v>
      </c>
      <c r="H31" s="49">
        <v>124210</v>
      </c>
      <c r="I31" s="49">
        <v>69.00555555555556</v>
      </c>
      <c r="J31" s="88">
        <v>1800</v>
      </c>
      <c r="K31" s="49">
        <v>125310.82</v>
      </c>
      <c r="L31" s="49">
        <v>69.617122222222221</v>
      </c>
      <c r="M31" s="49">
        <v>1100.820000000007</v>
      </c>
      <c r="N31" s="45">
        <v>8.8625714515738682E-3</v>
      </c>
      <c r="O31" s="72">
        <f t="shared" si="0"/>
        <v>-74657.764734438955</v>
      </c>
      <c r="P31" s="57">
        <f t="shared" si="1"/>
        <v>-20951.319999999978</v>
      </c>
      <c r="Q31" s="57">
        <f t="shared" si="2"/>
        <v>-69823.034734439163</v>
      </c>
      <c r="R31" s="57">
        <f t="shared" si="3"/>
        <v>16116.5900000002</v>
      </c>
    </row>
    <row r="32" spans="1:18" x14ac:dyDescent="0.25">
      <c r="A32" t="s">
        <v>283</v>
      </c>
      <c r="B32" s="50" t="s">
        <v>31</v>
      </c>
      <c r="C32" t="s">
        <v>56</v>
      </c>
      <c r="D32" t="s">
        <v>38</v>
      </c>
      <c r="E32" s="90">
        <v>45188</v>
      </c>
      <c r="F32" s="49" t="s">
        <v>208</v>
      </c>
      <c r="G32">
        <v>2640</v>
      </c>
      <c r="H32" s="49">
        <v>115569.57</v>
      </c>
      <c r="I32" s="49">
        <v>43.776352272727273</v>
      </c>
      <c r="J32" s="88">
        <v>2640</v>
      </c>
      <c r="K32" s="49">
        <v>109536.17</v>
      </c>
      <c r="L32" s="49">
        <v>41.490973484848482</v>
      </c>
      <c r="M32" s="49">
        <v>-6033.4000000000087</v>
      </c>
      <c r="N32" s="45">
        <v>-5.2205783927378194E-2</v>
      </c>
      <c r="O32" s="72">
        <f t="shared" si="0"/>
        <v>-80691.164734438964</v>
      </c>
      <c r="P32" s="57">
        <f t="shared" si="1"/>
        <v>-26984.719999999987</v>
      </c>
      <c r="Q32" s="57">
        <f t="shared" si="2"/>
        <v>-69823.034734439163</v>
      </c>
      <c r="R32" s="57">
        <f t="shared" si="3"/>
        <v>16116.5900000002</v>
      </c>
    </row>
    <row r="33" spans="1:18" x14ac:dyDescent="0.25">
      <c r="A33" t="s">
        <v>283</v>
      </c>
      <c r="B33" s="50" t="s">
        <v>31</v>
      </c>
      <c r="C33" t="s">
        <v>56</v>
      </c>
      <c r="D33" t="s">
        <v>36</v>
      </c>
      <c r="E33" s="90">
        <v>45188</v>
      </c>
      <c r="F33" s="49" t="s">
        <v>206</v>
      </c>
      <c r="G33">
        <v>2000</v>
      </c>
      <c r="H33" s="49">
        <v>108013.45</v>
      </c>
      <c r="I33" s="49">
        <v>54.006724999999996</v>
      </c>
      <c r="J33" s="88">
        <v>2000</v>
      </c>
      <c r="K33" s="49">
        <v>99610</v>
      </c>
      <c r="L33" s="49">
        <v>49.805</v>
      </c>
      <c r="M33" s="49">
        <v>8403.4499999999971</v>
      </c>
      <c r="N33" s="45">
        <v>-7.7800033236601493E-2</v>
      </c>
      <c r="O33" s="72">
        <f t="shared" si="0"/>
        <v>-72287.714734438967</v>
      </c>
      <c r="P33" s="57">
        <f t="shared" si="1"/>
        <v>-18581.26999999999</v>
      </c>
      <c r="Q33" s="57">
        <f t="shared" si="2"/>
        <v>-69823.034734439163</v>
      </c>
      <c r="R33" s="57">
        <f t="shared" si="3"/>
        <v>16116.5900000002</v>
      </c>
    </row>
    <row r="34" spans="1:18" x14ac:dyDescent="0.25">
      <c r="A34" t="s">
        <v>283</v>
      </c>
      <c r="B34" s="50" t="s">
        <v>31</v>
      </c>
      <c r="C34" t="s">
        <v>56</v>
      </c>
      <c r="D34" t="s">
        <v>38</v>
      </c>
      <c r="E34" s="90">
        <v>45189</v>
      </c>
      <c r="F34" s="49" t="s">
        <v>207</v>
      </c>
      <c r="G34">
        <v>2300</v>
      </c>
      <c r="H34" s="49">
        <v>111550</v>
      </c>
      <c r="I34" s="49">
        <v>48.5</v>
      </c>
      <c r="J34" s="88">
        <v>2300</v>
      </c>
      <c r="K34" s="49">
        <v>106411.72</v>
      </c>
      <c r="L34" s="49">
        <v>46.265965217391305</v>
      </c>
      <c r="M34" s="49">
        <v>-5138.2799999999988</v>
      </c>
      <c r="N34" s="45">
        <v>-4.606257283729269E-2</v>
      </c>
      <c r="O34" s="72">
        <f t="shared" si="0"/>
        <v>-77425.994734438966</v>
      </c>
      <c r="P34" s="57">
        <f t="shared" si="1"/>
        <v>-23719.549999999988</v>
      </c>
      <c r="Q34" s="57">
        <f t="shared" si="2"/>
        <v>-69823.034734439163</v>
      </c>
      <c r="R34" s="57">
        <f t="shared" si="3"/>
        <v>16116.5900000002</v>
      </c>
    </row>
    <row r="35" spans="1:18" x14ac:dyDescent="0.25">
      <c r="A35" t="s">
        <v>283</v>
      </c>
      <c r="B35" s="50" t="s">
        <v>31</v>
      </c>
      <c r="C35" t="s">
        <v>56</v>
      </c>
      <c r="D35" t="s">
        <v>38</v>
      </c>
      <c r="E35" s="90">
        <v>45189</v>
      </c>
      <c r="F35" s="49" t="s">
        <v>210</v>
      </c>
      <c r="G35">
        <v>6750</v>
      </c>
      <c r="H35" s="49">
        <v>135000</v>
      </c>
      <c r="I35" s="49">
        <v>20</v>
      </c>
      <c r="J35" s="88">
        <v>6750</v>
      </c>
      <c r="K35" s="49">
        <v>132370.07</v>
      </c>
      <c r="L35" s="49">
        <v>19.610380740740741</v>
      </c>
      <c r="M35" s="49">
        <v>-2629.929999999993</v>
      </c>
      <c r="N35" s="45">
        <v>-1.9480962962962912E-2</v>
      </c>
      <c r="O35" s="72">
        <f t="shared" si="0"/>
        <v>-80055.924734438959</v>
      </c>
      <c r="P35" s="57">
        <f t="shared" si="1"/>
        <v>-26349.479999999981</v>
      </c>
      <c r="Q35" s="57">
        <f t="shared" si="2"/>
        <v>-69823.034734439163</v>
      </c>
      <c r="R35" s="57">
        <f t="shared" si="3"/>
        <v>16116.5900000002</v>
      </c>
    </row>
    <row r="36" spans="1:18" x14ac:dyDescent="0.25">
      <c r="A36" t="s">
        <v>283</v>
      </c>
      <c r="B36" s="50" t="s">
        <v>31</v>
      </c>
      <c r="C36" t="s">
        <v>51</v>
      </c>
      <c r="D36" t="s">
        <v>38</v>
      </c>
      <c r="E36" s="90">
        <v>45189</v>
      </c>
      <c r="F36" s="49" t="s">
        <v>88</v>
      </c>
      <c r="G36">
        <v>4</v>
      </c>
      <c r="H36" s="49">
        <v>658062.07999999996</v>
      </c>
      <c r="I36" s="49">
        <v>32903.103999999999</v>
      </c>
      <c r="J36" s="88">
        <v>4</v>
      </c>
      <c r="K36" s="49">
        <v>657087.92000000004</v>
      </c>
      <c r="L36" s="49">
        <v>32854.396000000001</v>
      </c>
      <c r="M36" s="49">
        <v>-974.15999999991618</v>
      </c>
      <c r="N36" s="45">
        <v>-1.4803466566557311E-3</v>
      </c>
      <c r="O36" s="72">
        <f t="shared" si="0"/>
        <v>-81030.084734438875</v>
      </c>
      <c r="P36" s="57">
        <f t="shared" si="1"/>
        <v>-26349.479999999981</v>
      </c>
      <c r="Q36" s="57">
        <f t="shared" si="2"/>
        <v>-69823.034734439163</v>
      </c>
      <c r="R36" s="57">
        <f t="shared" si="3"/>
        <v>15142.430000000284</v>
      </c>
    </row>
    <row r="37" spans="1:18" x14ac:dyDescent="0.25">
      <c r="A37" t="s">
        <v>283</v>
      </c>
      <c r="B37" s="50" t="s">
        <v>31</v>
      </c>
      <c r="C37" t="s">
        <v>56</v>
      </c>
      <c r="D37" t="s">
        <v>38</v>
      </c>
      <c r="E37" s="90">
        <v>45190</v>
      </c>
      <c r="F37" s="49" t="s">
        <v>79</v>
      </c>
      <c r="G37">
        <v>350</v>
      </c>
      <c r="H37" s="49">
        <v>96951.75</v>
      </c>
      <c r="I37" s="49">
        <v>277.005</v>
      </c>
      <c r="J37" s="88">
        <v>350</v>
      </c>
      <c r="K37" s="49">
        <v>91263</v>
      </c>
      <c r="L37" s="49">
        <v>260.75142857142856</v>
      </c>
      <c r="M37" s="49">
        <v>-5688.75</v>
      </c>
      <c r="N37" s="45">
        <v>5.8676094036466613E-2</v>
      </c>
      <c r="O37" s="72">
        <f t="shared" si="0"/>
        <v>-86718.834734438875</v>
      </c>
      <c r="P37" s="57">
        <f t="shared" si="1"/>
        <v>-32038.229999999981</v>
      </c>
      <c r="Q37" s="57">
        <f t="shared" si="2"/>
        <v>-69823.034734439163</v>
      </c>
      <c r="R37" s="57">
        <f t="shared" si="3"/>
        <v>15142.430000000284</v>
      </c>
    </row>
    <row r="38" spans="1:18" x14ac:dyDescent="0.25">
      <c r="A38" t="s">
        <v>283</v>
      </c>
      <c r="B38" s="50" t="s">
        <v>31</v>
      </c>
      <c r="C38" t="s">
        <v>35</v>
      </c>
      <c r="D38" t="s">
        <v>38</v>
      </c>
      <c r="E38" s="90">
        <v>45190</v>
      </c>
      <c r="F38" s="49" t="s">
        <v>177</v>
      </c>
      <c r="G38">
        <v>1250000</v>
      </c>
      <c r="H38" s="49">
        <v>721264.47</v>
      </c>
      <c r="I38" s="49">
        <v>0.57701157599999997</v>
      </c>
      <c r="J38" s="88">
        <v>1250000</v>
      </c>
      <c r="K38" s="49">
        <v>724232.91</v>
      </c>
      <c r="L38" s="49">
        <v>0.57938632800000001</v>
      </c>
      <c r="M38" s="49">
        <v>3295</v>
      </c>
      <c r="N38" s="45">
        <v>2.6359999999999999E-3</v>
      </c>
      <c r="O38" s="72">
        <f t="shared" si="0"/>
        <v>-83423.834734438875</v>
      </c>
      <c r="P38" s="57">
        <f t="shared" si="1"/>
        <v>-32038.229999999981</v>
      </c>
      <c r="Q38" s="57">
        <f t="shared" si="2"/>
        <v>-66528.034734439163</v>
      </c>
      <c r="R38" s="57">
        <f t="shared" si="3"/>
        <v>15142.430000000284</v>
      </c>
    </row>
    <row r="39" spans="1:18" x14ac:dyDescent="0.25">
      <c r="A39" t="s">
        <v>283</v>
      </c>
      <c r="B39" s="50" t="s">
        <v>31</v>
      </c>
      <c r="C39" t="s">
        <v>56</v>
      </c>
      <c r="D39" t="s">
        <v>36</v>
      </c>
      <c r="E39" s="90">
        <v>45194</v>
      </c>
      <c r="F39" s="49" t="s">
        <v>211</v>
      </c>
      <c r="G39">
        <v>4000</v>
      </c>
      <c r="H39" s="49">
        <v>159778.14000000001</v>
      </c>
      <c r="I39" s="49">
        <v>39.944535000000002</v>
      </c>
      <c r="J39" s="88">
        <v>4000</v>
      </c>
      <c r="K39" s="49">
        <v>158397.24</v>
      </c>
      <c r="L39" s="49">
        <v>39.599309999999996</v>
      </c>
      <c r="M39" s="49">
        <v>1380.9000000000233</v>
      </c>
      <c r="N39" s="45">
        <v>8.6426090577848957E-3</v>
      </c>
      <c r="O39" s="72">
        <f t="shared" si="0"/>
        <v>-82042.934734438852</v>
      </c>
      <c r="P39" s="57">
        <f t="shared" si="1"/>
        <v>-30657.329999999958</v>
      </c>
      <c r="Q39" s="57">
        <f t="shared" si="2"/>
        <v>-66528.034734439163</v>
      </c>
      <c r="R39" s="57">
        <f t="shared" si="3"/>
        <v>15142.430000000284</v>
      </c>
    </row>
    <row r="40" spans="1:18" x14ac:dyDescent="0.25">
      <c r="A40" t="s">
        <v>283</v>
      </c>
      <c r="B40" s="50" t="s">
        <v>31</v>
      </c>
      <c r="C40" t="s">
        <v>56</v>
      </c>
      <c r="D40" t="s">
        <v>38</v>
      </c>
      <c r="E40" s="90">
        <v>45195</v>
      </c>
      <c r="F40" s="49" t="s">
        <v>209</v>
      </c>
      <c r="G40">
        <v>2250</v>
      </c>
      <c r="H40" s="49">
        <v>239069.64</v>
      </c>
      <c r="I40" s="49">
        <v>106.25317333333334</v>
      </c>
      <c r="J40" s="88">
        <v>2250</v>
      </c>
      <c r="K40" s="49">
        <v>239799.25</v>
      </c>
      <c r="L40" s="49">
        <v>106.57744444444444</v>
      </c>
      <c r="M40" s="49">
        <v>729.60999999998603</v>
      </c>
      <c r="N40" s="45">
        <v>3.0518722494415418E-3</v>
      </c>
      <c r="O40" s="72">
        <f t="shared" si="0"/>
        <v>-81313.324734438866</v>
      </c>
      <c r="P40" s="57">
        <f t="shared" si="1"/>
        <v>-29927.719999999972</v>
      </c>
      <c r="Q40" s="57">
        <f t="shared" si="2"/>
        <v>-66528.034734439163</v>
      </c>
      <c r="R40" s="57">
        <f t="shared" si="3"/>
        <v>15142.430000000284</v>
      </c>
    </row>
    <row r="41" spans="1:18" x14ac:dyDescent="0.25">
      <c r="A41" t="s">
        <v>283</v>
      </c>
      <c r="B41" s="50" t="s">
        <v>31</v>
      </c>
      <c r="C41" t="s">
        <v>56</v>
      </c>
      <c r="D41" t="s">
        <v>36</v>
      </c>
      <c r="E41" s="90">
        <v>45197</v>
      </c>
      <c r="F41" s="49" t="s">
        <v>119</v>
      </c>
      <c r="G41">
        <v>295</v>
      </c>
      <c r="H41" s="49">
        <v>78998.850000000006</v>
      </c>
      <c r="I41" s="49">
        <v>267.79271186440678</v>
      </c>
      <c r="J41" s="88">
        <v>295</v>
      </c>
      <c r="K41" s="49">
        <v>79551.570000000007</v>
      </c>
      <c r="L41" s="49">
        <v>269.66633898305088</v>
      </c>
      <c r="M41" s="49">
        <v>-552.72000000000116</v>
      </c>
      <c r="N41" s="45">
        <v>6.9965575448251195E-3</v>
      </c>
      <c r="O41" s="72">
        <f t="shared" si="0"/>
        <v>-81866.044734438867</v>
      </c>
      <c r="P41" s="57">
        <f t="shared" si="1"/>
        <v>-30480.439999999973</v>
      </c>
      <c r="Q41" s="57">
        <f t="shared" si="2"/>
        <v>-66528.034734439163</v>
      </c>
      <c r="R41" s="57">
        <f t="shared" si="3"/>
        <v>15142.430000000284</v>
      </c>
    </row>
    <row r="42" spans="1:18" x14ac:dyDescent="0.25">
      <c r="A42" t="s">
        <v>283</v>
      </c>
      <c r="B42" s="50" t="s">
        <v>31</v>
      </c>
      <c r="C42" t="s">
        <v>35</v>
      </c>
      <c r="D42" t="s">
        <v>36</v>
      </c>
      <c r="E42" s="90">
        <v>45198</v>
      </c>
      <c r="F42" s="49" t="s">
        <v>178</v>
      </c>
      <c r="G42">
        <v>1500000</v>
      </c>
      <c r="H42" s="49">
        <v>2136802.31</v>
      </c>
      <c r="I42" s="49">
        <v>1.4245348733333334</v>
      </c>
      <c r="J42" s="88">
        <v>1500000</v>
      </c>
      <c r="K42" s="49">
        <v>2149078.14</v>
      </c>
      <c r="L42" s="49">
        <v>1.43271876</v>
      </c>
      <c r="M42" s="49">
        <v>-9044.8315440000551</v>
      </c>
      <c r="N42" s="45">
        <v>-6.0298876960000365E-3</v>
      </c>
      <c r="O42" s="72">
        <f t="shared" si="0"/>
        <v>-90910.876278438926</v>
      </c>
      <c r="P42" s="57">
        <f t="shared" si="1"/>
        <v>-30480.439999999973</v>
      </c>
      <c r="Q42" s="57">
        <f t="shared" si="2"/>
        <v>-75572.866278439222</v>
      </c>
      <c r="R42" s="57">
        <f t="shared" si="3"/>
        <v>15142.430000000284</v>
      </c>
    </row>
    <row r="43" spans="1:18" x14ac:dyDescent="0.25">
      <c r="A43" t="s">
        <v>283</v>
      </c>
      <c r="B43" s="50" t="s">
        <v>31</v>
      </c>
      <c r="C43" t="s">
        <v>56</v>
      </c>
      <c r="D43" t="s">
        <v>38</v>
      </c>
      <c r="E43" s="90">
        <v>45198</v>
      </c>
      <c r="F43" s="49" t="s">
        <v>50</v>
      </c>
      <c r="G43">
        <v>465</v>
      </c>
      <c r="H43" s="49">
        <v>195720.83</v>
      </c>
      <c r="I43" s="49">
        <v>420.90501075268816</v>
      </c>
      <c r="J43" s="88">
        <v>465</v>
      </c>
      <c r="K43" s="49">
        <v>202278.3</v>
      </c>
      <c r="L43" s="49">
        <v>435.00709677419354</v>
      </c>
      <c r="M43" s="49">
        <v>6557.4700000000012</v>
      </c>
      <c r="N43" s="45">
        <v>3.3504200855882335E-2</v>
      </c>
      <c r="O43" s="72">
        <f t="shared" si="0"/>
        <v>-84353.406278438924</v>
      </c>
      <c r="P43" s="57">
        <f t="shared" si="1"/>
        <v>-23922.969999999972</v>
      </c>
      <c r="Q43" s="57">
        <f t="shared" si="2"/>
        <v>-75572.866278439222</v>
      </c>
      <c r="R43" s="57">
        <f t="shared" si="3"/>
        <v>15142.430000000284</v>
      </c>
    </row>
    <row r="44" spans="1:18" x14ac:dyDescent="0.25">
      <c r="A44" t="s">
        <v>283</v>
      </c>
      <c r="B44" s="50" t="s">
        <v>31</v>
      </c>
      <c r="C44" t="s">
        <v>56</v>
      </c>
      <c r="D44" t="s">
        <v>38</v>
      </c>
      <c r="E44" s="90">
        <v>45198</v>
      </c>
      <c r="F44" s="49" t="s">
        <v>173</v>
      </c>
      <c r="G44">
        <v>6000</v>
      </c>
      <c r="H44" s="49">
        <v>119141.3</v>
      </c>
      <c r="I44" s="49">
        <v>19.856883333333332</v>
      </c>
      <c r="J44" s="88">
        <v>6000</v>
      </c>
      <c r="K44" s="49">
        <v>134968.04999999999</v>
      </c>
      <c r="L44" s="49">
        <v>22.494674999999997</v>
      </c>
      <c r="M44" s="49">
        <v>15826.749999999985</v>
      </c>
      <c r="N44" s="45">
        <v>0.13284016541702989</v>
      </c>
      <c r="O44" s="72">
        <f t="shared" si="0"/>
        <v>-68526.656278438939</v>
      </c>
      <c r="P44" s="57">
        <f t="shared" si="1"/>
        <v>-8096.2199999999866</v>
      </c>
      <c r="Q44" s="57">
        <f t="shared" si="2"/>
        <v>-75572.866278439222</v>
      </c>
      <c r="R44" s="57">
        <f t="shared" si="3"/>
        <v>15142.430000000284</v>
      </c>
    </row>
    <row r="45" spans="1:18" x14ac:dyDescent="0.25">
      <c r="A45" t="s">
        <v>283</v>
      </c>
      <c r="B45" s="50" t="s">
        <v>31</v>
      </c>
      <c r="C45" t="s">
        <v>35</v>
      </c>
      <c r="D45" t="s">
        <v>38</v>
      </c>
      <c r="E45" s="90">
        <v>45198</v>
      </c>
      <c r="F45" s="49" t="s">
        <v>106</v>
      </c>
      <c r="G45">
        <v>2000000</v>
      </c>
      <c r="H45" s="49">
        <v>1324126.57</v>
      </c>
      <c r="I45" s="49">
        <v>0.662063285</v>
      </c>
      <c r="J45" s="88">
        <v>2000000</v>
      </c>
      <c r="K45" s="49">
        <v>1345645.49</v>
      </c>
      <c r="L45" s="49">
        <v>0.67282274499999994</v>
      </c>
      <c r="M45" s="49">
        <v>23502.533857579649</v>
      </c>
      <c r="N45" s="45">
        <v>1.1751266928789823E-2</v>
      </c>
      <c r="O45" s="72">
        <f t="shared" si="0"/>
        <v>-45024.12242085929</v>
      </c>
      <c r="P45" s="57">
        <f t="shared" si="1"/>
        <v>-8096.2199999999866</v>
      </c>
      <c r="Q45" s="57">
        <f t="shared" si="2"/>
        <v>-52070.332420859573</v>
      </c>
      <c r="R45" s="57">
        <f t="shared" si="3"/>
        <v>15142.430000000284</v>
      </c>
    </row>
    <row r="46" spans="1:18" x14ac:dyDescent="0.25">
      <c r="A46" t="s">
        <v>283</v>
      </c>
      <c r="B46" s="50" t="s">
        <v>31</v>
      </c>
      <c r="C46" t="s">
        <v>56</v>
      </c>
      <c r="D46" t="s">
        <v>38</v>
      </c>
      <c r="E46" s="90">
        <v>45199</v>
      </c>
      <c r="F46" s="49" t="s">
        <v>210</v>
      </c>
      <c r="G46">
        <v>5000</v>
      </c>
      <c r="H46" s="49">
        <v>93775</v>
      </c>
      <c r="I46" s="49">
        <v>18.754999999999999</v>
      </c>
      <c r="J46" s="88">
        <v>5000</v>
      </c>
      <c r="K46" s="49">
        <v>95750</v>
      </c>
      <c r="L46" s="49">
        <v>19.149999999999999</v>
      </c>
      <c r="M46" s="49">
        <v>1975</v>
      </c>
      <c r="N46" s="45">
        <v>2.1061050386563585E-2</v>
      </c>
      <c r="O46" s="72">
        <f t="shared" si="0"/>
        <v>-43049.12242085929</v>
      </c>
      <c r="P46" s="57">
        <f t="shared" si="1"/>
        <v>-6121.2199999999866</v>
      </c>
      <c r="Q46" s="57">
        <f t="shared" si="2"/>
        <v>-52070.332420859573</v>
      </c>
      <c r="R46" s="57">
        <f t="shared" si="3"/>
        <v>15142.430000000284</v>
      </c>
    </row>
    <row r="47" spans="1:18" x14ac:dyDescent="0.25">
      <c r="A47" t="s">
        <v>283</v>
      </c>
      <c r="B47" s="50" t="s">
        <v>31</v>
      </c>
      <c r="C47" t="s">
        <v>35</v>
      </c>
      <c r="D47" t="s">
        <v>38</v>
      </c>
      <c r="E47" s="90">
        <v>45201</v>
      </c>
      <c r="F47" s="49" t="s">
        <v>177</v>
      </c>
      <c r="G47">
        <v>1000000</v>
      </c>
      <c r="H47" s="49">
        <v>587400</v>
      </c>
      <c r="I47" s="49">
        <v>0.58740000000000003</v>
      </c>
      <c r="J47" s="88">
        <v>1000000</v>
      </c>
      <c r="K47" s="49">
        <v>582788.31000000006</v>
      </c>
      <c r="L47" s="49">
        <v>0.58278831000000009</v>
      </c>
      <c r="M47" s="49">
        <v>-5402.8149999999996</v>
      </c>
      <c r="N47" s="45">
        <v>-5.4028149999999992E-3</v>
      </c>
      <c r="O47" s="72">
        <f t="shared" si="0"/>
        <v>-48451.937420859293</v>
      </c>
      <c r="P47" s="57">
        <f t="shared" si="1"/>
        <v>-6121.2199999999866</v>
      </c>
      <c r="Q47" s="57">
        <f t="shared" si="2"/>
        <v>-57473.147420859576</v>
      </c>
      <c r="R47" s="57">
        <f t="shared" si="3"/>
        <v>15142.430000000284</v>
      </c>
    </row>
    <row r="48" spans="1:18" x14ac:dyDescent="0.25">
      <c r="A48" t="s">
        <v>283</v>
      </c>
      <c r="B48" s="50" t="s">
        <v>31</v>
      </c>
      <c r="C48" t="s">
        <v>35</v>
      </c>
      <c r="D48" t="s">
        <v>38</v>
      </c>
      <c r="E48" s="90">
        <v>45201</v>
      </c>
      <c r="F48" s="49" t="s">
        <v>179</v>
      </c>
      <c r="G48">
        <v>335000</v>
      </c>
      <c r="H48" s="49">
        <v>129675727.47</v>
      </c>
      <c r="I48" s="49">
        <v>387.09172379104479</v>
      </c>
      <c r="J48" s="88">
        <v>335000</v>
      </c>
      <c r="K48" s="49">
        <v>129641085.31999999</v>
      </c>
      <c r="L48" s="49">
        <v>386.98831438805968</v>
      </c>
      <c r="M48" s="49">
        <v>-88</v>
      </c>
      <c r="N48" s="45">
        <v>-6.7879715587681877E-7</v>
      </c>
      <c r="O48" s="72">
        <f t="shared" si="0"/>
        <v>-48539.937420859293</v>
      </c>
      <c r="P48" s="57">
        <f t="shared" si="1"/>
        <v>-6121.2199999999866</v>
      </c>
      <c r="Q48" s="57">
        <f t="shared" si="2"/>
        <v>-57561.147420859576</v>
      </c>
      <c r="R48" s="57">
        <f t="shared" si="3"/>
        <v>15142.430000000284</v>
      </c>
    </row>
    <row r="49" spans="1:18" x14ac:dyDescent="0.25">
      <c r="A49" t="s">
        <v>283</v>
      </c>
      <c r="B49" s="50" t="s">
        <v>31</v>
      </c>
      <c r="C49" t="s">
        <v>35</v>
      </c>
      <c r="D49" t="s">
        <v>38</v>
      </c>
      <c r="E49" s="90">
        <v>45202</v>
      </c>
      <c r="F49" s="49" t="s">
        <v>175</v>
      </c>
      <c r="G49">
        <v>1200000</v>
      </c>
      <c r="H49" s="49">
        <v>132415154.62</v>
      </c>
      <c r="I49" s="49">
        <v>110.34596218333334</v>
      </c>
      <c r="J49" s="88">
        <v>1200000</v>
      </c>
      <c r="K49" s="49">
        <v>130760196.22</v>
      </c>
      <c r="L49" s="49">
        <v>108.96683018333333</v>
      </c>
      <c r="M49" s="49">
        <v>-11107.103355704738</v>
      </c>
      <c r="N49" s="45">
        <v>-8.4942541207397543E-5</v>
      </c>
      <c r="O49" s="72">
        <f t="shared" si="0"/>
        <v>-59647.040776564027</v>
      </c>
      <c r="P49" s="57">
        <f t="shared" si="1"/>
        <v>-6121.2199999999866</v>
      </c>
      <c r="Q49" s="57">
        <f t="shared" si="2"/>
        <v>-68668.250776564309</v>
      </c>
      <c r="R49" s="57">
        <f t="shared" si="3"/>
        <v>15142.430000000284</v>
      </c>
    </row>
    <row r="50" spans="1:18" x14ac:dyDescent="0.25">
      <c r="A50" t="s">
        <v>283</v>
      </c>
      <c r="B50" s="50" t="s">
        <v>31</v>
      </c>
      <c r="C50" t="s">
        <v>35</v>
      </c>
      <c r="D50" t="s">
        <v>38</v>
      </c>
      <c r="E50" s="90">
        <v>45202</v>
      </c>
      <c r="F50" s="49" t="s">
        <v>184</v>
      </c>
      <c r="G50">
        <v>1000000</v>
      </c>
      <c r="H50" s="49">
        <v>599011.98</v>
      </c>
      <c r="I50" s="49">
        <v>0.59901198</v>
      </c>
      <c r="J50" s="88">
        <v>1000000</v>
      </c>
      <c r="K50" s="49">
        <v>589878.19999999995</v>
      </c>
      <c r="L50" s="49">
        <v>0.58987819999999991</v>
      </c>
      <c r="M50" s="49">
        <v>-9133.7800000000279</v>
      </c>
      <c r="N50" s="45">
        <v>-9.1337800000000271E-3</v>
      </c>
      <c r="O50" s="72">
        <f t="shared" si="0"/>
        <v>-68780.820776564055</v>
      </c>
      <c r="P50" s="57">
        <f t="shared" si="1"/>
        <v>-6121.2199999999866</v>
      </c>
      <c r="Q50" s="57">
        <f t="shared" si="2"/>
        <v>-77802.030776564337</v>
      </c>
      <c r="R50" s="57">
        <f t="shared" si="3"/>
        <v>15142.430000000284</v>
      </c>
    </row>
    <row r="51" spans="1:18" x14ac:dyDescent="0.25">
      <c r="A51" t="s">
        <v>283</v>
      </c>
      <c r="B51" s="50" t="s">
        <v>31</v>
      </c>
      <c r="C51" t="s">
        <v>35</v>
      </c>
      <c r="D51" t="s">
        <v>38</v>
      </c>
      <c r="E51" s="90">
        <v>45202</v>
      </c>
      <c r="F51" s="49" t="s">
        <v>183</v>
      </c>
      <c r="G51">
        <v>1000000</v>
      </c>
      <c r="H51" s="49">
        <v>89501791.459999993</v>
      </c>
      <c r="I51" s="49">
        <v>89.501791459999993</v>
      </c>
      <c r="J51" s="88">
        <v>1000000</v>
      </c>
      <c r="K51" s="49">
        <v>88267242.370000005</v>
      </c>
      <c r="L51" s="49">
        <v>88.267242370000005</v>
      </c>
      <c r="M51" s="49">
        <v>-8285.5643624160311</v>
      </c>
      <c r="N51" s="45">
        <v>-8.2855643624160299E-3</v>
      </c>
      <c r="O51" s="72">
        <f t="shared" si="0"/>
        <v>-77066.385138980084</v>
      </c>
      <c r="P51" s="57">
        <f t="shared" si="1"/>
        <v>-6121.2199999999866</v>
      </c>
      <c r="Q51" s="57">
        <f t="shared" si="2"/>
        <v>-86087.595138980367</v>
      </c>
      <c r="R51" s="57">
        <f t="shared" si="3"/>
        <v>15142.430000000284</v>
      </c>
    </row>
    <row r="52" spans="1:18" x14ac:dyDescent="0.25">
      <c r="A52" t="s">
        <v>283</v>
      </c>
      <c r="B52" s="50" t="s">
        <v>31</v>
      </c>
      <c r="C52" t="s">
        <v>56</v>
      </c>
      <c r="D52" t="s">
        <v>36</v>
      </c>
      <c r="E52" s="90">
        <v>45203</v>
      </c>
      <c r="F52" s="49" t="s">
        <v>213</v>
      </c>
      <c r="G52">
        <v>3600</v>
      </c>
      <c r="H52" s="49">
        <v>163240.17000000001</v>
      </c>
      <c r="I52" s="49">
        <v>45.34449166666667</v>
      </c>
      <c r="J52" s="88">
        <v>3600</v>
      </c>
      <c r="K52" s="49">
        <v>162404</v>
      </c>
      <c r="L52" s="49">
        <v>45.112222222222222</v>
      </c>
      <c r="M52" s="49">
        <v>836.17000000001281</v>
      </c>
      <c r="N52" s="45">
        <v>5.122329877505106E-3</v>
      </c>
      <c r="O52" s="72">
        <f t="shared" si="0"/>
        <v>-76230.215138980071</v>
      </c>
      <c r="P52" s="57">
        <f t="shared" si="1"/>
        <v>-5285.0499999999738</v>
      </c>
      <c r="Q52" s="57">
        <f t="shared" si="2"/>
        <v>-86087.595138980367</v>
      </c>
      <c r="R52" s="57">
        <f t="shared" si="3"/>
        <v>15142.430000000284</v>
      </c>
    </row>
    <row r="53" spans="1:18" x14ac:dyDescent="0.25">
      <c r="A53" t="s">
        <v>283</v>
      </c>
      <c r="B53" s="50" t="s">
        <v>31</v>
      </c>
      <c r="C53" t="s">
        <v>56</v>
      </c>
      <c r="D53" t="s">
        <v>36</v>
      </c>
      <c r="E53" s="90">
        <v>45203</v>
      </c>
      <c r="F53" s="49" t="s">
        <v>214</v>
      </c>
      <c r="G53">
        <v>2200</v>
      </c>
      <c r="H53" s="49">
        <v>161247.39000000001</v>
      </c>
      <c r="I53" s="49">
        <v>73.294268181818182</v>
      </c>
      <c r="J53" s="88">
        <v>2200</v>
      </c>
      <c r="K53" s="49">
        <v>159079.51</v>
      </c>
      <c r="L53" s="49">
        <v>72.308868181818184</v>
      </c>
      <c r="M53" s="49">
        <v>2167.8800000000047</v>
      </c>
      <c r="N53" s="45">
        <v>1.3444434666508428E-2</v>
      </c>
      <c r="O53" s="72">
        <f t="shared" si="0"/>
        <v>-74062.335138980066</v>
      </c>
      <c r="P53" s="57">
        <f t="shared" si="1"/>
        <v>-3117.1699999999691</v>
      </c>
      <c r="Q53" s="57">
        <f t="shared" si="2"/>
        <v>-86087.595138980367</v>
      </c>
      <c r="R53" s="57">
        <f t="shared" si="3"/>
        <v>15142.430000000284</v>
      </c>
    </row>
    <row r="54" spans="1:18" x14ac:dyDescent="0.25">
      <c r="A54" t="s">
        <v>283</v>
      </c>
      <c r="B54" s="50" t="s">
        <v>31</v>
      </c>
      <c r="C54" t="s">
        <v>56</v>
      </c>
      <c r="D54" t="s">
        <v>36</v>
      </c>
      <c r="E54" s="90">
        <v>45203</v>
      </c>
      <c r="F54" s="49" t="s">
        <v>212</v>
      </c>
      <c r="G54">
        <v>4400</v>
      </c>
      <c r="H54" s="49">
        <v>133111.14000000001</v>
      </c>
      <c r="I54" s="49">
        <v>30.252531818181822</v>
      </c>
      <c r="J54" s="88">
        <v>4400</v>
      </c>
      <c r="K54" s="49">
        <v>126492.72</v>
      </c>
      <c r="L54" s="49">
        <v>28.748345454545454</v>
      </c>
      <c r="M54" s="49">
        <v>6618.4200000000128</v>
      </c>
      <c r="N54" s="45">
        <v>4.9721007573070235E-2</v>
      </c>
      <c r="O54" s="72">
        <f t="shared" si="0"/>
        <v>-67443.915138980054</v>
      </c>
      <c r="P54" s="57">
        <f t="shared" si="1"/>
        <v>3501.2500000000437</v>
      </c>
      <c r="Q54" s="57">
        <f t="shared" si="2"/>
        <v>-86087.595138980367</v>
      </c>
      <c r="R54" s="57">
        <f t="shared" si="3"/>
        <v>15142.430000000284</v>
      </c>
    </row>
    <row r="55" spans="1:18" x14ac:dyDescent="0.25">
      <c r="A55" t="s">
        <v>283</v>
      </c>
      <c r="B55" s="50" t="s">
        <v>31</v>
      </c>
      <c r="C55" t="s">
        <v>51</v>
      </c>
      <c r="D55" t="s">
        <v>38</v>
      </c>
      <c r="E55" s="90">
        <v>45204</v>
      </c>
      <c r="F55" s="49" t="s">
        <v>95</v>
      </c>
      <c r="G55">
        <v>18</v>
      </c>
      <c r="H55" s="49">
        <v>1890579.96</v>
      </c>
      <c r="I55" s="49">
        <v>105.03222</v>
      </c>
      <c r="J55" s="88">
        <v>18</v>
      </c>
      <c r="K55" s="49">
        <v>1914320.04</v>
      </c>
      <c r="L55" s="49">
        <v>106.35111333333333</v>
      </c>
      <c r="M55" s="49">
        <v>23740.080000000075</v>
      </c>
      <c r="N55" s="45">
        <v>1.2557035672799617E-2</v>
      </c>
      <c r="O55" s="72">
        <f t="shared" si="0"/>
        <v>-43703.835138979979</v>
      </c>
      <c r="P55" s="57">
        <f t="shared" si="1"/>
        <v>3501.2500000000437</v>
      </c>
      <c r="Q55" s="57">
        <f t="shared" si="2"/>
        <v>-86087.595138980367</v>
      </c>
      <c r="R55" s="57">
        <f t="shared" si="3"/>
        <v>38882.510000000359</v>
      </c>
    </row>
    <row r="56" spans="1:18" x14ac:dyDescent="0.25">
      <c r="A56" t="s">
        <v>283</v>
      </c>
      <c r="B56" s="50" t="s">
        <v>31</v>
      </c>
      <c r="C56" t="s">
        <v>35</v>
      </c>
      <c r="D56" t="s">
        <v>38</v>
      </c>
      <c r="E56" s="90">
        <v>45205</v>
      </c>
      <c r="F56" s="49" t="s">
        <v>181</v>
      </c>
      <c r="G56">
        <v>900000</v>
      </c>
      <c r="H56" s="49">
        <v>3969979.9800000004</v>
      </c>
      <c r="I56" s="49">
        <v>4.4110888666666668</v>
      </c>
      <c r="J56" s="88">
        <v>900000</v>
      </c>
      <c r="K56" s="49">
        <v>3902142.41</v>
      </c>
      <c r="L56" s="49">
        <v>4.3357137888888895</v>
      </c>
      <c r="M56" s="49">
        <v>-15626</v>
      </c>
      <c r="N56" s="45">
        <v>-4.0044668692652864E-3</v>
      </c>
      <c r="O56" s="72">
        <f t="shared" si="0"/>
        <v>-59329.835138979979</v>
      </c>
      <c r="P56" s="57">
        <f t="shared" si="1"/>
        <v>3501.2500000000437</v>
      </c>
      <c r="Q56" s="57">
        <f t="shared" si="2"/>
        <v>-101713.59513898037</v>
      </c>
      <c r="R56" s="57">
        <f t="shared" si="3"/>
        <v>38882.510000000359</v>
      </c>
    </row>
    <row r="57" spans="1:18" x14ac:dyDescent="0.25">
      <c r="A57" t="s">
        <v>283</v>
      </c>
      <c r="B57" s="50" t="s">
        <v>31</v>
      </c>
      <c r="C57" t="s">
        <v>56</v>
      </c>
      <c r="D57" t="s">
        <v>38</v>
      </c>
      <c r="E57" s="90">
        <v>45209</v>
      </c>
      <c r="F57" s="49" t="s">
        <v>203</v>
      </c>
      <c r="G57">
        <v>9000</v>
      </c>
      <c r="H57" s="49">
        <v>130427.72</v>
      </c>
      <c r="I57" s="49">
        <v>14.49196888888889</v>
      </c>
      <c r="J57" s="88">
        <v>9000</v>
      </c>
      <c r="K57" s="49">
        <v>143952.54</v>
      </c>
      <c r="L57" s="49">
        <v>15.994726666666667</v>
      </c>
      <c r="M57" s="49">
        <v>13524.820000000007</v>
      </c>
      <c r="N57" s="45">
        <v>0.10369590145407745</v>
      </c>
      <c r="O57" s="72">
        <f t="shared" si="0"/>
        <v>-45805.015138979972</v>
      </c>
      <c r="P57" s="57">
        <f t="shared" si="1"/>
        <v>17026.070000000051</v>
      </c>
      <c r="Q57" s="57">
        <f t="shared" si="2"/>
        <v>-101713.59513898037</v>
      </c>
      <c r="R57" s="57">
        <f t="shared" si="3"/>
        <v>38882.510000000359</v>
      </c>
    </row>
    <row r="58" spans="1:18" x14ac:dyDescent="0.25">
      <c r="A58" t="s">
        <v>283</v>
      </c>
      <c r="B58" s="50" t="s">
        <v>31</v>
      </c>
      <c r="C58" t="s">
        <v>35</v>
      </c>
      <c r="D58" t="s">
        <v>36</v>
      </c>
      <c r="E58" s="90">
        <v>45211</v>
      </c>
      <c r="F58" s="49" t="s">
        <v>185</v>
      </c>
      <c r="G58">
        <v>8500000</v>
      </c>
      <c r="H58" s="49">
        <v>69520660.920000002</v>
      </c>
      <c r="I58" s="49">
        <v>8.1789012847058817</v>
      </c>
      <c r="J58" s="88">
        <v>8500000</v>
      </c>
      <c r="K58" s="49">
        <v>70445959.920000002</v>
      </c>
      <c r="L58" s="49">
        <v>8.2877599905882349</v>
      </c>
      <c r="M58" s="49">
        <v>-6195</v>
      </c>
      <c r="N58" s="45">
        <v>-7.2882352941176472E-4</v>
      </c>
      <c r="O58" s="72">
        <f t="shared" si="0"/>
        <v>-52000.015138979972</v>
      </c>
      <c r="P58" s="57">
        <f t="shared" si="1"/>
        <v>17026.070000000051</v>
      </c>
      <c r="Q58" s="57">
        <f t="shared" si="2"/>
        <v>-107908.59513898037</v>
      </c>
      <c r="R58" s="57">
        <f t="shared" si="3"/>
        <v>38882.510000000359</v>
      </c>
    </row>
    <row r="59" spans="1:18" x14ac:dyDescent="0.25">
      <c r="A59" t="s">
        <v>283</v>
      </c>
      <c r="B59" s="50" t="s">
        <v>31</v>
      </c>
      <c r="C59" t="s">
        <v>35</v>
      </c>
      <c r="D59" t="s">
        <v>38</v>
      </c>
      <c r="E59" s="90">
        <v>45211</v>
      </c>
      <c r="F59" s="49" t="s">
        <v>176</v>
      </c>
      <c r="G59">
        <v>1340000</v>
      </c>
      <c r="H59" s="49">
        <v>1815180.8599999999</v>
      </c>
      <c r="I59" s="49">
        <v>1.354612582089552</v>
      </c>
      <c r="J59" s="88">
        <v>1340000</v>
      </c>
      <c r="K59" s="49">
        <v>1828572.6600000001</v>
      </c>
      <c r="L59" s="49">
        <v>1.3646064626865673</v>
      </c>
      <c r="M59" s="49">
        <v>3311.4</v>
      </c>
      <c r="N59" s="45">
        <v>1.8109206554581211E-3</v>
      </c>
      <c r="O59" s="72">
        <f t="shared" si="0"/>
        <v>-48688.615138979971</v>
      </c>
      <c r="P59" s="57">
        <f t="shared" si="1"/>
        <v>17026.070000000051</v>
      </c>
      <c r="Q59" s="57">
        <f t="shared" si="2"/>
        <v>-104597.19513898037</v>
      </c>
      <c r="R59" s="57">
        <f t="shared" si="3"/>
        <v>38882.510000000359</v>
      </c>
    </row>
    <row r="60" spans="1:18" x14ac:dyDescent="0.25">
      <c r="A60" t="s">
        <v>283</v>
      </c>
      <c r="B60" s="50" t="s">
        <v>31</v>
      </c>
      <c r="C60" t="s">
        <v>56</v>
      </c>
      <c r="D60" t="s">
        <v>38</v>
      </c>
      <c r="E60" s="90">
        <v>45211</v>
      </c>
      <c r="F60" s="49" t="s">
        <v>215</v>
      </c>
      <c r="G60">
        <v>4000</v>
      </c>
      <c r="H60" s="49">
        <v>73420</v>
      </c>
      <c r="I60" s="49">
        <v>18.355</v>
      </c>
      <c r="J60" s="88">
        <v>4000</v>
      </c>
      <c r="K60" s="49">
        <v>82699.75</v>
      </c>
      <c r="L60" s="49">
        <v>20.674937499999999</v>
      </c>
      <c r="M60" s="49">
        <v>9279.75</v>
      </c>
      <c r="N60" s="45">
        <v>0.12639267229637702</v>
      </c>
      <c r="O60" s="72">
        <f t="shared" si="0"/>
        <v>-39408.865138979971</v>
      </c>
      <c r="P60" s="57">
        <f t="shared" si="1"/>
        <v>26305.820000000051</v>
      </c>
      <c r="Q60" s="57">
        <f t="shared" si="2"/>
        <v>-104597.19513898037</v>
      </c>
      <c r="R60" s="57">
        <f t="shared" si="3"/>
        <v>38882.510000000359</v>
      </c>
    </row>
    <row r="61" spans="1:18" x14ac:dyDescent="0.25">
      <c r="A61" t="s">
        <v>283</v>
      </c>
      <c r="B61" s="50" t="s">
        <v>31</v>
      </c>
      <c r="C61" t="s">
        <v>56</v>
      </c>
      <c r="D61" t="s">
        <v>38</v>
      </c>
      <c r="E61" s="90">
        <v>45211</v>
      </c>
      <c r="F61" s="49" t="s">
        <v>216</v>
      </c>
      <c r="G61">
        <v>3333</v>
      </c>
      <c r="H61" s="49">
        <v>127337.26</v>
      </c>
      <c r="I61" s="49">
        <v>38.204998499849985</v>
      </c>
      <c r="J61" s="88">
        <v>3333</v>
      </c>
      <c r="K61" s="49">
        <v>140663.76</v>
      </c>
      <c r="L61" s="49">
        <v>42.203348334833485</v>
      </c>
      <c r="M61" s="49">
        <v>13326.500000000015</v>
      </c>
      <c r="N61" s="45">
        <v>0.10465514963962641</v>
      </c>
      <c r="O61" s="72">
        <f t="shared" si="0"/>
        <v>-26082.365138979956</v>
      </c>
      <c r="P61" s="57">
        <f t="shared" si="1"/>
        <v>39632.320000000065</v>
      </c>
      <c r="Q61" s="57">
        <f t="shared" si="2"/>
        <v>-104597.19513898037</v>
      </c>
      <c r="R61" s="57">
        <f t="shared" si="3"/>
        <v>38882.510000000359</v>
      </c>
    </row>
    <row r="62" spans="1:18" x14ac:dyDescent="0.25">
      <c r="A62" t="s">
        <v>283</v>
      </c>
      <c r="B62" s="50" t="s">
        <v>31</v>
      </c>
      <c r="C62" t="s">
        <v>56</v>
      </c>
      <c r="D62" t="s">
        <v>38</v>
      </c>
      <c r="E62" s="90">
        <v>45215</v>
      </c>
      <c r="F62" s="49" t="s">
        <v>217</v>
      </c>
      <c r="G62">
        <v>1500</v>
      </c>
      <c r="H62" s="49">
        <v>270007.5</v>
      </c>
      <c r="I62" s="49">
        <v>180.005</v>
      </c>
      <c r="J62" s="88">
        <v>1500</v>
      </c>
      <c r="K62" s="49">
        <v>278922.81</v>
      </c>
      <c r="L62" s="49">
        <v>185.94854000000001</v>
      </c>
      <c r="M62" s="49">
        <v>8915.3099999999977</v>
      </c>
      <c r="N62" s="45">
        <v>3.3018749479181125E-2</v>
      </c>
      <c r="O62" s="72">
        <f t="shared" si="0"/>
        <v>-17167.055138979958</v>
      </c>
      <c r="P62" s="57">
        <f t="shared" si="1"/>
        <v>48547.630000000063</v>
      </c>
      <c r="Q62" s="57">
        <f t="shared" si="2"/>
        <v>-104597.19513898037</v>
      </c>
      <c r="R62" s="57">
        <f t="shared" si="3"/>
        <v>38882.510000000359</v>
      </c>
    </row>
    <row r="63" spans="1:18" x14ac:dyDescent="0.25">
      <c r="A63" t="s">
        <v>283</v>
      </c>
      <c r="B63" s="50" t="s">
        <v>31</v>
      </c>
      <c r="C63" t="s">
        <v>56</v>
      </c>
      <c r="D63" t="s">
        <v>38</v>
      </c>
      <c r="E63" s="90">
        <v>45217</v>
      </c>
      <c r="F63" s="49" t="s">
        <v>219</v>
      </c>
      <c r="G63">
        <v>3000</v>
      </c>
      <c r="H63" s="49">
        <v>116115</v>
      </c>
      <c r="I63" s="49">
        <v>38.704999999999998</v>
      </c>
      <c r="J63" s="88">
        <v>3000</v>
      </c>
      <c r="K63" s="49">
        <v>113922.64</v>
      </c>
      <c r="L63" s="49">
        <v>37.974213333333331</v>
      </c>
      <c r="M63" s="49">
        <v>-2192.3600000000006</v>
      </c>
      <c r="N63" s="45">
        <v>-1.8880937002109983E-2</v>
      </c>
      <c r="O63" s="72">
        <f t="shared" si="0"/>
        <v>-19359.415138979959</v>
      </c>
      <c r="P63" s="57">
        <f t="shared" si="1"/>
        <v>46355.270000000062</v>
      </c>
      <c r="Q63" s="57">
        <f t="shared" si="2"/>
        <v>-104597.19513898037</v>
      </c>
      <c r="R63" s="57">
        <f t="shared" si="3"/>
        <v>38882.510000000359</v>
      </c>
    </row>
    <row r="64" spans="1:18" x14ac:dyDescent="0.25">
      <c r="A64" t="s">
        <v>283</v>
      </c>
      <c r="B64" s="50" t="s">
        <v>31</v>
      </c>
      <c r="C64" t="s">
        <v>51</v>
      </c>
      <c r="D64" t="s">
        <v>38</v>
      </c>
      <c r="E64" s="90">
        <v>45219</v>
      </c>
      <c r="F64" s="49" t="s">
        <v>87</v>
      </c>
      <c r="G64">
        <v>5</v>
      </c>
      <c r="H64" s="49">
        <v>172011.85</v>
      </c>
      <c r="I64" s="49">
        <v>3.4402370000000002</v>
      </c>
      <c r="J64" s="88">
        <v>5</v>
      </c>
      <c r="K64" s="49">
        <v>163038.15</v>
      </c>
      <c r="L64" s="49">
        <v>0</v>
      </c>
      <c r="M64" s="49">
        <v>-8973.7000000000116</v>
      </c>
      <c r="N64" s="45">
        <v>-5.2169080211625023E-2</v>
      </c>
      <c r="O64" s="72">
        <f t="shared" si="0"/>
        <v>-28333.115138979971</v>
      </c>
      <c r="P64" s="57">
        <f t="shared" si="1"/>
        <v>46355.270000000062</v>
      </c>
      <c r="Q64" s="57">
        <f t="shared" si="2"/>
        <v>-104597.19513898037</v>
      </c>
      <c r="R64" s="57">
        <f t="shared" si="3"/>
        <v>29908.810000000347</v>
      </c>
    </row>
    <row r="65" spans="1:18" x14ac:dyDescent="0.25">
      <c r="A65" t="s">
        <v>283</v>
      </c>
      <c r="B65" s="50" t="s">
        <v>31</v>
      </c>
      <c r="C65" t="s">
        <v>56</v>
      </c>
      <c r="D65" t="s">
        <v>36</v>
      </c>
      <c r="E65" s="90">
        <v>45219</v>
      </c>
      <c r="F65" s="49" t="s">
        <v>206</v>
      </c>
      <c r="G65">
        <v>2500</v>
      </c>
      <c r="H65" s="49">
        <v>110250</v>
      </c>
      <c r="I65" s="49">
        <v>44.1</v>
      </c>
      <c r="J65" s="88">
        <v>2500</v>
      </c>
      <c r="K65" s="49">
        <v>110838.97</v>
      </c>
      <c r="L65" s="49">
        <v>44.335588000000001</v>
      </c>
      <c r="M65" s="49">
        <v>-588.97000000000116</v>
      </c>
      <c r="N65" s="45">
        <v>-5.3421315192743873E-3</v>
      </c>
      <c r="O65" s="72">
        <f t="shared" si="0"/>
        <v>-28922.085138979972</v>
      </c>
      <c r="P65" s="57">
        <f t="shared" si="1"/>
        <v>45766.300000000061</v>
      </c>
      <c r="Q65" s="57">
        <f t="shared" si="2"/>
        <v>-104597.19513898037</v>
      </c>
      <c r="R65" s="57">
        <f t="shared" si="3"/>
        <v>29908.810000000347</v>
      </c>
    </row>
    <row r="66" spans="1:18" x14ac:dyDescent="0.25">
      <c r="A66" t="s">
        <v>283</v>
      </c>
      <c r="B66" s="50" t="s">
        <v>31</v>
      </c>
      <c r="C66" t="s">
        <v>56</v>
      </c>
      <c r="D66" t="s">
        <v>38</v>
      </c>
      <c r="E66" s="90">
        <v>45219</v>
      </c>
      <c r="F66" s="49" t="s">
        <v>218</v>
      </c>
      <c r="G66">
        <v>10000</v>
      </c>
      <c r="H66" s="49">
        <v>674050</v>
      </c>
      <c r="I66" s="49">
        <v>67.405000000000001</v>
      </c>
      <c r="J66" s="88">
        <v>10000</v>
      </c>
      <c r="K66" s="49">
        <v>676750</v>
      </c>
      <c r="L66" s="49">
        <v>67.674999999999997</v>
      </c>
      <c r="M66" s="49">
        <v>2700</v>
      </c>
      <c r="N66" s="45">
        <v>4.0056375639789333E-3</v>
      </c>
      <c r="O66" s="72">
        <f t="shared" si="0"/>
        <v>-26222.085138979972</v>
      </c>
      <c r="P66" s="57">
        <f t="shared" si="1"/>
        <v>48466.300000000061</v>
      </c>
      <c r="Q66" s="57">
        <f t="shared" si="2"/>
        <v>-104597.19513898037</v>
      </c>
      <c r="R66" s="57">
        <f t="shared" si="3"/>
        <v>29908.810000000347</v>
      </c>
    </row>
    <row r="67" spans="1:18" x14ac:dyDescent="0.25">
      <c r="A67" t="s">
        <v>283</v>
      </c>
      <c r="B67" s="50" t="s">
        <v>31</v>
      </c>
      <c r="C67" t="s">
        <v>35</v>
      </c>
      <c r="D67" t="s">
        <v>38</v>
      </c>
      <c r="E67" s="90">
        <v>45219</v>
      </c>
      <c r="F67" s="49" t="s">
        <v>180</v>
      </c>
      <c r="G67">
        <v>1000000</v>
      </c>
      <c r="H67" s="49">
        <v>23113664.699999999</v>
      </c>
      <c r="I67" s="49">
        <v>23.113664699999998</v>
      </c>
      <c r="J67" s="88">
        <v>1000000</v>
      </c>
      <c r="K67" s="49">
        <v>23222138.140000001</v>
      </c>
      <c r="L67" s="49">
        <v>23.222138140000002</v>
      </c>
      <c r="M67" s="49">
        <v>4671.1219848079554</v>
      </c>
      <c r="N67" s="45">
        <v>2.0114952191942973E-4</v>
      </c>
      <c r="O67" s="72">
        <f t="shared" si="0"/>
        <v>-21550.963154172015</v>
      </c>
      <c r="P67" s="57">
        <f t="shared" si="1"/>
        <v>48466.300000000061</v>
      </c>
      <c r="Q67" s="57">
        <f t="shared" si="2"/>
        <v>-99926.073154172424</v>
      </c>
      <c r="R67" s="57">
        <f t="shared" si="3"/>
        <v>29908.810000000347</v>
      </c>
    </row>
    <row r="68" spans="1:18" x14ac:dyDescent="0.25">
      <c r="A68" t="s">
        <v>283</v>
      </c>
      <c r="B68" s="50" t="s">
        <v>31</v>
      </c>
      <c r="C68" t="s">
        <v>56</v>
      </c>
      <c r="D68" t="s">
        <v>36</v>
      </c>
      <c r="E68" s="90">
        <v>45219</v>
      </c>
      <c r="F68" s="49" t="s">
        <v>212</v>
      </c>
      <c r="G68">
        <v>6000</v>
      </c>
      <c r="H68" s="49">
        <v>170033.21</v>
      </c>
      <c r="I68" s="49">
        <v>28.33886833333333</v>
      </c>
      <c r="J68" s="88">
        <v>6000</v>
      </c>
      <c r="K68" s="49">
        <v>164851.65</v>
      </c>
      <c r="L68" s="49">
        <v>27.475275</v>
      </c>
      <c r="M68" s="49">
        <v>5181.5599999999977</v>
      </c>
      <c r="N68" s="45">
        <v>3.0473811557165789E-2</v>
      </c>
      <c r="O68" s="72">
        <f t="shared" ref="O68:O131" si="4">M68+O67</f>
        <v>-16369.403154172018</v>
      </c>
      <c r="P68" s="57">
        <f t="shared" ref="P68:P131" si="5">IF(C68="Equity",M68+P67,P67)</f>
        <v>53647.860000000059</v>
      </c>
      <c r="Q68" s="57">
        <f t="shared" ref="Q68:Q131" si="6">IF(C68="Forex",M68+Q67,Q67)</f>
        <v>-99926.073154172424</v>
      </c>
      <c r="R68" s="57">
        <f t="shared" ref="R68:R131" si="7">IF(C68="Futures",M68+R67,R67)</f>
        <v>29908.810000000347</v>
      </c>
    </row>
    <row r="69" spans="1:18" x14ac:dyDescent="0.25">
      <c r="A69" t="s">
        <v>283</v>
      </c>
      <c r="B69" s="50" t="s">
        <v>31</v>
      </c>
      <c r="C69" t="s">
        <v>51</v>
      </c>
      <c r="D69" t="s">
        <v>36</v>
      </c>
      <c r="E69" s="90">
        <v>45219</v>
      </c>
      <c r="F69" s="49" t="s">
        <v>138</v>
      </c>
      <c r="G69">
        <v>1</v>
      </c>
      <c r="H69" s="49">
        <v>301850</v>
      </c>
      <c r="I69" s="49">
        <v>15092.5</v>
      </c>
      <c r="J69" s="88">
        <v>1</v>
      </c>
      <c r="K69" s="49">
        <v>295340</v>
      </c>
      <c r="L69" s="49">
        <v>0</v>
      </c>
      <c r="M69" s="49">
        <v>6510</v>
      </c>
      <c r="N69" s="45">
        <v>2.1567003478548948E-2</v>
      </c>
      <c r="O69" s="72">
        <f t="shared" si="4"/>
        <v>-9859.4031541720178</v>
      </c>
      <c r="P69" s="57">
        <f t="shared" si="5"/>
        <v>53647.860000000059</v>
      </c>
      <c r="Q69" s="57">
        <f t="shared" si="6"/>
        <v>-99926.073154172424</v>
      </c>
      <c r="R69" s="57">
        <f t="shared" si="7"/>
        <v>36418.810000000347</v>
      </c>
    </row>
    <row r="70" spans="1:18" x14ac:dyDescent="0.25">
      <c r="A70" t="s">
        <v>283</v>
      </c>
      <c r="B70" s="50" t="s">
        <v>31</v>
      </c>
      <c r="C70" t="s">
        <v>51</v>
      </c>
      <c r="D70" t="s">
        <v>38</v>
      </c>
      <c r="E70" s="90">
        <v>45223</v>
      </c>
      <c r="F70" s="49" t="s">
        <v>95</v>
      </c>
      <c r="G70">
        <v>12</v>
      </c>
      <c r="H70" s="49">
        <v>1271906.6399999999</v>
      </c>
      <c r="I70" s="49">
        <v>105.99221999999999</v>
      </c>
      <c r="J70" s="88">
        <v>12</v>
      </c>
      <c r="K70" s="49">
        <v>1263480</v>
      </c>
      <c r="L70" s="49">
        <v>105.29</v>
      </c>
      <c r="M70" s="49">
        <v>-8426.6399999998976</v>
      </c>
      <c r="N70" s="45">
        <v>-6.6252032460494886E-3</v>
      </c>
      <c r="O70" s="72">
        <f t="shared" si="4"/>
        <v>-18286.043154171915</v>
      </c>
      <c r="P70" s="57">
        <f t="shared" si="5"/>
        <v>53647.860000000059</v>
      </c>
      <c r="Q70" s="57">
        <f t="shared" si="6"/>
        <v>-99926.073154172424</v>
      </c>
      <c r="R70" s="57">
        <f t="shared" si="7"/>
        <v>27992.170000000449</v>
      </c>
    </row>
    <row r="71" spans="1:18" x14ac:dyDescent="0.25">
      <c r="A71" t="s">
        <v>283</v>
      </c>
      <c r="B71" s="50" t="s">
        <v>31</v>
      </c>
      <c r="C71" t="s">
        <v>56</v>
      </c>
      <c r="D71" t="s">
        <v>38</v>
      </c>
      <c r="E71" s="90">
        <v>45224</v>
      </c>
      <c r="F71" s="49" t="s">
        <v>221</v>
      </c>
      <c r="G71">
        <v>135</v>
      </c>
      <c r="H71" s="49">
        <v>55438.75</v>
      </c>
      <c r="I71" s="49">
        <v>410.65740740740739</v>
      </c>
      <c r="J71" s="88">
        <v>135</v>
      </c>
      <c r="K71" s="49">
        <v>55583.09</v>
      </c>
      <c r="L71" s="49">
        <v>411.72659259259257</v>
      </c>
      <c r="M71" s="49">
        <v>144.33999999999651</v>
      </c>
      <c r="N71" s="45">
        <v>2.603594056503736E-3</v>
      </c>
      <c r="O71" s="72">
        <f t="shared" si="4"/>
        <v>-18141.703154171919</v>
      </c>
      <c r="P71" s="57">
        <f t="shared" si="5"/>
        <v>53792.200000000055</v>
      </c>
      <c r="Q71" s="57">
        <f t="shared" si="6"/>
        <v>-99926.073154172424</v>
      </c>
      <c r="R71" s="57">
        <f t="shared" si="7"/>
        <v>27992.170000000449</v>
      </c>
    </row>
    <row r="72" spans="1:18" x14ac:dyDescent="0.25">
      <c r="A72" t="s">
        <v>283</v>
      </c>
      <c r="B72" s="50" t="s">
        <v>31</v>
      </c>
      <c r="C72" t="s">
        <v>56</v>
      </c>
      <c r="D72" t="s">
        <v>38</v>
      </c>
      <c r="E72" s="90">
        <v>45224</v>
      </c>
      <c r="F72" s="49" t="s">
        <v>220</v>
      </c>
      <c r="G72">
        <v>6500</v>
      </c>
      <c r="H72" s="49">
        <v>116707.5</v>
      </c>
      <c r="I72" s="49">
        <v>17.954999999999998</v>
      </c>
      <c r="J72" s="88">
        <v>6500</v>
      </c>
      <c r="K72" s="49">
        <v>119190.6</v>
      </c>
      <c r="L72" s="49">
        <v>18.337015384615384</v>
      </c>
      <c r="M72" s="49">
        <v>2483.1000000000058</v>
      </c>
      <c r="N72" s="45">
        <v>2.1276267592057117E-2</v>
      </c>
      <c r="O72" s="72">
        <f t="shared" si="4"/>
        <v>-15658.603154171913</v>
      </c>
      <c r="P72" s="57">
        <f t="shared" si="5"/>
        <v>56275.300000000061</v>
      </c>
      <c r="Q72" s="57">
        <f t="shared" si="6"/>
        <v>-99926.073154172424</v>
      </c>
      <c r="R72" s="57">
        <f t="shared" si="7"/>
        <v>27992.170000000449</v>
      </c>
    </row>
    <row r="73" spans="1:18" x14ac:dyDescent="0.25">
      <c r="A73" t="s">
        <v>283</v>
      </c>
      <c r="B73" s="50" t="s">
        <v>31</v>
      </c>
      <c r="C73" t="s">
        <v>51</v>
      </c>
      <c r="D73" t="s">
        <v>38</v>
      </c>
      <c r="E73" s="90">
        <v>45225</v>
      </c>
      <c r="F73" s="49" t="s">
        <v>52</v>
      </c>
      <c r="G73">
        <v>4</v>
      </c>
      <c r="H73" s="49">
        <v>341249.48</v>
      </c>
      <c r="I73" s="49">
        <v>85.312370000000001</v>
      </c>
      <c r="J73" s="88">
        <v>4</v>
      </c>
      <c r="K73" s="49">
        <v>333640</v>
      </c>
      <c r="L73" s="49">
        <v>83.41</v>
      </c>
      <c r="M73" s="49">
        <v>-7609.4799999999814</v>
      </c>
      <c r="N73" s="45">
        <v>-2.2298876470082774E-2</v>
      </c>
      <c r="O73" s="72">
        <f t="shared" si="4"/>
        <v>-23268.083154171894</v>
      </c>
      <c r="P73" s="57">
        <f t="shared" si="5"/>
        <v>56275.300000000061</v>
      </c>
      <c r="Q73" s="57">
        <f t="shared" si="6"/>
        <v>-99926.073154172424</v>
      </c>
      <c r="R73" s="57">
        <f t="shared" si="7"/>
        <v>20382.690000000468</v>
      </c>
    </row>
    <row r="74" spans="1:18" x14ac:dyDescent="0.25">
      <c r="A74" t="s">
        <v>283</v>
      </c>
      <c r="B74" s="50" t="s">
        <v>31</v>
      </c>
      <c r="C74" t="s">
        <v>56</v>
      </c>
      <c r="D74" t="s">
        <v>38</v>
      </c>
      <c r="E74" s="90">
        <v>45225</v>
      </c>
      <c r="F74" s="49" t="s">
        <v>218</v>
      </c>
      <c r="G74">
        <v>11000</v>
      </c>
      <c r="H74" s="49">
        <v>744048</v>
      </c>
      <c r="I74" s="49">
        <v>67.640727272727275</v>
      </c>
      <c r="J74" s="88">
        <v>11000</v>
      </c>
      <c r="K74" s="49">
        <v>743270</v>
      </c>
      <c r="L74" s="49">
        <v>67.569999999999993</v>
      </c>
      <c r="M74" s="49">
        <v>-778</v>
      </c>
      <c r="N74" s="45">
        <v>-1.04563146463669E-3</v>
      </c>
      <c r="O74" s="72">
        <f t="shared" si="4"/>
        <v>-24046.083154171894</v>
      </c>
      <c r="P74" s="57">
        <f t="shared" si="5"/>
        <v>55497.300000000061</v>
      </c>
      <c r="Q74" s="57">
        <f t="shared" si="6"/>
        <v>-99926.073154172424</v>
      </c>
      <c r="R74" s="57">
        <f t="shared" si="7"/>
        <v>20382.690000000468</v>
      </c>
    </row>
    <row r="75" spans="1:18" x14ac:dyDescent="0.25">
      <c r="A75" t="s">
        <v>283</v>
      </c>
      <c r="B75" s="50" t="s">
        <v>31</v>
      </c>
      <c r="C75" t="s">
        <v>56</v>
      </c>
      <c r="D75" t="s">
        <v>36</v>
      </c>
      <c r="E75" s="90">
        <v>45225</v>
      </c>
      <c r="F75" s="49" t="s">
        <v>222</v>
      </c>
      <c r="G75">
        <v>800</v>
      </c>
      <c r="H75" s="49">
        <v>134649.56</v>
      </c>
      <c r="I75" s="49">
        <v>168.31195</v>
      </c>
      <c r="J75" s="88">
        <v>800</v>
      </c>
      <c r="K75" s="49">
        <v>128868.38</v>
      </c>
      <c r="L75" s="49">
        <v>161.085475</v>
      </c>
      <c r="M75" s="49">
        <v>5781.179999999993</v>
      </c>
      <c r="N75" s="45">
        <v>4.2935008476819331E-2</v>
      </c>
      <c r="O75" s="72">
        <f t="shared" si="4"/>
        <v>-18264.903154171901</v>
      </c>
      <c r="P75" s="57">
        <f t="shared" si="5"/>
        <v>61278.480000000054</v>
      </c>
      <c r="Q75" s="57">
        <f t="shared" si="6"/>
        <v>-99926.073154172424</v>
      </c>
      <c r="R75" s="57">
        <f t="shared" si="7"/>
        <v>20382.690000000468</v>
      </c>
    </row>
    <row r="76" spans="1:18" x14ac:dyDescent="0.25">
      <c r="A76" t="s">
        <v>283</v>
      </c>
      <c r="B76" s="50" t="s">
        <v>31</v>
      </c>
      <c r="C76" t="s">
        <v>35</v>
      </c>
      <c r="D76" t="s">
        <v>38</v>
      </c>
      <c r="E76" s="90">
        <v>45226</v>
      </c>
      <c r="F76" s="49" t="s">
        <v>176</v>
      </c>
      <c r="G76">
        <v>1300000</v>
      </c>
      <c r="H76" s="49">
        <v>1774535.46</v>
      </c>
      <c r="I76" s="49">
        <v>1.3650272769230769</v>
      </c>
      <c r="J76" s="88">
        <v>1300000</v>
      </c>
      <c r="K76" s="49">
        <v>1780967.37</v>
      </c>
      <c r="L76" s="49">
        <v>1.3699749000000001</v>
      </c>
      <c r="M76" s="49">
        <v>4721</v>
      </c>
      <c r="N76" s="45">
        <v>3.6315384615384617E-3</v>
      </c>
      <c r="O76" s="72">
        <f t="shared" si="4"/>
        <v>-13543.903154171901</v>
      </c>
      <c r="P76" s="57">
        <f t="shared" si="5"/>
        <v>61278.480000000054</v>
      </c>
      <c r="Q76" s="57">
        <f t="shared" si="6"/>
        <v>-95205.073154172424</v>
      </c>
      <c r="R76" s="57">
        <f t="shared" si="7"/>
        <v>20382.690000000468</v>
      </c>
    </row>
    <row r="77" spans="1:18" x14ac:dyDescent="0.25">
      <c r="A77" t="s">
        <v>283</v>
      </c>
      <c r="B77" s="50" t="s">
        <v>31</v>
      </c>
      <c r="C77" t="s">
        <v>56</v>
      </c>
      <c r="D77" t="s">
        <v>36</v>
      </c>
      <c r="E77" s="90">
        <v>45232</v>
      </c>
      <c r="F77" s="49" t="s">
        <v>206</v>
      </c>
      <c r="G77">
        <v>3000</v>
      </c>
      <c r="H77" s="49">
        <v>124775</v>
      </c>
      <c r="I77" s="49">
        <v>41.591666666666669</v>
      </c>
      <c r="J77" s="88">
        <v>3000</v>
      </c>
      <c r="K77" s="49">
        <v>120765</v>
      </c>
      <c r="L77" s="49">
        <v>40.255000000000003</v>
      </c>
      <c r="M77" s="49">
        <v>4010</v>
      </c>
      <c r="N77" s="45">
        <v>3.2137848126627927E-2</v>
      </c>
      <c r="O77" s="72">
        <f t="shared" si="4"/>
        <v>-9533.9031541719014</v>
      </c>
      <c r="P77" s="57">
        <f t="shared" si="5"/>
        <v>65288.480000000054</v>
      </c>
      <c r="Q77" s="57">
        <f t="shared" si="6"/>
        <v>-95205.073154172424</v>
      </c>
      <c r="R77" s="57">
        <f t="shared" si="7"/>
        <v>20382.690000000468</v>
      </c>
    </row>
    <row r="78" spans="1:18" x14ac:dyDescent="0.25">
      <c r="A78" t="s">
        <v>283</v>
      </c>
      <c r="B78" s="50" t="s">
        <v>31</v>
      </c>
      <c r="C78" t="s">
        <v>35</v>
      </c>
      <c r="D78" t="s">
        <v>38</v>
      </c>
      <c r="E78" s="90">
        <v>45232</v>
      </c>
      <c r="F78" s="49" t="s">
        <v>182</v>
      </c>
      <c r="G78">
        <v>2000000</v>
      </c>
      <c r="H78" s="49">
        <v>2710150.73</v>
      </c>
      <c r="I78" s="49">
        <v>1.355075365</v>
      </c>
      <c r="J78" s="88">
        <v>2000000</v>
      </c>
      <c r="K78" s="49">
        <v>2747185.23</v>
      </c>
      <c r="L78" s="49">
        <v>1.373592615</v>
      </c>
      <c r="M78" s="49">
        <v>26938</v>
      </c>
      <c r="N78" s="45">
        <v>1.3468999999999998E-2</v>
      </c>
      <c r="O78" s="72">
        <f t="shared" si="4"/>
        <v>17404.096845828099</v>
      </c>
      <c r="P78" s="57">
        <f t="shared" si="5"/>
        <v>65288.480000000054</v>
      </c>
      <c r="Q78" s="57">
        <f t="shared" si="6"/>
        <v>-68267.073154172424</v>
      </c>
      <c r="R78" s="57">
        <f t="shared" si="7"/>
        <v>20382.690000000468</v>
      </c>
    </row>
    <row r="79" spans="1:18" x14ac:dyDescent="0.25">
      <c r="A79" t="s">
        <v>283</v>
      </c>
      <c r="B79" s="50" t="s">
        <v>31</v>
      </c>
      <c r="C79" t="s">
        <v>35</v>
      </c>
      <c r="D79" t="s">
        <v>38</v>
      </c>
      <c r="E79" s="90">
        <v>45233</v>
      </c>
      <c r="F79" s="49" t="s">
        <v>186</v>
      </c>
      <c r="G79">
        <v>450000</v>
      </c>
      <c r="H79" s="49">
        <v>7969532.8600000003</v>
      </c>
      <c r="I79" s="49">
        <v>17.710073022222222</v>
      </c>
      <c r="J79" s="88">
        <v>450000</v>
      </c>
      <c r="K79" s="49">
        <v>7805140.04</v>
      </c>
      <c r="L79" s="49">
        <v>17.344755644444444</v>
      </c>
      <c r="M79" s="49">
        <v>-9468</v>
      </c>
      <c r="N79" s="45">
        <v>-2.104E-2</v>
      </c>
      <c r="O79" s="72">
        <f t="shared" si="4"/>
        <v>7936.0968458280986</v>
      </c>
      <c r="P79" s="57">
        <f t="shared" si="5"/>
        <v>65288.480000000054</v>
      </c>
      <c r="Q79" s="57">
        <f t="shared" si="6"/>
        <v>-77735.073154172424</v>
      </c>
      <c r="R79" s="57">
        <f t="shared" si="7"/>
        <v>20382.690000000468</v>
      </c>
    </row>
    <row r="80" spans="1:18" x14ac:dyDescent="0.25">
      <c r="A80" t="s">
        <v>283</v>
      </c>
      <c r="B80" s="50" t="s">
        <v>31</v>
      </c>
      <c r="C80" t="s">
        <v>56</v>
      </c>
      <c r="D80" t="s">
        <v>38</v>
      </c>
      <c r="E80" s="90">
        <v>45238</v>
      </c>
      <c r="F80" s="49" t="s">
        <v>217</v>
      </c>
      <c r="G80">
        <v>980</v>
      </c>
      <c r="H80" s="49">
        <v>173121.9</v>
      </c>
      <c r="I80" s="49">
        <v>176.655</v>
      </c>
      <c r="J80" s="88">
        <v>980</v>
      </c>
      <c r="K80" s="49">
        <v>188847.77000000002</v>
      </c>
      <c r="L80" s="49">
        <v>192.701806122449</v>
      </c>
      <c r="M80" s="49">
        <v>15725.870000000024</v>
      </c>
      <c r="N80" s="45">
        <v>9.0836976719872092E-2</v>
      </c>
      <c r="O80" s="72">
        <f t="shared" si="4"/>
        <v>23661.966845828123</v>
      </c>
      <c r="P80" s="57">
        <f t="shared" si="5"/>
        <v>81014.350000000079</v>
      </c>
      <c r="Q80" s="57">
        <f t="shared" si="6"/>
        <v>-77735.073154172424</v>
      </c>
      <c r="R80" s="57">
        <f t="shared" si="7"/>
        <v>20382.690000000468</v>
      </c>
    </row>
    <row r="81" spans="1:18" x14ac:dyDescent="0.25">
      <c r="A81" t="s">
        <v>283</v>
      </c>
      <c r="B81" s="50" t="s">
        <v>31</v>
      </c>
      <c r="C81" t="s">
        <v>51</v>
      </c>
      <c r="D81" t="s">
        <v>36</v>
      </c>
      <c r="E81" s="90">
        <v>45239</v>
      </c>
      <c r="F81" s="49" t="s">
        <v>88</v>
      </c>
      <c r="G81">
        <v>2</v>
      </c>
      <c r="H81" s="49">
        <v>321893.96000000002</v>
      </c>
      <c r="I81" s="49">
        <v>32189.396000000001</v>
      </c>
      <c r="J81" s="88">
        <v>2</v>
      </c>
      <c r="K81" s="49">
        <v>328481.03999999998</v>
      </c>
      <c r="L81" s="49">
        <v>0</v>
      </c>
      <c r="M81" s="49">
        <v>-6587.0799999999581</v>
      </c>
      <c r="N81" s="45">
        <v>-2.0463509163079537E-2</v>
      </c>
      <c r="O81" s="72">
        <f t="shared" si="4"/>
        <v>17074.886845828165</v>
      </c>
      <c r="P81" s="57">
        <f t="shared" si="5"/>
        <v>81014.350000000079</v>
      </c>
      <c r="Q81" s="57">
        <f t="shared" si="6"/>
        <v>-77735.073154172424</v>
      </c>
      <c r="R81" s="57">
        <f t="shared" si="7"/>
        <v>13795.61000000051</v>
      </c>
    </row>
    <row r="82" spans="1:18" x14ac:dyDescent="0.25">
      <c r="A82" t="s">
        <v>283</v>
      </c>
      <c r="B82" s="50" t="s">
        <v>31</v>
      </c>
      <c r="C82" t="s">
        <v>56</v>
      </c>
      <c r="D82" t="s">
        <v>38</v>
      </c>
      <c r="E82" s="90">
        <v>45239</v>
      </c>
      <c r="F82" s="49" t="s">
        <v>204</v>
      </c>
      <c r="G82">
        <v>1900</v>
      </c>
      <c r="H82" s="49">
        <v>63659.5</v>
      </c>
      <c r="I82" s="49">
        <v>33.505000000000003</v>
      </c>
      <c r="J82" s="88">
        <v>1900</v>
      </c>
      <c r="K82" s="49">
        <v>58722.65</v>
      </c>
      <c r="L82" s="49">
        <v>30.906657894736842</v>
      </c>
      <c r="M82" s="49">
        <v>-4936.8499999999985</v>
      </c>
      <c r="N82" s="45">
        <v>-7.755087614574413E-2</v>
      </c>
      <c r="O82" s="72">
        <f t="shared" si="4"/>
        <v>12138.036845828166</v>
      </c>
      <c r="P82" s="57">
        <f t="shared" si="5"/>
        <v>76077.500000000087</v>
      </c>
      <c r="Q82" s="57">
        <f t="shared" si="6"/>
        <v>-77735.073154172424</v>
      </c>
      <c r="R82" s="57">
        <f t="shared" si="7"/>
        <v>13795.61000000051</v>
      </c>
    </row>
    <row r="83" spans="1:18" x14ac:dyDescent="0.25">
      <c r="A83" t="s">
        <v>283</v>
      </c>
      <c r="B83" s="50" t="s">
        <v>31</v>
      </c>
      <c r="C83" t="s">
        <v>35</v>
      </c>
      <c r="D83" t="s">
        <v>36</v>
      </c>
      <c r="E83" s="90">
        <v>45245</v>
      </c>
      <c r="F83" s="49" t="s">
        <v>61</v>
      </c>
      <c r="G83">
        <v>600000</v>
      </c>
      <c r="H83" s="49">
        <v>735675.29</v>
      </c>
      <c r="I83" s="49">
        <v>1.2261254833333335</v>
      </c>
      <c r="J83" s="88">
        <v>600000</v>
      </c>
      <c r="K83" s="49">
        <v>745809.33</v>
      </c>
      <c r="L83" s="49">
        <v>1.24301555</v>
      </c>
      <c r="M83" s="49">
        <v>-10134</v>
      </c>
      <c r="N83" s="45">
        <v>-1.6890000000000002E-2</v>
      </c>
      <c r="O83" s="72">
        <f t="shared" si="4"/>
        <v>2004.0368458281664</v>
      </c>
      <c r="P83" s="57">
        <f t="shared" si="5"/>
        <v>76077.500000000087</v>
      </c>
      <c r="Q83" s="57">
        <f t="shared" si="6"/>
        <v>-87869.073154172424</v>
      </c>
      <c r="R83" s="57">
        <f t="shared" si="7"/>
        <v>13795.61000000051</v>
      </c>
    </row>
    <row r="84" spans="1:18" x14ac:dyDescent="0.25">
      <c r="A84" t="s">
        <v>283</v>
      </c>
      <c r="B84" s="50" t="s">
        <v>31</v>
      </c>
      <c r="C84" t="s">
        <v>35</v>
      </c>
      <c r="D84" t="s">
        <v>38</v>
      </c>
      <c r="E84" s="90">
        <v>45245</v>
      </c>
      <c r="F84" s="49" t="s">
        <v>92</v>
      </c>
      <c r="G84">
        <v>750000</v>
      </c>
      <c r="H84" s="49">
        <v>8913964.3100000005</v>
      </c>
      <c r="I84" s="49">
        <v>11.885285746666668</v>
      </c>
      <c r="J84" s="88">
        <v>750000</v>
      </c>
      <c r="K84" s="49">
        <v>8825114.1600000001</v>
      </c>
      <c r="L84" s="49">
        <v>11.766818880000001</v>
      </c>
      <c r="M84" s="49">
        <v>-8274</v>
      </c>
      <c r="N84" s="45">
        <v>-1.1032E-2</v>
      </c>
      <c r="O84" s="72">
        <f t="shared" si="4"/>
        <v>-6269.9631541718336</v>
      </c>
      <c r="P84" s="57">
        <f t="shared" si="5"/>
        <v>76077.500000000087</v>
      </c>
      <c r="Q84" s="57">
        <f t="shared" si="6"/>
        <v>-96143.073154172424</v>
      </c>
      <c r="R84" s="57">
        <f t="shared" si="7"/>
        <v>13795.61000000051</v>
      </c>
    </row>
    <row r="85" spans="1:18" x14ac:dyDescent="0.25">
      <c r="A85" t="s">
        <v>283</v>
      </c>
      <c r="B85" s="50" t="s">
        <v>31</v>
      </c>
      <c r="C85" t="s">
        <v>56</v>
      </c>
      <c r="D85" t="s">
        <v>38</v>
      </c>
      <c r="E85" s="90">
        <v>45246</v>
      </c>
      <c r="F85" s="49" t="s">
        <v>201</v>
      </c>
      <c r="G85">
        <v>3600</v>
      </c>
      <c r="H85" s="49">
        <v>259212</v>
      </c>
      <c r="I85" s="49">
        <v>72.00333333333333</v>
      </c>
      <c r="J85" s="88">
        <v>3600</v>
      </c>
      <c r="K85" s="49">
        <v>260157.37</v>
      </c>
      <c r="L85" s="49">
        <v>72.265936111111117</v>
      </c>
      <c r="M85" s="49">
        <v>945.36999999999534</v>
      </c>
      <c r="N85" s="45">
        <v>3.6470919556193205E-3</v>
      </c>
      <c r="O85" s="72">
        <f t="shared" si="4"/>
        <v>-5324.5931541718383</v>
      </c>
      <c r="P85" s="57">
        <f t="shared" si="5"/>
        <v>77022.870000000083</v>
      </c>
      <c r="Q85" s="57">
        <f t="shared" si="6"/>
        <v>-96143.073154172424</v>
      </c>
      <c r="R85" s="57">
        <f t="shared" si="7"/>
        <v>13795.61000000051</v>
      </c>
    </row>
    <row r="86" spans="1:18" x14ac:dyDescent="0.25">
      <c r="A86" t="s">
        <v>283</v>
      </c>
      <c r="B86" s="50" t="s">
        <v>31</v>
      </c>
      <c r="C86" t="s">
        <v>35</v>
      </c>
      <c r="D86" t="s">
        <v>38</v>
      </c>
      <c r="E86" s="90">
        <v>45247</v>
      </c>
      <c r="F86" s="49" t="s">
        <v>118</v>
      </c>
      <c r="G86">
        <v>2500000</v>
      </c>
      <c r="H86" s="49">
        <v>368877342.65999997</v>
      </c>
      <c r="I86" s="49">
        <v>147.55093706399998</v>
      </c>
      <c r="J86" s="88">
        <v>2500000</v>
      </c>
      <c r="K86" s="49">
        <v>374944992.81999999</v>
      </c>
      <c r="L86" s="49">
        <v>149.977997128</v>
      </c>
      <c r="M86" s="49">
        <v>40456.935525159322</v>
      </c>
      <c r="N86" s="45">
        <v>1.0790098894474769E-4</v>
      </c>
      <c r="O86" s="72">
        <f t="shared" si="4"/>
        <v>35132.342370987484</v>
      </c>
      <c r="P86" s="57">
        <f t="shared" si="5"/>
        <v>77022.870000000083</v>
      </c>
      <c r="Q86" s="57">
        <f t="shared" si="6"/>
        <v>-55686.137629013101</v>
      </c>
      <c r="R86" s="57">
        <f t="shared" si="7"/>
        <v>13795.61000000051</v>
      </c>
    </row>
    <row r="87" spans="1:18" x14ac:dyDescent="0.25">
      <c r="A87" t="s">
        <v>283</v>
      </c>
      <c r="B87" s="50" t="s">
        <v>31</v>
      </c>
      <c r="C87" t="s">
        <v>56</v>
      </c>
      <c r="D87" t="s">
        <v>38</v>
      </c>
      <c r="E87" s="90">
        <v>45250</v>
      </c>
      <c r="F87" s="49" t="s">
        <v>50</v>
      </c>
      <c r="G87">
        <v>950</v>
      </c>
      <c r="H87" s="49">
        <v>432067.84000000003</v>
      </c>
      <c r="I87" s="49">
        <v>454.80825263157897</v>
      </c>
      <c r="J87" s="88">
        <v>950</v>
      </c>
      <c r="K87" s="49">
        <v>466333.89</v>
      </c>
      <c r="L87" s="49">
        <v>490.87777894736843</v>
      </c>
      <c r="M87" s="49">
        <v>34266.049999999988</v>
      </c>
      <c r="N87" s="45">
        <v>7.9307106032237867E-2</v>
      </c>
      <c r="O87" s="72">
        <f t="shared" si="4"/>
        <v>69398.39237098748</v>
      </c>
      <c r="P87" s="57">
        <f t="shared" si="5"/>
        <v>111288.92000000007</v>
      </c>
      <c r="Q87" s="57">
        <f t="shared" si="6"/>
        <v>-55686.137629013101</v>
      </c>
      <c r="R87" s="57">
        <f t="shared" si="7"/>
        <v>13795.61000000051</v>
      </c>
    </row>
    <row r="88" spans="1:18" x14ac:dyDescent="0.25">
      <c r="A88" t="s">
        <v>283</v>
      </c>
      <c r="B88" s="50" t="s">
        <v>31</v>
      </c>
      <c r="C88" t="s">
        <v>56</v>
      </c>
      <c r="D88" t="s">
        <v>38</v>
      </c>
      <c r="E88" s="90">
        <v>45251</v>
      </c>
      <c r="F88" s="49" t="s">
        <v>216</v>
      </c>
      <c r="G88">
        <v>3500</v>
      </c>
      <c r="H88" s="49">
        <v>148004.74</v>
      </c>
      <c r="I88" s="49">
        <v>42.28706857142857</v>
      </c>
      <c r="J88" s="88">
        <v>3500</v>
      </c>
      <c r="K88" s="49">
        <v>155267.64000000001</v>
      </c>
      <c r="L88" s="49">
        <v>44.362182857142862</v>
      </c>
      <c r="M88" s="49">
        <v>7262.9000000000233</v>
      </c>
      <c r="N88" s="45">
        <v>4.9072077015911951E-2</v>
      </c>
      <c r="O88" s="72">
        <f t="shared" si="4"/>
        <v>76661.292370987503</v>
      </c>
      <c r="P88" s="57">
        <f t="shared" si="5"/>
        <v>118551.82000000009</v>
      </c>
      <c r="Q88" s="57">
        <f t="shared" si="6"/>
        <v>-55686.137629013101</v>
      </c>
      <c r="R88" s="57">
        <f t="shared" si="7"/>
        <v>13795.61000000051</v>
      </c>
    </row>
    <row r="89" spans="1:18" x14ac:dyDescent="0.25">
      <c r="A89" t="s">
        <v>283</v>
      </c>
      <c r="B89" s="50" t="s">
        <v>31</v>
      </c>
      <c r="C89" t="s">
        <v>56</v>
      </c>
      <c r="D89" t="s">
        <v>38</v>
      </c>
      <c r="E89" s="90">
        <v>45254</v>
      </c>
      <c r="F89" s="49" t="s">
        <v>225</v>
      </c>
      <c r="G89">
        <v>15000</v>
      </c>
      <c r="H89" s="49">
        <v>293144.83</v>
      </c>
      <c r="I89" s="49">
        <v>19.542988666666666</v>
      </c>
      <c r="J89" s="88">
        <v>15000</v>
      </c>
      <c r="K89" s="49">
        <v>288516.14</v>
      </c>
      <c r="L89" s="49">
        <v>19.234409333333335</v>
      </c>
      <c r="M89" s="49">
        <v>-4628.6900000000023</v>
      </c>
      <c r="N89" s="45">
        <v>-1.5789771902168639E-2</v>
      </c>
      <c r="O89" s="72">
        <f t="shared" si="4"/>
        <v>72032.602370987501</v>
      </c>
      <c r="P89" s="57">
        <f t="shared" si="5"/>
        <v>113923.13000000009</v>
      </c>
      <c r="Q89" s="57">
        <f t="shared" si="6"/>
        <v>-55686.137629013101</v>
      </c>
      <c r="R89" s="57">
        <f t="shared" si="7"/>
        <v>13795.61000000051</v>
      </c>
    </row>
    <row r="90" spans="1:18" x14ac:dyDescent="0.25">
      <c r="A90" t="s">
        <v>283</v>
      </c>
      <c r="B90" s="50" t="s">
        <v>31</v>
      </c>
      <c r="C90" t="s">
        <v>51</v>
      </c>
      <c r="D90" t="s">
        <v>38</v>
      </c>
      <c r="E90" s="90">
        <v>45254</v>
      </c>
      <c r="F90" s="49" t="s">
        <v>95</v>
      </c>
      <c r="G90">
        <v>10</v>
      </c>
      <c r="H90" s="49">
        <v>1035500</v>
      </c>
      <c r="I90" s="49">
        <v>103.55</v>
      </c>
      <c r="J90" s="88">
        <v>10</v>
      </c>
      <c r="K90" s="49">
        <v>1032927.8</v>
      </c>
      <c r="L90" s="49">
        <v>0</v>
      </c>
      <c r="M90" s="49">
        <v>-2572.1999999999534</v>
      </c>
      <c r="N90" s="45">
        <v>-2.4840173829067634E-3</v>
      </c>
      <c r="O90" s="72">
        <f t="shared" si="4"/>
        <v>69460.402370987547</v>
      </c>
      <c r="P90" s="57">
        <f t="shared" si="5"/>
        <v>113923.13000000009</v>
      </c>
      <c r="Q90" s="57">
        <f t="shared" si="6"/>
        <v>-55686.137629013101</v>
      </c>
      <c r="R90" s="57">
        <f t="shared" si="7"/>
        <v>11223.410000000556</v>
      </c>
    </row>
    <row r="91" spans="1:18" x14ac:dyDescent="0.25">
      <c r="A91" t="s">
        <v>283</v>
      </c>
      <c r="B91" s="50" t="s">
        <v>31</v>
      </c>
      <c r="C91" t="s">
        <v>56</v>
      </c>
      <c r="D91" t="s">
        <v>38</v>
      </c>
      <c r="E91" s="90">
        <v>45254</v>
      </c>
      <c r="F91" s="49" t="s">
        <v>207</v>
      </c>
      <c r="G91">
        <v>1700</v>
      </c>
      <c r="H91" s="49">
        <v>44616.05</v>
      </c>
      <c r="I91" s="49">
        <v>26.24473529411765</v>
      </c>
      <c r="J91" s="88">
        <v>1700</v>
      </c>
      <c r="K91" s="49">
        <v>42231.92</v>
      </c>
      <c r="L91" s="49">
        <v>24.842305882352939</v>
      </c>
      <c r="M91" s="49">
        <v>-2384.1300000000047</v>
      </c>
      <c r="N91" s="45">
        <v>-5.3436599609333515E-2</v>
      </c>
      <c r="O91" s="72">
        <f t="shared" si="4"/>
        <v>67076.272370987543</v>
      </c>
      <c r="P91" s="57">
        <f t="shared" si="5"/>
        <v>111539.00000000009</v>
      </c>
      <c r="Q91" s="57">
        <f t="shared" si="6"/>
        <v>-55686.137629013101</v>
      </c>
      <c r="R91" s="57">
        <f t="shared" si="7"/>
        <v>11223.410000000556</v>
      </c>
    </row>
    <row r="92" spans="1:18" x14ac:dyDescent="0.25">
      <c r="A92" t="s">
        <v>283</v>
      </c>
      <c r="B92" s="50" t="s">
        <v>31</v>
      </c>
      <c r="C92" t="s">
        <v>56</v>
      </c>
      <c r="D92" t="s">
        <v>38</v>
      </c>
      <c r="E92" s="90">
        <v>45257</v>
      </c>
      <c r="F92" s="49" t="s">
        <v>173</v>
      </c>
      <c r="G92">
        <v>4200</v>
      </c>
      <c r="H92" s="49">
        <v>99050</v>
      </c>
      <c r="I92" s="49">
        <v>23.583333333333332</v>
      </c>
      <c r="J92" s="88">
        <v>4200</v>
      </c>
      <c r="K92" s="49">
        <v>123131.4</v>
      </c>
      <c r="L92" s="49">
        <v>29.317</v>
      </c>
      <c r="M92" s="49">
        <v>24081.399999999994</v>
      </c>
      <c r="N92" s="45">
        <v>0.24312367491166073</v>
      </c>
      <c r="O92" s="72">
        <f t="shared" si="4"/>
        <v>91157.672370987537</v>
      </c>
      <c r="P92" s="57">
        <f t="shared" si="5"/>
        <v>135620.40000000008</v>
      </c>
      <c r="Q92" s="57">
        <f t="shared" si="6"/>
        <v>-55686.137629013101</v>
      </c>
      <c r="R92" s="57">
        <f t="shared" si="7"/>
        <v>11223.410000000556</v>
      </c>
    </row>
    <row r="93" spans="1:18" x14ac:dyDescent="0.25">
      <c r="A93" t="s">
        <v>283</v>
      </c>
      <c r="B93" s="50" t="s">
        <v>31</v>
      </c>
      <c r="C93" t="s">
        <v>56</v>
      </c>
      <c r="D93" t="s">
        <v>38</v>
      </c>
      <c r="E93" s="90">
        <v>45258</v>
      </c>
      <c r="F93" s="49" t="s">
        <v>223</v>
      </c>
      <c r="G93">
        <v>990</v>
      </c>
      <c r="H93" s="49">
        <v>127912.95</v>
      </c>
      <c r="I93" s="49">
        <v>129.20499999999998</v>
      </c>
      <c r="J93" s="88">
        <v>990</v>
      </c>
      <c r="K93" s="49">
        <v>128035.09</v>
      </c>
      <c r="L93" s="49">
        <v>129.32837373737374</v>
      </c>
      <c r="M93" s="49">
        <v>122.13999999999942</v>
      </c>
      <c r="N93" s="45">
        <v>9.548681349308215E-4</v>
      </c>
      <c r="O93" s="72">
        <f t="shared" si="4"/>
        <v>91279.812370987536</v>
      </c>
      <c r="P93" s="57">
        <f t="shared" si="5"/>
        <v>135742.5400000001</v>
      </c>
      <c r="Q93" s="57">
        <f t="shared" si="6"/>
        <v>-55686.137629013101</v>
      </c>
      <c r="R93" s="57">
        <f t="shared" si="7"/>
        <v>11223.410000000556</v>
      </c>
    </row>
    <row r="94" spans="1:18" x14ac:dyDescent="0.25">
      <c r="A94" t="s">
        <v>283</v>
      </c>
      <c r="B94" s="50" t="s">
        <v>31</v>
      </c>
      <c r="C94" t="s">
        <v>56</v>
      </c>
      <c r="D94" t="s">
        <v>38</v>
      </c>
      <c r="E94" s="90">
        <v>45258</v>
      </c>
      <c r="F94" s="49" t="s">
        <v>212</v>
      </c>
      <c r="G94">
        <v>6500</v>
      </c>
      <c r="H94" s="49">
        <v>228091.5</v>
      </c>
      <c r="I94" s="49">
        <v>35.091000000000001</v>
      </c>
      <c r="J94" s="88">
        <v>6500</v>
      </c>
      <c r="K94" s="49">
        <v>249427.75</v>
      </c>
      <c r="L94" s="49">
        <v>38.3735</v>
      </c>
      <c r="M94" s="49">
        <v>21336.25</v>
      </c>
      <c r="N94" s="45">
        <v>9.3542503775896957E-2</v>
      </c>
      <c r="O94" s="72">
        <f t="shared" si="4"/>
        <v>112616.06237098754</v>
      </c>
      <c r="P94" s="57">
        <f t="shared" si="5"/>
        <v>157078.7900000001</v>
      </c>
      <c r="Q94" s="57">
        <f t="shared" si="6"/>
        <v>-55686.137629013101</v>
      </c>
      <c r="R94" s="57">
        <f t="shared" si="7"/>
        <v>11223.410000000556</v>
      </c>
    </row>
    <row r="95" spans="1:18" x14ac:dyDescent="0.25">
      <c r="A95" t="s">
        <v>283</v>
      </c>
      <c r="B95" s="50" t="s">
        <v>31</v>
      </c>
      <c r="C95" t="s">
        <v>56</v>
      </c>
      <c r="D95" t="s">
        <v>38</v>
      </c>
      <c r="E95" s="90">
        <v>45259</v>
      </c>
      <c r="F95" s="49" t="s">
        <v>226</v>
      </c>
      <c r="G95">
        <v>600</v>
      </c>
      <c r="H95" s="49">
        <v>62750.57</v>
      </c>
      <c r="I95" s="49">
        <v>104.58428333333333</v>
      </c>
      <c r="J95" s="88">
        <v>600</v>
      </c>
      <c r="K95" s="49">
        <v>69358.36</v>
      </c>
      <c r="L95" s="49">
        <v>115.59726666666667</v>
      </c>
      <c r="M95" s="49">
        <v>6607.7900000000009</v>
      </c>
      <c r="N95" s="45">
        <v>0.10530246976242608</v>
      </c>
      <c r="O95" s="72">
        <f t="shared" si="4"/>
        <v>119223.85237098753</v>
      </c>
      <c r="P95" s="57">
        <f t="shared" si="5"/>
        <v>163686.5800000001</v>
      </c>
      <c r="Q95" s="57">
        <f t="shared" si="6"/>
        <v>-55686.137629013101</v>
      </c>
      <c r="R95" s="57">
        <f t="shared" si="7"/>
        <v>11223.410000000556</v>
      </c>
    </row>
    <row r="96" spans="1:18" x14ac:dyDescent="0.25">
      <c r="A96" t="s">
        <v>283</v>
      </c>
      <c r="B96" s="50" t="s">
        <v>31</v>
      </c>
      <c r="C96" t="s">
        <v>56</v>
      </c>
      <c r="D96" t="s">
        <v>38</v>
      </c>
      <c r="E96" s="90">
        <v>45260</v>
      </c>
      <c r="F96" s="49" t="s">
        <v>224</v>
      </c>
      <c r="G96">
        <v>500</v>
      </c>
      <c r="H96" s="49">
        <v>164562.32</v>
      </c>
      <c r="I96" s="49">
        <v>329.12464</v>
      </c>
      <c r="J96" s="88">
        <v>500</v>
      </c>
      <c r="K96" s="49">
        <v>165124.35999999999</v>
      </c>
      <c r="L96" s="49">
        <v>330.24871999999999</v>
      </c>
      <c r="M96" s="49">
        <v>562.03999999997905</v>
      </c>
      <c r="N96" s="45">
        <v>3.4153626419460969E-3</v>
      </c>
      <c r="O96" s="72">
        <f t="shared" si="4"/>
        <v>119785.89237098751</v>
      </c>
      <c r="P96" s="57">
        <f t="shared" si="5"/>
        <v>164248.62000000008</v>
      </c>
      <c r="Q96" s="57">
        <f t="shared" si="6"/>
        <v>-55686.137629013101</v>
      </c>
      <c r="R96" s="57">
        <f t="shared" si="7"/>
        <v>11223.410000000556</v>
      </c>
    </row>
    <row r="97" spans="1:18" x14ac:dyDescent="0.25">
      <c r="A97" t="s">
        <v>283</v>
      </c>
      <c r="B97" s="50" t="s">
        <v>31</v>
      </c>
      <c r="C97" t="s">
        <v>56</v>
      </c>
      <c r="D97" t="s">
        <v>38</v>
      </c>
      <c r="E97" s="90">
        <v>45260</v>
      </c>
      <c r="F97" s="49" t="s">
        <v>79</v>
      </c>
      <c r="G97">
        <v>680</v>
      </c>
      <c r="H97" s="49">
        <v>161166.79999999999</v>
      </c>
      <c r="I97" s="49">
        <v>237.01</v>
      </c>
      <c r="J97" s="88">
        <v>680</v>
      </c>
      <c r="K97" s="49">
        <v>163226.79999999999</v>
      </c>
      <c r="L97" s="49">
        <v>240.03941176470587</v>
      </c>
      <c r="M97" s="49">
        <v>2060</v>
      </c>
      <c r="N97" s="45">
        <v>1.2781788805138528E-2</v>
      </c>
      <c r="O97" s="72">
        <f t="shared" si="4"/>
        <v>121845.89237098751</v>
      </c>
      <c r="P97" s="57">
        <f t="shared" si="5"/>
        <v>166308.62000000008</v>
      </c>
      <c r="Q97" s="57">
        <f t="shared" si="6"/>
        <v>-55686.137629013101</v>
      </c>
      <c r="R97" s="57">
        <f t="shared" si="7"/>
        <v>11223.410000000556</v>
      </c>
    </row>
    <row r="98" spans="1:18" x14ac:dyDescent="0.25">
      <c r="A98" t="s">
        <v>283</v>
      </c>
      <c r="B98" s="50" t="s">
        <v>31</v>
      </c>
      <c r="C98" t="s">
        <v>51</v>
      </c>
      <c r="D98" t="s">
        <v>38</v>
      </c>
      <c r="E98" s="90">
        <v>45261</v>
      </c>
      <c r="F98" s="49" t="s">
        <v>137</v>
      </c>
      <c r="G98">
        <v>6</v>
      </c>
      <c r="H98" s="49">
        <v>540853.19999999995</v>
      </c>
      <c r="I98" s="49">
        <v>1802.8439999999998</v>
      </c>
      <c r="J98" s="88">
        <v>6</v>
      </c>
      <c r="K98" s="49">
        <v>557836.80000000005</v>
      </c>
      <c r="L98" s="49">
        <v>1859.4560000000001</v>
      </c>
      <c r="M98" s="49">
        <v>16983.600000000093</v>
      </c>
      <c r="N98" s="45">
        <v>3.1401496746252207E-2</v>
      </c>
      <c r="O98" s="72">
        <f t="shared" si="4"/>
        <v>138829.4923709876</v>
      </c>
      <c r="P98" s="57">
        <f t="shared" si="5"/>
        <v>166308.62000000008</v>
      </c>
      <c r="Q98" s="57">
        <f t="shared" si="6"/>
        <v>-55686.137629013101</v>
      </c>
      <c r="R98" s="57">
        <f t="shared" si="7"/>
        <v>28207.01000000065</v>
      </c>
    </row>
    <row r="99" spans="1:18" x14ac:dyDescent="0.25">
      <c r="A99" t="s">
        <v>283</v>
      </c>
      <c r="B99" s="50" t="s">
        <v>31</v>
      </c>
      <c r="C99" t="s">
        <v>56</v>
      </c>
      <c r="D99" t="s">
        <v>36</v>
      </c>
      <c r="E99" s="90">
        <v>45264</v>
      </c>
      <c r="F99" s="49" t="s">
        <v>208</v>
      </c>
      <c r="G99">
        <v>2600</v>
      </c>
      <c r="H99" s="49">
        <v>96605.61</v>
      </c>
      <c r="I99" s="49">
        <v>37.156003846153844</v>
      </c>
      <c r="J99" s="88">
        <v>2600</v>
      </c>
      <c r="K99" s="49">
        <v>98111</v>
      </c>
      <c r="L99" s="49">
        <v>37.734999999999999</v>
      </c>
      <c r="M99" s="49">
        <v>-1505.3899999999994</v>
      </c>
      <c r="N99" s="45">
        <v>-1.558284244569233E-2</v>
      </c>
      <c r="O99" s="72">
        <f t="shared" si="4"/>
        <v>137324.10237098759</v>
      </c>
      <c r="P99" s="57">
        <f t="shared" si="5"/>
        <v>164803.2300000001</v>
      </c>
      <c r="Q99" s="57">
        <f t="shared" si="6"/>
        <v>-55686.137629013101</v>
      </c>
      <c r="R99" s="57">
        <f t="shared" si="7"/>
        <v>28207.01000000065</v>
      </c>
    </row>
    <row r="100" spans="1:18" x14ac:dyDescent="0.25">
      <c r="A100" t="s">
        <v>283</v>
      </c>
      <c r="B100" s="50" t="s">
        <v>31</v>
      </c>
      <c r="C100" t="s">
        <v>56</v>
      </c>
      <c r="D100" t="s">
        <v>38</v>
      </c>
      <c r="E100" s="90">
        <v>45264</v>
      </c>
      <c r="F100" s="49" t="s">
        <v>79</v>
      </c>
      <c r="G100">
        <v>100</v>
      </c>
      <c r="H100" s="49">
        <v>23888.5</v>
      </c>
      <c r="I100" s="49">
        <v>238.88499999999999</v>
      </c>
      <c r="J100" s="88">
        <v>100</v>
      </c>
      <c r="K100" s="49">
        <v>23603</v>
      </c>
      <c r="L100" s="49">
        <v>236.03</v>
      </c>
      <c r="M100" s="49">
        <v>-285.5</v>
      </c>
      <c r="N100" s="45">
        <v>-1.1951357347677752E-2</v>
      </c>
      <c r="O100" s="72">
        <f t="shared" si="4"/>
        <v>137038.60237098759</v>
      </c>
      <c r="P100" s="57">
        <f t="shared" si="5"/>
        <v>164517.7300000001</v>
      </c>
      <c r="Q100" s="57">
        <f t="shared" si="6"/>
        <v>-55686.137629013101</v>
      </c>
      <c r="R100" s="57">
        <f t="shared" si="7"/>
        <v>28207.01000000065</v>
      </c>
    </row>
    <row r="101" spans="1:18" x14ac:dyDescent="0.25">
      <c r="A101" t="s">
        <v>283</v>
      </c>
      <c r="B101" s="50" t="s">
        <v>31</v>
      </c>
      <c r="C101" t="s">
        <v>56</v>
      </c>
      <c r="D101" t="s">
        <v>36</v>
      </c>
      <c r="E101" s="90">
        <v>45265</v>
      </c>
      <c r="F101" s="49" t="s">
        <v>174</v>
      </c>
      <c r="G101">
        <v>10000</v>
      </c>
      <c r="H101" s="49">
        <v>137450.18</v>
      </c>
      <c r="I101" s="49">
        <v>13.745018</v>
      </c>
      <c r="J101" s="88">
        <v>10000</v>
      </c>
      <c r="K101" s="49">
        <v>145050</v>
      </c>
      <c r="L101" s="49">
        <v>14.505000000000001</v>
      </c>
      <c r="M101" s="49">
        <v>-7599.820000000007</v>
      </c>
      <c r="N101" s="45">
        <v>-5.5291451782747809E-2</v>
      </c>
      <c r="O101" s="72">
        <f t="shared" si="4"/>
        <v>129438.78237098758</v>
      </c>
      <c r="P101" s="57">
        <f t="shared" si="5"/>
        <v>156917.91000000009</v>
      </c>
      <c r="Q101" s="57">
        <f t="shared" si="6"/>
        <v>-55686.137629013101</v>
      </c>
      <c r="R101" s="57">
        <f t="shared" si="7"/>
        <v>28207.01000000065</v>
      </c>
    </row>
    <row r="102" spans="1:18" x14ac:dyDescent="0.25">
      <c r="A102" t="s">
        <v>283</v>
      </c>
      <c r="B102" s="50" t="s">
        <v>31</v>
      </c>
      <c r="C102" t="s">
        <v>56</v>
      </c>
      <c r="D102" t="s">
        <v>38</v>
      </c>
      <c r="E102" s="90">
        <v>45265</v>
      </c>
      <c r="F102" s="49" t="s">
        <v>230</v>
      </c>
      <c r="G102">
        <v>3900</v>
      </c>
      <c r="H102" s="49">
        <v>127959</v>
      </c>
      <c r="I102" s="49">
        <v>32.81</v>
      </c>
      <c r="J102" s="88">
        <v>3900</v>
      </c>
      <c r="K102" s="49">
        <v>120721.86</v>
      </c>
      <c r="L102" s="49">
        <v>30.954323076923078</v>
      </c>
      <c r="M102" s="49">
        <v>-7237.1399999999994</v>
      </c>
      <c r="N102" s="45">
        <v>-5.655827257168311E-2</v>
      </c>
      <c r="O102" s="72">
        <f t="shared" si="4"/>
        <v>122201.64237098758</v>
      </c>
      <c r="P102" s="57">
        <f t="shared" si="5"/>
        <v>149680.77000000008</v>
      </c>
      <c r="Q102" s="57">
        <f t="shared" si="6"/>
        <v>-55686.137629013101</v>
      </c>
      <c r="R102" s="57">
        <f t="shared" si="7"/>
        <v>28207.01000000065</v>
      </c>
    </row>
    <row r="103" spans="1:18" x14ac:dyDescent="0.25">
      <c r="A103" t="s">
        <v>283</v>
      </c>
      <c r="B103" s="50" t="s">
        <v>31</v>
      </c>
      <c r="C103" t="s">
        <v>56</v>
      </c>
      <c r="D103" t="s">
        <v>38</v>
      </c>
      <c r="E103" s="90">
        <v>45265</v>
      </c>
      <c r="F103" s="49" t="s">
        <v>227</v>
      </c>
      <c r="G103">
        <v>1560</v>
      </c>
      <c r="H103" s="49">
        <v>147864.95999999999</v>
      </c>
      <c r="I103" s="49">
        <v>94.785230769230765</v>
      </c>
      <c r="J103" s="88">
        <v>1560</v>
      </c>
      <c r="K103" s="49">
        <v>149231.34</v>
      </c>
      <c r="L103" s="49">
        <v>95.661115384615385</v>
      </c>
      <c r="M103" s="49">
        <v>1366.3800000000047</v>
      </c>
      <c r="N103" s="45">
        <v>9.2407288379884236E-3</v>
      </c>
      <c r="O103" s="72">
        <f t="shared" si="4"/>
        <v>123568.02237098759</v>
      </c>
      <c r="P103" s="57">
        <f t="shared" si="5"/>
        <v>151047.15000000008</v>
      </c>
      <c r="Q103" s="57">
        <f t="shared" si="6"/>
        <v>-55686.137629013101</v>
      </c>
      <c r="R103" s="57">
        <f t="shared" si="7"/>
        <v>28207.01000000065</v>
      </c>
    </row>
    <row r="104" spans="1:18" x14ac:dyDescent="0.25">
      <c r="A104" t="s">
        <v>283</v>
      </c>
      <c r="B104" s="50" t="s">
        <v>31</v>
      </c>
      <c r="C104" t="s">
        <v>56</v>
      </c>
      <c r="D104" t="s">
        <v>38</v>
      </c>
      <c r="E104" s="90">
        <v>45267</v>
      </c>
      <c r="F104" s="49" t="s">
        <v>229</v>
      </c>
      <c r="G104">
        <v>5000</v>
      </c>
      <c r="H104" s="49">
        <v>122876.73999999999</v>
      </c>
      <c r="I104" s="49">
        <v>24.575347999999998</v>
      </c>
      <c r="J104" s="88">
        <v>5000</v>
      </c>
      <c r="K104" s="49">
        <v>115424.35</v>
      </c>
      <c r="L104" s="49">
        <v>23.084870000000002</v>
      </c>
      <c r="M104" s="49">
        <v>-7452.3899999999849</v>
      </c>
      <c r="N104" s="45">
        <v>-6.0649314101269169E-2</v>
      </c>
      <c r="O104" s="72">
        <f t="shared" si="4"/>
        <v>116115.6323709876</v>
      </c>
      <c r="P104" s="57">
        <f t="shared" si="5"/>
        <v>143594.7600000001</v>
      </c>
      <c r="Q104" s="57">
        <f t="shared" si="6"/>
        <v>-55686.137629013101</v>
      </c>
      <c r="R104" s="57">
        <f t="shared" si="7"/>
        <v>28207.01000000065</v>
      </c>
    </row>
    <row r="105" spans="1:18" x14ac:dyDescent="0.25">
      <c r="A105" t="s">
        <v>283</v>
      </c>
      <c r="B105" s="50" t="s">
        <v>31</v>
      </c>
      <c r="C105" t="s">
        <v>56</v>
      </c>
      <c r="D105" t="s">
        <v>38</v>
      </c>
      <c r="E105" s="90">
        <v>45268</v>
      </c>
      <c r="F105" s="49" t="s">
        <v>228</v>
      </c>
      <c r="G105">
        <v>4000</v>
      </c>
      <c r="H105" s="49">
        <v>137577.45000000001</v>
      </c>
      <c r="I105" s="49">
        <v>34.3943625</v>
      </c>
      <c r="J105" s="88">
        <v>4000</v>
      </c>
      <c r="K105" s="49">
        <v>129708.36</v>
      </c>
      <c r="L105" s="49">
        <v>32.42709</v>
      </c>
      <c r="M105" s="49">
        <v>-7869.0900000000111</v>
      </c>
      <c r="N105" s="45">
        <v>-5.719752764715446E-2</v>
      </c>
      <c r="O105" s="72">
        <f t="shared" si="4"/>
        <v>108246.54237098759</v>
      </c>
      <c r="P105" s="57">
        <f t="shared" si="5"/>
        <v>135725.6700000001</v>
      </c>
      <c r="Q105" s="57">
        <f t="shared" si="6"/>
        <v>-55686.137629013101</v>
      </c>
      <c r="R105" s="57">
        <f t="shared" si="7"/>
        <v>28207.01000000065</v>
      </c>
    </row>
    <row r="106" spans="1:18" x14ac:dyDescent="0.25">
      <c r="A106" t="s">
        <v>283</v>
      </c>
      <c r="B106" s="50" t="s">
        <v>31</v>
      </c>
      <c r="C106" t="s">
        <v>56</v>
      </c>
      <c r="D106" t="s">
        <v>38</v>
      </c>
      <c r="E106" s="90">
        <v>45274</v>
      </c>
      <c r="F106" s="49" t="s">
        <v>232</v>
      </c>
      <c r="G106">
        <v>4800</v>
      </c>
      <c r="H106" s="49">
        <v>166416</v>
      </c>
      <c r="I106" s="49">
        <v>34.67</v>
      </c>
      <c r="J106" s="88">
        <v>4800</v>
      </c>
      <c r="K106" s="49">
        <v>182373.84</v>
      </c>
      <c r="L106" s="49">
        <v>37.994549999999997</v>
      </c>
      <c r="M106" s="49">
        <v>15957.839999999997</v>
      </c>
      <c r="N106" s="45">
        <v>9.5891260455725394E-2</v>
      </c>
      <c r="O106" s="72">
        <f t="shared" si="4"/>
        <v>124204.38237098759</v>
      </c>
      <c r="P106" s="57">
        <f t="shared" si="5"/>
        <v>151683.5100000001</v>
      </c>
      <c r="Q106" s="57">
        <f t="shared" si="6"/>
        <v>-55686.137629013101</v>
      </c>
      <c r="R106" s="57">
        <f t="shared" si="7"/>
        <v>28207.01000000065</v>
      </c>
    </row>
    <row r="107" spans="1:18" x14ac:dyDescent="0.25">
      <c r="A107" t="s">
        <v>283</v>
      </c>
      <c r="B107" s="50" t="s">
        <v>31</v>
      </c>
      <c r="C107" t="s">
        <v>56</v>
      </c>
      <c r="D107" t="s">
        <v>38</v>
      </c>
      <c r="E107" s="90">
        <v>45274</v>
      </c>
      <c r="F107" s="49" t="s">
        <v>204</v>
      </c>
      <c r="G107">
        <v>3900</v>
      </c>
      <c r="H107" s="49">
        <v>155451.78</v>
      </c>
      <c r="I107" s="49">
        <v>39.859430769230769</v>
      </c>
      <c r="J107" s="88">
        <v>3900</v>
      </c>
      <c r="K107" s="49">
        <v>176290.04</v>
      </c>
      <c r="L107" s="49">
        <v>45.20257435897436</v>
      </c>
      <c r="M107" s="49">
        <v>20838.260000000009</v>
      </c>
      <c r="N107" s="45">
        <v>0.13404967122280625</v>
      </c>
      <c r="O107" s="72">
        <f t="shared" si="4"/>
        <v>145042.6423709876</v>
      </c>
      <c r="P107" s="57">
        <f t="shared" si="5"/>
        <v>172521.77000000011</v>
      </c>
      <c r="Q107" s="57">
        <f t="shared" si="6"/>
        <v>-55686.137629013101</v>
      </c>
      <c r="R107" s="57">
        <f t="shared" si="7"/>
        <v>28207.01000000065</v>
      </c>
    </row>
    <row r="108" spans="1:18" x14ac:dyDescent="0.25">
      <c r="A108" t="s">
        <v>283</v>
      </c>
      <c r="B108" s="50" t="s">
        <v>31</v>
      </c>
      <c r="C108" t="s">
        <v>56</v>
      </c>
      <c r="D108" t="s">
        <v>38</v>
      </c>
      <c r="E108" s="90">
        <v>45274</v>
      </c>
      <c r="F108" s="49" t="s">
        <v>231</v>
      </c>
      <c r="G108">
        <v>6650</v>
      </c>
      <c r="H108" s="49">
        <v>238850</v>
      </c>
      <c r="I108" s="49">
        <v>35.917293233082709</v>
      </c>
      <c r="J108" s="88">
        <v>6650</v>
      </c>
      <c r="K108" s="49">
        <v>288811.5</v>
      </c>
      <c r="L108" s="49">
        <v>43.430300751879699</v>
      </c>
      <c r="M108" s="49">
        <v>49961.5</v>
      </c>
      <c r="N108" s="45">
        <v>0.20917521456981369</v>
      </c>
      <c r="O108" s="72">
        <f t="shared" si="4"/>
        <v>195004.1423709876</v>
      </c>
      <c r="P108" s="57">
        <f t="shared" si="5"/>
        <v>222483.27000000011</v>
      </c>
      <c r="Q108" s="57">
        <f t="shared" si="6"/>
        <v>-55686.137629013101</v>
      </c>
      <c r="R108" s="57">
        <f t="shared" si="7"/>
        <v>28207.01000000065</v>
      </c>
    </row>
    <row r="109" spans="1:18" x14ac:dyDescent="0.25">
      <c r="A109" t="s">
        <v>283</v>
      </c>
      <c r="B109" s="50" t="s">
        <v>31</v>
      </c>
      <c r="C109" t="s">
        <v>56</v>
      </c>
      <c r="D109" t="s">
        <v>38</v>
      </c>
      <c r="E109" s="90">
        <v>45276</v>
      </c>
      <c r="F109" s="49" t="s">
        <v>207</v>
      </c>
      <c r="G109">
        <v>3200</v>
      </c>
      <c r="H109" s="49">
        <v>85616</v>
      </c>
      <c r="I109" s="49">
        <v>26.754999999999999</v>
      </c>
      <c r="J109" s="88">
        <v>3200</v>
      </c>
      <c r="K109" s="49">
        <v>89184.47</v>
      </c>
      <c r="L109" s="49">
        <v>27.870146875</v>
      </c>
      <c r="M109" s="49">
        <v>3568.4700000000012</v>
      </c>
      <c r="N109" s="45">
        <v>4.167994300130818E-2</v>
      </c>
      <c r="O109" s="72">
        <f t="shared" si="4"/>
        <v>198572.6123709876</v>
      </c>
      <c r="P109" s="57">
        <f t="shared" si="5"/>
        <v>226051.74000000011</v>
      </c>
      <c r="Q109" s="57">
        <f t="shared" si="6"/>
        <v>-55686.137629013101</v>
      </c>
      <c r="R109" s="57">
        <f t="shared" si="7"/>
        <v>28207.01000000065</v>
      </c>
    </row>
    <row r="110" spans="1:18" x14ac:dyDescent="0.25">
      <c r="A110" t="s">
        <v>283</v>
      </c>
      <c r="B110" s="50" t="s">
        <v>31</v>
      </c>
      <c r="C110" t="s">
        <v>56</v>
      </c>
      <c r="D110" t="s">
        <v>38</v>
      </c>
      <c r="E110" s="90">
        <v>45279</v>
      </c>
      <c r="F110" s="49" t="s">
        <v>233</v>
      </c>
      <c r="G110">
        <v>1000</v>
      </c>
      <c r="H110" s="49">
        <v>146449.5</v>
      </c>
      <c r="I110" s="49">
        <v>146.4495</v>
      </c>
      <c r="J110" s="88">
        <v>1000</v>
      </c>
      <c r="K110" s="49">
        <v>146442.18</v>
      </c>
      <c r="L110" s="49">
        <v>146.44217999999998</v>
      </c>
      <c r="M110" s="49">
        <v>-7.3200000000069849</v>
      </c>
      <c r="N110" s="45">
        <v>-4.9983099976490085E-5</v>
      </c>
      <c r="O110" s="72">
        <f t="shared" si="4"/>
        <v>198565.29237098759</v>
      </c>
      <c r="P110" s="57">
        <f t="shared" si="5"/>
        <v>226044.4200000001</v>
      </c>
      <c r="Q110" s="57">
        <f t="shared" si="6"/>
        <v>-55686.137629013101</v>
      </c>
      <c r="R110" s="57">
        <f t="shared" si="7"/>
        <v>28207.01000000065</v>
      </c>
    </row>
    <row r="111" spans="1:18" x14ac:dyDescent="0.25">
      <c r="A111" t="s">
        <v>283</v>
      </c>
      <c r="B111" s="50" t="s">
        <v>31</v>
      </c>
      <c r="C111" t="s">
        <v>56</v>
      </c>
      <c r="D111" t="s">
        <v>38</v>
      </c>
      <c r="E111" s="90">
        <v>45281</v>
      </c>
      <c r="F111" s="49" t="s">
        <v>174</v>
      </c>
      <c r="G111">
        <v>8400</v>
      </c>
      <c r="H111" s="49">
        <v>140308.29</v>
      </c>
      <c r="I111" s="49">
        <v>16.703367857142858</v>
      </c>
      <c r="J111" s="88">
        <v>8400</v>
      </c>
      <c r="K111" s="49">
        <v>142787.29</v>
      </c>
      <c r="L111" s="49">
        <v>16.998486904761904</v>
      </c>
      <c r="M111" s="49">
        <v>-2479</v>
      </c>
      <c r="N111" s="45">
        <v>-1.7668236139147586E-2</v>
      </c>
      <c r="O111" s="72">
        <f t="shared" si="4"/>
        <v>196086.29237098759</v>
      </c>
      <c r="P111" s="57">
        <f t="shared" si="5"/>
        <v>223565.4200000001</v>
      </c>
      <c r="Q111" s="57">
        <f t="shared" si="6"/>
        <v>-55686.137629013101</v>
      </c>
      <c r="R111" s="57">
        <f t="shared" si="7"/>
        <v>28207.01000000065</v>
      </c>
    </row>
    <row r="112" spans="1:18" x14ac:dyDescent="0.25">
      <c r="A112" t="s">
        <v>283</v>
      </c>
      <c r="B112" s="50" t="s">
        <v>31</v>
      </c>
      <c r="C112" t="s">
        <v>56</v>
      </c>
      <c r="D112" t="s">
        <v>38</v>
      </c>
      <c r="E112" s="90">
        <v>45282</v>
      </c>
      <c r="F112" s="49" t="s">
        <v>119</v>
      </c>
      <c r="G112">
        <v>500</v>
      </c>
      <c r="H112" s="49">
        <v>157097.5</v>
      </c>
      <c r="I112" s="49">
        <v>314.19499999999999</v>
      </c>
      <c r="J112" s="88">
        <v>500</v>
      </c>
      <c r="K112" s="49">
        <v>148832.34</v>
      </c>
      <c r="L112" s="49">
        <v>297.66467999999998</v>
      </c>
      <c r="M112" s="49">
        <v>-8265.1600000000035</v>
      </c>
      <c r="N112" s="45">
        <v>-5.2611658365028111E-2</v>
      </c>
      <c r="O112" s="72">
        <f t="shared" si="4"/>
        <v>187821.13237098759</v>
      </c>
      <c r="P112" s="57">
        <f t="shared" si="5"/>
        <v>215300.2600000001</v>
      </c>
      <c r="Q112" s="57">
        <f t="shared" si="6"/>
        <v>-55686.137629013101</v>
      </c>
      <c r="R112" s="57">
        <f t="shared" si="7"/>
        <v>28207.01000000065</v>
      </c>
    </row>
    <row r="113" spans="1:18" x14ac:dyDescent="0.25">
      <c r="A113" t="s">
        <v>283</v>
      </c>
      <c r="B113" s="50" t="s">
        <v>31</v>
      </c>
      <c r="C113" t="s">
        <v>56</v>
      </c>
      <c r="D113" t="s">
        <v>38</v>
      </c>
      <c r="E113" s="90">
        <v>45282</v>
      </c>
      <c r="F113" s="49" t="s">
        <v>79</v>
      </c>
      <c r="G113">
        <v>1950</v>
      </c>
      <c r="H113" s="49">
        <v>495094.9</v>
      </c>
      <c r="I113" s="49">
        <v>253.89482051282053</v>
      </c>
      <c r="J113" s="88">
        <v>1950</v>
      </c>
      <c r="K113" s="49">
        <v>492283.8</v>
      </c>
      <c r="L113" s="49">
        <v>252.45323076923077</v>
      </c>
      <c r="M113" s="49">
        <v>-2811.1000000000349</v>
      </c>
      <c r="N113" s="45">
        <v>-5.6779013478022791E-3</v>
      </c>
      <c r="O113" s="72">
        <f t="shared" si="4"/>
        <v>185010.03237098755</v>
      </c>
      <c r="P113" s="57">
        <f t="shared" si="5"/>
        <v>212489.16000000006</v>
      </c>
      <c r="Q113" s="57">
        <f t="shared" si="6"/>
        <v>-55686.137629013101</v>
      </c>
      <c r="R113" s="57">
        <f t="shared" si="7"/>
        <v>28207.01000000065</v>
      </c>
    </row>
    <row r="114" spans="1:18" x14ac:dyDescent="0.25">
      <c r="A114" t="s">
        <v>283</v>
      </c>
      <c r="B114" s="50" t="s">
        <v>31</v>
      </c>
      <c r="C114" t="s">
        <v>56</v>
      </c>
      <c r="D114" t="s">
        <v>38</v>
      </c>
      <c r="E114" s="90">
        <v>45289</v>
      </c>
      <c r="F114" s="49" t="s">
        <v>235</v>
      </c>
      <c r="G114">
        <v>25000</v>
      </c>
      <c r="H114" s="49">
        <v>541504</v>
      </c>
      <c r="I114" s="49">
        <v>21.660160000000001</v>
      </c>
      <c r="J114" s="88">
        <v>25000</v>
      </c>
      <c r="K114" s="49">
        <v>524120.48</v>
      </c>
      <c r="L114" s="49">
        <v>20.964819200000001</v>
      </c>
      <c r="M114" s="49">
        <v>-17383.520000000019</v>
      </c>
      <c r="N114" s="45">
        <v>-3.2102292873182871E-2</v>
      </c>
      <c r="O114" s="72">
        <f t="shared" si="4"/>
        <v>167626.51237098753</v>
      </c>
      <c r="P114" s="57">
        <f t="shared" si="5"/>
        <v>195105.64000000004</v>
      </c>
      <c r="Q114" s="57">
        <f t="shared" si="6"/>
        <v>-55686.137629013101</v>
      </c>
      <c r="R114" s="57">
        <f t="shared" si="7"/>
        <v>28207.01000000065</v>
      </c>
    </row>
    <row r="115" spans="1:18" x14ac:dyDescent="0.25">
      <c r="A115" t="s">
        <v>283</v>
      </c>
      <c r="B115" s="50" t="s">
        <v>31</v>
      </c>
      <c r="C115" t="s">
        <v>56</v>
      </c>
      <c r="D115" t="s">
        <v>38</v>
      </c>
      <c r="E115" s="90">
        <v>45289</v>
      </c>
      <c r="F115" s="49" t="s">
        <v>146</v>
      </c>
      <c r="G115">
        <v>1000</v>
      </c>
      <c r="H115" s="49">
        <v>154579.20000000001</v>
      </c>
      <c r="I115" s="49">
        <v>154.57920000000001</v>
      </c>
      <c r="J115" s="88">
        <v>1000</v>
      </c>
      <c r="K115" s="49">
        <v>152718.63</v>
      </c>
      <c r="L115" s="49">
        <v>152.71863000000002</v>
      </c>
      <c r="M115" s="49">
        <v>-1860.570000000007</v>
      </c>
      <c r="N115" s="45">
        <v>-1.2036354179605063E-2</v>
      </c>
      <c r="O115" s="72">
        <f t="shared" si="4"/>
        <v>165765.94237098753</v>
      </c>
      <c r="P115" s="57">
        <f t="shared" si="5"/>
        <v>193245.07000000004</v>
      </c>
      <c r="Q115" s="57">
        <f t="shared" si="6"/>
        <v>-55686.137629013101</v>
      </c>
      <c r="R115" s="57">
        <f t="shared" si="7"/>
        <v>28207.01000000065</v>
      </c>
    </row>
    <row r="116" spans="1:18" x14ac:dyDescent="0.25">
      <c r="A116" t="s">
        <v>283</v>
      </c>
      <c r="B116" s="50" t="s">
        <v>31</v>
      </c>
      <c r="C116" t="s">
        <v>56</v>
      </c>
      <c r="D116" t="s">
        <v>38</v>
      </c>
      <c r="E116" s="90">
        <v>45289</v>
      </c>
      <c r="F116" s="49" t="s">
        <v>231</v>
      </c>
      <c r="G116">
        <v>4500</v>
      </c>
      <c r="H116" s="49">
        <v>201982</v>
      </c>
      <c r="I116" s="49">
        <v>44.884888888888888</v>
      </c>
      <c r="J116" s="88">
        <v>4500</v>
      </c>
      <c r="K116" s="49">
        <v>200402.69</v>
      </c>
      <c r="L116" s="49">
        <v>44.533931111111109</v>
      </c>
      <c r="M116" s="49">
        <v>-1579.3099999999977</v>
      </c>
      <c r="N116" s="45">
        <v>-7.8190630848293304E-3</v>
      </c>
      <c r="O116" s="72">
        <f t="shared" si="4"/>
        <v>164186.63237098753</v>
      </c>
      <c r="P116" s="57">
        <f t="shared" si="5"/>
        <v>191665.76000000004</v>
      </c>
      <c r="Q116" s="57">
        <f t="shared" si="6"/>
        <v>-55686.137629013101</v>
      </c>
      <c r="R116" s="57">
        <f t="shared" si="7"/>
        <v>28207.01000000065</v>
      </c>
    </row>
    <row r="117" spans="1:18" x14ac:dyDescent="0.25">
      <c r="A117" t="s">
        <v>283</v>
      </c>
      <c r="B117" s="50" t="s">
        <v>31</v>
      </c>
      <c r="C117" t="s">
        <v>56</v>
      </c>
      <c r="D117" t="s">
        <v>38</v>
      </c>
      <c r="E117" s="90">
        <v>45289</v>
      </c>
      <c r="F117" s="49" t="s">
        <v>204</v>
      </c>
      <c r="G117">
        <v>4000</v>
      </c>
      <c r="H117" s="49">
        <v>218020</v>
      </c>
      <c r="I117" s="49">
        <v>54.505000000000003</v>
      </c>
      <c r="J117" s="88">
        <v>4000</v>
      </c>
      <c r="K117" s="49">
        <v>217734.71</v>
      </c>
      <c r="L117" s="49">
        <v>54.433677499999995</v>
      </c>
      <c r="M117" s="49">
        <v>-285.29000000000815</v>
      </c>
      <c r="N117" s="45">
        <v>-1.3085496743418408E-3</v>
      </c>
      <c r="O117" s="72">
        <f t="shared" si="4"/>
        <v>163901.34237098752</v>
      </c>
      <c r="P117" s="57">
        <f t="shared" si="5"/>
        <v>191380.47000000003</v>
      </c>
      <c r="Q117" s="57">
        <f t="shared" si="6"/>
        <v>-55686.137629013101</v>
      </c>
      <c r="R117" s="57">
        <f t="shared" si="7"/>
        <v>28207.01000000065</v>
      </c>
    </row>
    <row r="118" spans="1:18" x14ac:dyDescent="0.25">
      <c r="A118" t="s">
        <v>283</v>
      </c>
      <c r="B118" s="50" t="s">
        <v>31</v>
      </c>
      <c r="C118" t="s">
        <v>56</v>
      </c>
      <c r="D118" t="s">
        <v>38</v>
      </c>
      <c r="E118" s="90">
        <v>45293</v>
      </c>
      <c r="F118" s="49" t="s">
        <v>288</v>
      </c>
      <c r="G118">
        <v>6500</v>
      </c>
      <c r="H118" s="49">
        <v>907237.5</v>
      </c>
      <c r="I118" s="49">
        <v>139.57499999999999</v>
      </c>
      <c r="J118" s="88">
        <v>6500</v>
      </c>
      <c r="K118" s="49">
        <v>908141.81</v>
      </c>
      <c r="L118" s="49">
        <v>139.71412461538463</v>
      </c>
      <c r="M118" s="49">
        <v>864.31000000005588</v>
      </c>
      <c r="N118" s="45">
        <v>9.5268328304336616E-4</v>
      </c>
      <c r="O118" s="72">
        <f t="shared" si="4"/>
        <v>164765.65237098758</v>
      </c>
      <c r="P118" s="57">
        <f t="shared" si="5"/>
        <v>192244.78000000009</v>
      </c>
      <c r="Q118" s="57">
        <f t="shared" si="6"/>
        <v>-55686.137629013101</v>
      </c>
      <c r="R118" s="57">
        <f t="shared" si="7"/>
        <v>28207.01000000065</v>
      </c>
    </row>
    <row r="119" spans="1:18" x14ac:dyDescent="0.25">
      <c r="A119" t="s">
        <v>283</v>
      </c>
      <c r="B119" s="50" t="s">
        <v>31</v>
      </c>
      <c r="C119" t="s">
        <v>51</v>
      </c>
      <c r="D119" t="s">
        <v>38</v>
      </c>
      <c r="E119" s="90">
        <v>45293</v>
      </c>
      <c r="F119" s="49" t="s">
        <v>52</v>
      </c>
      <c r="G119">
        <v>5</v>
      </c>
      <c r="H119" s="49">
        <v>350011.85</v>
      </c>
      <c r="I119" s="49">
        <v>70.002369999999999</v>
      </c>
      <c r="J119" s="88">
        <v>3</v>
      </c>
      <c r="K119" s="49">
        <v>368760.52</v>
      </c>
      <c r="L119" s="49">
        <v>0</v>
      </c>
      <c r="M119" s="49">
        <v>18748.670000000042</v>
      </c>
      <c r="N119" s="45">
        <v>5.3565814985978455E-2</v>
      </c>
      <c r="O119" s="72">
        <f t="shared" si="4"/>
        <v>183514.32237098762</v>
      </c>
      <c r="P119" s="57">
        <f t="shared" si="5"/>
        <v>192244.78000000009</v>
      </c>
      <c r="Q119" s="57">
        <f t="shared" si="6"/>
        <v>-55686.137629013101</v>
      </c>
      <c r="R119" s="57">
        <f t="shared" si="7"/>
        <v>46955.680000000692</v>
      </c>
    </row>
    <row r="120" spans="1:18" x14ac:dyDescent="0.25">
      <c r="A120" t="s">
        <v>283</v>
      </c>
      <c r="B120" s="50" t="s">
        <v>31</v>
      </c>
      <c r="C120" t="s">
        <v>56</v>
      </c>
      <c r="D120" t="s">
        <v>38</v>
      </c>
      <c r="E120" s="90">
        <v>45295</v>
      </c>
      <c r="F120" s="49" t="s">
        <v>55</v>
      </c>
      <c r="G120">
        <v>2200</v>
      </c>
      <c r="H120" s="49">
        <v>432051.05</v>
      </c>
      <c r="I120" s="49">
        <v>196.38684090909089</v>
      </c>
      <c r="J120" s="88">
        <v>2200</v>
      </c>
      <c r="K120" s="49">
        <v>428435.3</v>
      </c>
      <c r="L120" s="49">
        <v>194.74331818181818</v>
      </c>
      <c r="M120" s="49">
        <v>-3615.75</v>
      </c>
      <c r="N120" s="45">
        <v>-8.368802714401458E-3</v>
      </c>
      <c r="O120" s="72">
        <f t="shared" si="4"/>
        <v>179898.57237098762</v>
      </c>
      <c r="P120" s="57">
        <f t="shared" si="5"/>
        <v>188629.03000000009</v>
      </c>
      <c r="Q120" s="57">
        <f t="shared" si="6"/>
        <v>-55686.137629013101</v>
      </c>
      <c r="R120" s="57">
        <f t="shared" si="7"/>
        <v>46955.680000000692</v>
      </c>
    </row>
    <row r="121" spans="1:18" x14ac:dyDescent="0.25">
      <c r="A121" t="s">
        <v>283</v>
      </c>
      <c r="B121" s="50" t="s">
        <v>31</v>
      </c>
      <c r="C121" t="s">
        <v>56</v>
      </c>
      <c r="D121" t="s">
        <v>38</v>
      </c>
      <c r="E121" s="90">
        <v>45295</v>
      </c>
      <c r="F121" s="49" t="s">
        <v>231</v>
      </c>
      <c r="G121">
        <v>5000</v>
      </c>
      <c r="H121" s="49">
        <v>176750</v>
      </c>
      <c r="I121" s="49">
        <v>35.35</v>
      </c>
      <c r="J121" s="88">
        <v>5000</v>
      </c>
      <c r="K121" s="49">
        <v>175956.91</v>
      </c>
      <c r="L121" s="49">
        <v>35.191381999999997</v>
      </c>
      <c r="M121" s="49">
        <v>-833.08999999999651</v>
      </c>
      <c r="N121" s="45">
        <v>-4.7133804809052137E-3</v>
      </c>
      <c r="O121" s="72">
        <f t="shared" si="4"/>
        <v>179065.48237098762</v>
      </c>
      <c r="P121" s="57">
        <f t="shared" si="5"/>
        <v>187795.94000000009</v>
      </c>
      <c r="Q121" s="57">
        <f t="shared" si="6"/>
        <v>-55686.137629013101</v>
      </c>
      <c r="R121" s="57">
        <f t="shared" si="7"/>
        <v>46955.680000000692</v>
      </c>
    </row>
    <row r="122" spans="1:18" x14ac:dyDescent="0.25">
      <c r="A122" t="s">
        <v>283</v>
      </c>
      <c r="B122" s="50" t="s">
        <v>31</v>
      </c>
      <c r="C122" t="s">
        <v>56</v>
      </c>
      <c r="D122" t="s">
        <v>38</v>
      </c>
      <c r="E122" s="90">
        <v>45296</v>
      </c>
      <c r="F122" s="49" t="s">
        <v>204</v>
      </c>
      <c r="G122">
        <v>4500</v>
      </c>
      <c r="H122" s="49">
        <v>207965.5</v>
      </c>
      <c r="I122" s="49">
        <v>46.214555555555556</v>
      </c>
      <c r="J122" s="88">
        <v>4500</v>
      </c>
      <c r="K122" s="49">
        <v>201311.9</v>
      </c>
      <c r="L122" s="49">
        <v>44.735977777777777</v>
      </c>
      <c r="M122" s="49">
        <v>-6653.6000000000058</v>
      </c>
      <c r="N122" s="45">
        <v>-3.1993768197128881E-2</v>
      </c>
      <c r="O122" s="72">
        <f t="shared" si="4"/>
        <v>172411.88237098762</v>
      </c>
      <c r="P122" s="57">
        <f t="shared" si="5"/>
        <v>181142.34000000008</v>
      </c>
      <c r="Q122" s="57">
        <f t="shared" si="6"/>
        <v>-55686.137629013101</v>
      </c>
      <c r="R122" s="57">
        <f t="shared" si="7"/>
        <v>46955.680000000692</v>
      </c>
    </row>
    <row r="123" spans="1:18" x14ac:dyDescent="0.25">
      <c r="A123" t="s">
        <v>283</v>
      </c>
      <c r="B123" s="50" t="s">
        <v>31</v>
      </c>
      <c r="C123" t="s">
        <v>56</v>
      </c>
      <c r="D123" t="s">
        <v>38</v>
      </c>
      <c r="E123" s="90">
        <v>45299</v>
      </c>
      <c r="F123" s="49" t="s">
        <v>215</v>
      </c>
      <c r="G123">
        <v>6000</v>
      </c>
      <c r="H123" s="49">
        <v>153700.95000000001</v>
      </c>
      <c r="I123" s="49">
        <v>25.616825000000002</v>
      </c>
      <c r="J123" s="88">
        <v>6000</v>
      </c>
      <c r="K123" s="49">
        <v>167907.66</v>
      </c>
      <c r="L123" s="49">
        <v>27.98461</v>
      </c>
      <c r="M123" s="49">
        <v>14206.709999999992</v>
      </c>
      <c r="N123" s="45">
        <v>9.2430853550352104E-2</v>
      </c>
      <c r="O123" s="72">
        <f t="shared" si="4"/>
        <v>186618.59237098761</v>
      </c>
      <c r="P123" s="57">
        <f t="shared" si="5"/>
        <v>195349.05000000008</v>
      </c>
      <c r="Q123" s="57">
        <f t="shared" si="6"/>
        <v>-55686.137629013101</v>
      </c>
      <c r="R123" s="57">
        <f t="shared" si="7"/>
        <v>46955.680000000692</v>
      </c>
    </row>
    <row r="124" spans="1:18" x14ac:dyDescent="0.25">
      <c r="A124" t="s">
        <v>283</v>
      </c>
      <c r="B124" s="50" t="s">
        <v>31</v>
      </c>
      <c r="C124" t="s">
        <v>56</v>
      </c>
      <c r="D124" t="s">
        <v>38</v>
      </c>
      <c r="E124" s="90">
        <v>45300</v>
      </c>
      <c r="F124" s="49" t="s">
        <v>238</v>
      </c>
      <c r="G124">
        <v>10000</v>
      </c>
      <c r="H124" s="49">
        <v>170000</v>
      </c>
      <c r="I124" s="49">
        <v>17</v>
      </c>
      <c r="J124" s="88">
        <v>10000</v>
      </c>
      <c r="K124" s="49">
        <v>164776.92000000001</v>
      </c>
      <c r="L124" s="49">
        <v>16.477692000000001</v>
      </c>
      <c r="M124" s="49">
        <v>-5326.0599999999868</v>
      </c>
      <c r="N124" s="45">
        <v>-3.1329764705882272E-2</v>
      </c>
      <c r="O124" s="72">
        <f t="shared" si="4"/>
        <v>181292.53237098761</v>
      </c>
      <c r="P124" s="57">
        <f t="shared" si="5"/>
        <v>190022.99000000008</v>
      </c>
      <c r="Q124" s="57">
        <f t="shared" si="6"/>
        <v>-55686.137629013101</v>
      </c>
      <c r="R124" s="57">
        <f t="shared" si="7"/>
        <v>46955.680000000692</v>
      </c>
    </row>
    <row r="125" spans="1:18" x14ac:dyDescent="0.25">
      <c r="A125" t="s">
        <v>283</v>
      </c>
      <c r="B125" s="50" t="s">
        <v>31</v>
      </c>
      <c r="C125" t="s">
        <v>56</v>
      </c>
      <c r="D125" t="s">
        <v>38</v>
      </c>
      <c r="E125" s="90">
        <v>45300</v>
      </c>
      <c r="F125" s="49" t="s">
        <v>230</v>
      </c>
      <c r="G125">
        <v>3100</v>
      </c>
      <c r="H125" s="49">
        <v>116902.41</v>
      </c>
      <c r="I125" s="49">
        <v>37.71045483870968</v>
      </c>
      <c r="J125" s="88">
        <v>3100</v>
      </c>
      <c r="K125" s="49">
        <v>111880</v>
      </c>
      <c r="L125" s="49">
        <v>36.090322580645164</v>
      </c>
      <c r="M125" s="49">
        <v>-5022.4100000000035</v>
      </c>
      <c r="N125" s="45">
        <v>-4.2962416258142185E-2</v>
      </c>
      <c r="O125" s="72">
        <f t="shared" si="4"/>
        <v>176270.12237098761</v>
      </c>
      <c r="P125" s="57">
        <f t="shared" si="5"/>
        <v>185000.58000000007</v>
      </c>
      <c r="Q125" s="57">
        <f t="shared" si="6"/>
        <v>-55686.137629013101</v>
      </c>
      <c r="R125" s="57">
        <f t="shared" si="7"/>
        <v>46955.680000000692</v>
      </c>
    </row>
    <row r="126" spans="1:18" x14ac:dyDescent="0.25">
      <c r="A126" t="s">
        <v>283</v>
      </c>
      <c r="B126" s="50" t="s">
        <v>31</v>
      </c>
      <c r="C126" t="s">
        <v>56</v>
      </c>
      <c r="D126" t="s">
        <v>38</v>
      </c>
      <c r="E126" s="90">
        <v>45302</v>
      </c>
      <c r="F126" s="49" t="s">
        <v>231</v>
      </c>
      <c r="G126">
        <v>6500</v>
      </c>
      <c r="H126" s="49">
        <v>221487.5</v>
      </c>
      <c r="I126" s="49">
        <v>34.075000000000003</v>
      </c>
      <c r="J126" s="88">
        <v>6500</v>
      </c>
      <c r="K126" s="49">
        <v>212054.44</v>
      </c>
      <c r="L126" s="49">
        <v>32.623759999999997</v>
      </c>
      <c r="M126" s="49">
        <v>-9433.0599999999977</v>
      </c>
      <c r="N126" s="45">
        <v>-4.258958180484225E-2</v>
      </c>
      <c r="O126" s="72">
        <f t="shared" si="4"/>
        <v>166837.06237098761</v>
      </c>
      <c r="P126" s="57">
        <f t="shared" si="5"/>
        <v>175567.52000000008</v>
      </c>
      <c r="Q126" s="57">
        <f t="shared" si="6"/>
        <v>-55686.137629013101</v>
      </c>
      <c r="R126" s="57">
        <f t="shared" si="7"/>
        <v>46955.680000000692</v>
      </c>
    </row>
    <row r="127" spans="1:18" x14ac:dyDescent="0.25">
      <c r="A127" t="s">
        <v>283</v>
      </c>
      <c r="B127" s="50" t="s">
        <v>31</v>
      </c>
      <c r="C127" t="s">
        <v>56</v>
      </c>
      <c r="D127" t="s">
        <v>38</v>
      </c>
      <c r="E127" s="90">
        <v>45302</v>
      </c>
      <c r="F127" s="49" t="s">
        <v>173</v>
      </c>
      <c r="G127">
        <v>3700</v>
      </c>
      <c r="H127" s="49">
        <v>159188.98000000001</v>
      </c>
      <c r="I127" s="49">
        <v>43.024048648648652</v>
      </c>
      <c r="J127" s="88">
        <v>3700</v>
      </c>
      <c r="K127" s="49">
        <v>161304.88</v>
      </c>
      <c r="L127" s="49">
        <v>43.595913513513516</v>
      </c>
      <c r="M127" s="49">
        <v>2115.8999999999942</v>
      </c>
      <c r="N127" s="45">
        <v>1.3291749215303685E-2</v>
      </c>
      <c r="O127" s="72">
        <f t="shared" si="4"/>
        <v>168952.9623709876</v>
      </c>
      <c r="P127" s="57">
        <f t="shared" si="5"/>
        <v>177683.42000000007</v>
      </c>
      <c r="Q127" s="57">
        <f t="shared" si="6"/>
        <v>-55686.137629013101</v>
      </c>
      <c r="R127" s="57">
        <f t="shared" si="7"/>
        <v>46955.680000000692</v>
      </c>
    </row>
    <row r="128" spans="1:18" x14ac:dyDescent="0.25">
      <c r="A128" t="s">
        <v>283</v>
      </c>
      <c r="B128" s="50" t="s">
        <v>31</v>
      </c>
      <c r="C128" t="s">
        <v>35</v>
      </c>
      <c r="D128" t="s">
        <v>36</v>
      </c>
      <c r="E128" s="90">
        <v>45304</v>
      </c>
      <c r="F128" s="49" t="s">
        <v>187</v>
      </c>
      <c r="G128">
        <v>2000000</v>
      </c>
      <c r="H128" s="49">
        <v>1921661.55</v>
      </c>
      <c r="I128" s="49">
        <v>0.96083077500000003</v>
      </c>
      <c r="J128" s="88">
        <v>2000000</v>
      </c>
      <c r="K128" s="49">
        <v>1930888.7</v>
      </c>
      <c r="L128" s="49">
        <v>0.96544434999999995</v>
      </c>
      <c r="M128" s="49">
        <v>-10161</v>
      </c>
      <c r="N128" s="45">
        <v>-5.0804999999999999E-3</v>
      </c>
      <c r="O128" s="72">
        <f t="shared" si="4"/>
        <v>158791.9623709876</v>
      </c>
      <c r="P128" s="57">
        <f t="shared" si="5"/>
        <v>177683.42000000007</v>
      </c>
      <c r="Q128" s="57">
        <f t="shared" si="6"/>
        <v>-65847.137629013101</v>
      </c>
      <c r="R128" s="57">
        <f t="shared" si="7"/>
        <v>46955.680000000692</v>
      </c>
    </row>
    <row r="129" spans="1:18" x14ac:dyDescent="0.25">
      <c r="A129" t="s">
        <v>283</v>
      </c>
      <c r="B129" s="50" t="s">
        <v>31</v>
      </c>
      <c r="C129" t="s">
        <v>56</v>
      </c>
      <c r="D129" t="s">
        <v>38</v>
      </c>
      <c r="E129" s="90">
        <v>45307</v>
      </c>
      <c r="F129" s="49" t="s">
        <v>233</v>
      </c>
      <c r="G129">
        <v>1000</v>
      </c>
      <c r="H129" s="49">
        <v>150735</v>
      </c>
      <c r="I129" s="49">
        <v>150.73500000000001</v>
      </c>
      <c r="J129" s="88">
        <v>1000</v>
      </c>
      <c r="K129" s="49">
        <v>143131.34</v>
      </c>
      <c r="L129" s="49">
        <v>143.13133999999999</v>
      </c>
      <c r="M129" s="49">
        <v>-7603.6600000000035</v>
      </c>
      <c r="N129" s="45">
        <v>-5.0443891597837284E-2</v>
      </c>
      <c r="O129" s="72">
        <f t="shared" si="4"/>
        <v>151188.3023709876</v>
      </c>
      <c r="P129" s="57">
        <f t="shared" si="5"/>
        <v>170079.76000000007</v>
      </c>
      <c r="Q129" s="57">
        <f t="shared" si="6"/>
        <v>-65847.137629013101</v>
      </c>
      <c r="R129" s="57">
        <f t="shared" si="7"/>
        <v>46955.680000000692</v>
      </c>
    </row>
    <row r="130" spans="1:18" x14ac:dyDescent="0.25">
      <c r="A130" t="s">
        <v>283</v>
      </c>
      <c r="B130" s="50" t="s">
        <v>31</v>
      </c>
      <c r="C130" t="s">
        <v>56</v>
      </c>
      <c r="D130" t="s">
        <v>38</v>
      </c>
      <c r="E130" s="90">
        <v>45307</v>
      </c>
      <c r="F130" s="49" t="s">
        <v>235</v>
      </c>
      <c r="G130">
        <v>5000</v>
      </c>
      <c r="H130" s="49">
        <v>105775</v>
      </c>
      <c r="I130" s="49">
        <v>21.155000000000001</v>
      </c>
      <c r="J130" s="88">
        <v>5000</v>
      </c>
      <c r="K130" s="49">
        <v>99412.05</v>
      </c>
      <c r="L130" s="49">
        <v>19.88241</v>
      </c>
      <c r="M130" s="49">
        <v>-6362.9499999999971</v>
      </c>
      <c r="N130" s="45">
        <v>-6.0155518789884163E-2</v>
      </c>
      <c r="O130" s="72">
        <f t="shared" si="4"/>
        <v>144825.35237098759</v>
      </c>
      <c r="P130" s="57">
        <f t="shared" si="5"/>
        <v>163716.81000000006</v>
      </c>
      <c r="Q130" s="57">
        <f t="shared" si="6"/>
        <v>-65847.137629013101</v>
      </c>
      <c r="R130" s="57">
        <f t="shared" si="7"/>
        <v>46955.680000000692</v>
      </c>
    </row>
    <row r="131" spans="1:18" x14ac:dyDescent="0.25">
      <c r="A131" t="s">
        <v>283</v>
      </c>
      <c r="B131" s="50" t="s">
        <v>31</v>
      </c>
      <c r="C131" t="s">
        <v>56</v>
      </c>
      <c r="D131" t="s">
        <v>38</v>
      </c>
      <c r="E131" s="90">
        <v>45313</v>
      </c>
      <c r="F131" s="49" t="s">
        <v>288</v>
      </c>
      <c r="G131">
        <v>2250</v>
      </c>
      <c r="H131" s="49">
        <v>374400</v>
      </c>
      <c r="I131" s="49">
        <v>166.4</v>
      </c>
      <c r="J131" s="88">
        <v>2250</v>
      </c>
      <c r="K131" s="49">
        <v>380174.36</v>
      </c>
      <c r="L131" s="49">
        <v>168.96638222222222</v>
      </c>
      <c r="M131" s="49">
        <v>5734.359999999986</v>
      </c>
      <c r="N131" s="45">
        <v>1.5316132478632441E-2</v>
      </c>
      <c r="O131" s="72">
        <f t="shared" si="4"/>
        <v>150559.71237098757</v>
      </c>
      <c r="P131" s="57">
        <f t="shared" si="5"/>
        <v>169451.17000000004</v>
      </c>
      <c r="Q131" s="57">
        <f t="shared" si="6"/>
        <v>-65847.137629013101</v>
      </c>
      <c r="R131" s="57">
        <f t="shared" si="7"/>
        <v>46955.680000000692</v>
      </c>
    </row>
    <row r="132" spans="1:18" x14ac:dyDescent="0.25">
      <c r="A132" t="s">
        <v>283</v>
      </c>
      <c r="B132" s="50" t="s">
        <v>31</v>
      </c>
      <c r="C132" t="s">
        <v>56</v>
      </c>
      <c r="D132" t="s">
        <v>38</v>
      </c>
      <c r="E132" s="90">
        <v>45313</v>
      </c>
      <c r="F132" s="49" t="s">
        <v>238</v>
      </c>
      <c r="G132">
        <v>10000</v>
      </c>
      <c r="H132" s="49">
        <v>169286.94</v>
      </c>
      <c r="I132" s="49">
        <v>16.928694</v>
      </c>
      <c r="J132" s="88">
        <v>10000</v>
      </c>
      <c r="K132" s="49">
        <v>179464.16</v>
      </c>
      <c r="L132" s="49">
        <v>17.946415999999999</v>
      </c>
      <c r="M132" s="49">
        <v>10177.220000000001</v>
      </c>
      <c r="N132" s="45">
        <v>6.0118163870172152E-2</v>
      </c>
      <c r="O132" s="72">
        <f t="shared" ref="O132:O174" si="8">M132+O131</f>
        <v>160736.93237098758</v>
      </c>
      <c r="P132" s="57">
        <f t="shared" ref="P132:P195" si="9">IF(C132="Equity",M132+P131,P131)</f>
        <v>179628.39000000004</v>
      </c>
      <c r="Q132" s="57">
        <f t="shared" ref="Q132:Q170" si="10">IF(C132="Forex",M132+Q131,Q131)</f>
        <v>-65847.137629013101</v>
      </c>
      <c r="R132" s="57">
        <f t="shared" ref="R132:R170" si="11">IF(C132="Futures",M132+R131,R131)</f>
        <v>46955.680000000692</v>
      </c>
    </row>
    <row r="133" spans="1:18" x14ac:dyDescent="0.25">
      <c r="A133" t="s">
        <v>283</v>
      </c>
      <c r="B133" s="50" t="s">
        <v>31</v>
      </c>
      <c r="C133" t="s">
        <v>56</v>
      </c>
      <c r="D133" t="s">
        <v>38</v>
      </c>
      <c r="E133" s="90">
        <v>45314</v>
      </c>
      <c r="F133" s="49" t="s">
        <v>214</v>
      </c>
      <c r="G133">
        <v>10000</v>
      </c>
      <c r="H133" s="49">
        <v>1038600</v>
      </c>
      <c r="I133" s="49">
        <v>103.86</v>
      </c>
      <c r="J133" s="88">
        <v>10000</v>
      </c>
      <c r="K133" s="49">
        <v>1032613.16</v>
      </c>
      <c r="L133" s="49">
        <v>103.26131600000001</v>
      </c>
      <c r="M133" s="49">
        <v>-6026.8399999999674</v>
      </c>
      <c r="N133" s="45">
        <v>-5.8028499903716229E-3</v>
      </c>
      <c r="O133" s="72">
        <f t="shared" si="8"/>
        <v>154710.09237098761</v>
      </c>
      <c r="P133" s="57">
        <f t="shared" si="9"/>
        <v>173601.55000000008</v>
      </c>
      <c r="Q133" s="57">
        <f t="shared" si="10"/>
        <v>-65847.137629013101</v>
      </c>
      <c r="R133" s="57">
        <f t="shared" si="11"/>
        <v>46955.680000000692</v>
      </c>
    </row>
    <row r="134" spans="1:18" x14ac:dyDescent="0.25">
      <c r="A134" t="s">
        <v>283</v>
      </c>
      <c r="B134" s="50" t="s">
        <v>31</v>
      </c>
      <c r="C134" t="s">
        <v>56</v>
      </c>
      <c r="D134" t="s">
        <v>38</v>
      </c>
      <c r="E134" s="90">
        <v>45314</v>
      </c>
      <c r="F134" s="49" t="s">
        <v>289</v>
      </c>
      <c r="G134">
        <v>4200</v>
      </c>
      <c r="H134" s="49">
        <v>622104</v>
      </c>
      <c r="I134" s="49">
        <v>148.12</v>
      </c>
      <c r="J134" s="88">
        <v>4200</v>
      </c>
      <c r="K134" s="49">
        <v>616453.66</v>
      </c>
      <c r="L134" s="49">
        <v>146.77468095238095</v>
      </c>
      <c r="M134" s="49">
        <v>-5690.3399999999674</v>
      </c>
      <c r="N134" s="45">
        <v>-9.1469272018825914E-3</v>
      </c>
      <c r="O134" s="72">
        <f t="shared" si="8"/>
        <v>149019.75237098764</v>
      </c>
      <c r="P134" s="57">
        <f t="shared" si="9"/>
        <v>167911.21000000011</v>
      </c>
      <c r="Q134" s="57">
        <f t="shared" si="10"/>
        <v>-65847.137629013101</v>
      </c>
      <c r="R134" s="57">
        <f t="shared" si="11"/>
        <v>46955.680000000692</v>
      </c>
    </row>
    <row r="135" spans="1:18" x14ac:dyDescent="0.25">
      <c r="A135" t="s">
        <v>283</v>
      </c>
      <c r="B135" s="50" t="s">
        <v>31</v>
      </c>
      <c r="C135" t="s">
        <v>56</v>
      </c>
      <c r="D135" t="s">
        <v>38</v>
      </c>
      <c r="E135" s="90">
        <v>45315</v>
      </c>
      <c r="F135" s="49" t="s">
        <v>173</v>
      </c>
      <c r="G135">
        <v>3400</v>
      </c>
      <c r="H135" s="49">
        <v>142191.4</v>
      </c>
      <c r="I135" s="49">
        <v>41.820999999999998</v>
      </c>
      <c r="J135" s="88">
        <v>3400</v>
      </c>
      <c r="K135" s="49">
        <v>159407.16</v>
      </c>
      <c r="L135" s="49">
        <v>46.884458823529414</v>
      </c>
      <c r="M135" s="49">
        <v>17215.760000000009</v>
      </c>
      <c r="N135" s="45">
        <v>0.12107455162548515</v>
      </c>
      <c r="O135" s="72">
        <f t="shared" si="8"/>
        <v>166235.51237098765</v>
      </c>
      <c r="P135" s="57">
        <f t="shared" si="9"/>
        <v>185126.97000000012</v>
      </c>
      <c r="Q135" s="57">
        <f t="shared" si="10"/>
        <v>-65847.137629013101</v>
      </c>
      <c r="R135" s="57">
        <f t="shared" si="11"/>
        <v>46955.680000000692</v>
      </c>
    </row>
    <row r="136" spans="1:18" x14ac:dyDescent="0.25">
      <c r="A136" t="s">
        <v>283</v>
      </c>
      <c r="B136" s="50" t="s">
        <v>31</v>
      </c>
      <c r="C136" t="s">
        <v>56</v>
      </c>
      <c r="D136" t="s">
        <v>38</v>
      </c>
      <c r="E136" s="90">
        <v>45316</v>
      </c>
      <c r="F136" s="49" t="s">
        <v>239</v>
      </c>
      <c r="G136">
        <v>5000</v>
      </c>
      <c r="H136" s="49">
        <v>232275</v>
      </c>
      <c r="I136" s="49">
        <v>46.454999999999998</v>
      </c>
      <c r="J136" s="88">
        <v>5000</v>
      </c>
      <c r="K136" s="49">
        <v>246848.35</v>
      </c>
      <c r="L136" s="49">
        <v>49.369669999999999</v>
      </c>
      <c r="M136" s="49">
        <v>14573.350000000006</v>
      </c>
      <c r="N136" s="45">
        <v>6.2741793133139628E-2</v>
      </c>
      <c r="O136" s="72">
        <f t="shared" si="8"/>
        <v>180808.86237098766</v>
      </c>
      <c r="P136" s="57">
        <f t="shared" si="9"/>
        <v>199700.32000000012</v>
      </c>
      <c r="Q136" s="57">
        <f t="shared" si="10"/>
        <v>-65847.137629013101</v>
      </c>
      <c r="R136" s="57">
        <f t="shared" si="11"/>
        <v>46955.680000000692</v>
      </c>
    </row>
    <row r="137" spans="1:18" x14ac:dyDescent="0.25">
      <c r="A137" t="s">
        <v>283</v>
      </c>
      <c r="B137" s="50" t="s">
        <v>31</v>
      </c>
      <c r="C137" t="s">
        <v>56</v>
      </c>
      <c r="D137" t="s">
        <v>38</v>
      </c>
      <c r="E137" s="90">
        <v>45320</v>
      </c>
      <c r="F137" s="49" t="s">
        <v>79</v>
      </c>
      <c r="G137">
        <v>240</v>
      </c>
      <c r="H137" s="49">
        <v>50054.65</v>
      </c>
      <c r="I137" s="49">
        <v>208.56104166666668</v>
      </c>
      <c r="J137" s="88">
        <v>240</v>
      </c>
      <c r="K137" s="49">
        <v>44734.8</v>
      </c>
      <c r="L137" s="49">
        <v>186.39500000000001</v>
      </c>
      <c r="M137" s="49">
        <v>-5319.8499999999985</v>
      </c>
      <c r="N137" s="45">
        <v>-0.10628083504729327</v>
      </c>
      <c r="O137" s="72">
        <f t="shared" si="8"/>
        <v>175489.01237098765</v>
      </c>
      <c r="P137" s="57">
        <f t="shared" si="9"/>
        <v>194380.47000000012</v>
      </c>
      <c r="Q137" s="57">
        <f t="shared" si="10"/>
        <v>-65847.137629013101</v>
      </c>
      <c r="R137" s="57">
        <f t="shared" si="11"/>
        <v>46955.680000000692</v>
      </c>
    </row>
    <row r="138" spans="1:18" x14ac:dyDescent="0.25">
      <c r="A138" t="s">
        <v>283</v>
      </c>
      <c r="B138" s="50" t="s">
        <v>31</v>
      </c>
      <c r="C138" t="s">
        <v>56</v>
      </c>
      <c r="D138" t="s">
        <v>38</v>
      </c>
      <c r="E138" s="90">
        <v>45320</v>
      </c>
      <c r="F138" s="49" t="s">
        <v>237</v>
      </c>
      <c r="G138">
        <v>1600</v>
      </c>
      <c r="H138" s="49">
        <v>316032</v>
      </c>
      <c r="I138" s="49">
        <v>197.52</v>
      </c>
      <c r="J138" s="88">
        <v>1600</v>
      </c>
      <c r="K138" s="49">
        <v>328575.46999999997</v>
      </c>
      <c r="L138" s="49">
        <v>205.35966874999997</v>
      </c>
      <c r="M138" s="49">
        <v>12543.469999999972</v>
      </c>
      <c r="N138" s="45">
        <v>3.9690506024706272E-2</v>
      </c>
      <c r="O138" s="72">
        <f t="shared" si="8"/>
        <v>188032.48237098762</v>
      </c>
      <c r="P138" s="57">
        <f t="shared" si="9"/>
        <v>206923.94000000009</v>
      </c>
      <c r="Q138" s="57">
        <f t="shared" si="10"/>
        <v>-65847.137629013101</v>
      </c>
      <c r="R138" s="57">
        <f t="shared" si="11"/>
        <v>46955.680000000692</v>
      </c>
    </row>
    <row r="139" spans="1:18" x14ac:dyDescent="0.25">
      <c r="A139" t="s">
        <v>283</v>
      </c>
      <c r="B139" s="50" t="s">
        <v>31</v>
      </c>
      <c r="C139" t="s">
        <v>51</v>
      </c>
      <c r="D139" t="s">
        <v>38</v>
      </c>
      <c r="E139" s="90">
        <v>45322</v>
      </c>
      <c r="F139" s="49" t="s">
        <v>137</v>
      </c>
      <c r="G139">
        <v>7</v>
      </c>
      <c r="H139" s="49">
        <v>699070.4</v>
      </c>
      <c r="I139" s="49">
        <v>1997.3440000000001</v>
      </c>
      <c r="J139" s="88">
        <v>7</v>
      </c>
      <c r="K139" s="49">
        <v>685055</v>
      </c>
      <c r="L139" s="49">
        <v>1957.3</v>
      </c>
      <c r="M139" s="49">
        <v>-14015.400000000023</v>
      </c>
      <c r="N139" s="45">
        <v>-2.0048624573433552E-2</v>
      </c>
      <c r="O139" s="72">
        <f t="shared" si="8"/>
        <v>174017.0823709876</v>
      </c>
      <c r="P139" s="57">
        <f t="shared" si="9"/>
        <v>206923.94000000009</v>
      </c>
      <c r="Q139" s="57">
        <f t="shared" si="10"/>
        <v>-65847.137629013101</v>
      </c>
      <c r="R139" s="57">
        <f t="shared" si="11"/>
        <v>32940.280000000668</v>
      </c>
    </row>
    <row r="140" spans="1:18" x14ac:dyDescent="0.25">
      <c r="A140" t="s">
        <v>283</v>
      </c>
      <c r="B140" s="50" t="s">
        <v>31</v>
      </c>
      <c r="C140" t="s">
        <v>35</v>
      </c>
      <c r="D140" t="s">
        <v>38</v>
      </c>
      <c r="E140" s="90">
        <v>45322</v>
      </c>
      <c r="F140" s="49" t="s">
        <v>188</v>
      </c>
      <c r="G140">
        <v>2000000</v>
      </c>
      <c r="H140" s="49">
        <v>1775505.44</v>
      </c>
      <c r="I140" s="49">
        <v>0.88775271999999994</v>
      </c>
      <c r="J140" s="88">
        <v>2000000</v>
      </c>
      <c r="K140" s="49">
        <v>1762410.19</v>
      </c>
      <c r="L140" s="49">
        <v>0.88120509499999999</v>
      </c>
      <c r="M140" s="49">
        <v>-13095.25</v>
      </c>
      <c r="N140" s="45">
        <v>-6.5476249999999996E-3</v>
      </c>
      <c r="O140" s="72">
        <f t="shared" si="8"/>
        <v>160921.8323709876</v>
      </c>
      <c r="P140" s="57">
        <f t="shared" si="9"/>
        <v>206923.94000000009</v>
      </c>
      <c r="Q140" s="57">
        <f t="shared" si="10"/>
        <v>-78942.387629013101</v>
      </c>
      <c r="R140" s="57">
        <f t="shared" si="11"/>
        <v>32940.280000000668</v>
      </c>
    </row>
    <row r="141" spans="1:18" x14ac:dyDescent="0.25">
      <c r="A141" t="s">
        <v>283</v>
      </c>
      <c r="B141" s="50" t="s">
        <v>31</v>
      </c>
      <c r="C141" t="s">
        <v>56</v>
      </c>
      <c r="D141" t="s">
        <v>38</v>
      </c>
      <c r="E141" s="90">
        <v>45322</v>
      </c>
      <c r="F141" s="49" t="s">
        <v>241</v>
      </c>
      <c r="G141">
        <v>2750</v>
      </c>
      <c r="H141" s="49">
        <v>310653.75</v>
      </c>
      <c r="I141" s="49">
        <v>112.965</v>
      </c>
      <c r="J141" s="88">
        <v>1750</v>
      </c>
      <c r="K141" s="49">
        <v>320565.87</v>
      </c>
      <c r="L141" s="49">
        <v>183.18049714285715</v>
      </c>
      <c r="M141" s="49">
        <v>9912.1199999999953</v>
      </c>
      <c r="N141" s="45">
        <v>3.190729228280681E-2</v>
      </c>
      <c r="O141" s="72">
        <f t="shared" si="8"/>
        <v>170833.95237098759</v>
      </c>
      <c r="P141" s="57">
        <f t="shared" si="9"/>
        <v>216836.06000000008</v>
      </c>
      <c r="Q141" s="57">
        <f t="shared" si="10"/>
        <v>-78942.387629013101</v>
      </c>
      <c r="R141" s="57">
        <f t="shared" si="11"/>
        <v>32940.280000000668</v>
      </c>
    </row>
    <row r="142" spans="1:18" x14ac:dyDescent="0.25">
      <c r="A142" t="s">
        <v>283</v>
      </c>
      <c r="B142" s="50" t="s">
        <v>31</v>
      </c>
      <c r="C142" t="s">
        <v>56</v>
      </c>
      <c r="D142" t="s">
        <v>38</v>
      </c>
      <c r="E142" s="90">
        <v>45323</v>
      </c>
      <c r="F142" s="49" t="s">
        <v>231</v>
      </c>
      <c r="G142">
        <v>3000</v>
      </c>
      <c r="H142" s="49">
        <v>104835</v>
      </c>
      <c r="I142" s="49">
        <v>34.945</v>
      </c>
      <c r="J142" s="88">
        <v>3000</v>
      </c>
      <c r="K142" s="49">
        <v>94427.199999999997</v>
      </c>
      <c r="L142" s="49">
        <v>31.475733333333331</v>
      </c>
      <c r="M142" s="49">
        <v>-10407.800000000003</v>
      </c>
      <c r="N142" s="45">
        <v>-9.9277912910764557E-2</v>
      </c>
      <c r="O142" s="72">
        <f t="shared" si="8"/>
        <v>160426.15237098758</v>
      </c>
      <c r="P142" s="57">
        <f t="shared" si="9"/>
        <v>206428.26000000007</v>
      </c>
      <c r="Q142" s="57">
        <f t="shared" si="10"/>
        <v>-78942.387629013101</v>
      </c>
      <c r="R142" s="57">
        <f t="shared" si="11"/>
        <v>32940.280000000668</v>
      </c>
    </row>
    <row r="143" spans="1:18" x14ac:dyDescent="0.25">
      <c r="A143" t="s">
        <v>283</v>
      </c>
      <c r="B143" s="50" t="s">
        <v>31</v>
      </c>
      <c r="C143" t="s">
        <v>56</v>
      </c>
      <c r="D143" t="s">
        <v>38</v>
      </c>
      <c r="E143" s="90">
        <v>45323</v>
      </c>
      <c r="F143" s="49" t="s">
        <v>173</v>
      </c>
      <c r="G143">
        <v>2500</v>
      </c>
      <c r="H143" s="49">
        <v>107337.5</v>
      </c>
      <c r="I143" s="49">
        <v>42.935000000000002</v>
      </c>
      <c r="J143" s="88">
        <v>2500</v>
      </c>
      <c r="K143" s="49">
        <v>98272.37</v>
      </c>
      <c r="L143" s="49">
        <v>39.308948000000001</v>
      </c>
      <c r="M143" s="49">
        <v>-9065.1300000000047</v>
      </c>
      <c r="N143" s="45">
        <v>-8.4454454407825827E-2</v>
      </c>
      <c r="O143" s="72">
        <f t="shared" si="8"/>
        <v>151361.02237098757</v>
      </c>
      <c r="P143" s="57">
        <f t="shared" si="9"/>
        <v>197363.13000000006</v>
      </c>
      <c r="Q143" s="57">
        <f t="shared" si="10"/>
        <v>-78942.387629013101</v>
      </c>
      <c r="R143" s="57">
        <f t="shared" si="11"/>
        <v>32940.280000000668</v>
      </c>
    </row>
    <row r="144" spans="1:18" x14ac:dyDescent="0.25">
      <c r="A144" t="s">
        <v>283</v>
      </c>
      <c r="B144" s="50" t="s">
        <v>31</v>
      </c>
      <c r="C144" t="s">
        <v>56</v>
      </c>
      <c r="D144" t="s">
        <v>38</v>
      </c>
      <c r="E144" s="90">
        <v>45323</v>
      </c>
      <c r="F144" s="49" t="s">
        <v>204</v>
      </c>
      <c r="G144">
        <v>2500</v>
      </c>
      <c r="H144" s="49">
        <v>111862.5</v>
      </c>
      <c r="I144" s="49">
        <v>44.744999999999997</v>
      </c>
      <c r="J144" s="88">
        <v>2500</v>
      </c>
      <c r="K144" s="49">
        <v>105586.24000000001</v>
      </c>
      <c r="L144" s="49">
        <v>42.234496</v>
      </c>
      <c r="M144" s="49">
        <v>-6276.2599999999948</v>
      </c>
      <c r="N144" s="45">
        <v>-5.6106916973963528E-2</v>
      </c>
      <c r="O144" s="72">
        <f t="shared" si="8"/>
        <v>145084.76237098756</v>
      </c>
      <c r="P144" s="57">
        <f t="shared" si="9"/>
        <v>191086.87000000005</v>
      </c>
      <c r="Q144" s="57">
        <f t="shared" si="10"/>
        <v>-78942.387629013101</v>
      </c>
      <c r="R144" s="57">
        <f t="shared" si="11"/>
        <v>32940.280000000668</v>
      </c>
    </row>
    <row r="145" spans="1:18" x14ac:dyDescent="0.25">
      <c r="A145" t="s">
        <v>283</v>
      </c>
      <c r="B145" s="50" t="s">
        <v>31</v>
      </c>
      <c r="C145" t="s">
        <v>56</v>
      </c>
      <c r="D145" t="s">
        <v>38</v>
      </c>
      <c r="E145" s="90">
        <v>45323</v>
      </c>
      <c r="F145" s="49" t="s">
        <v>243</v>
      </c>
      <c r="G145">
        <v>750</v>
      </c>
      <c r="H145" s="49">
        <v>157143.75</v>
      </c>
      <c r="I145" s="49">
        <v>209.52500000000001</v>
      </c>
      <c r="J145" s="88">
        <v>750</v>
      </c>
      <c r="K145" s="49">
        <v>152515</v>
      </c>
      <c r="L145" s="49">
        <v>203.35333333333332</v>
      </c>
      <c r="M145" s="49">
        <v>-4628.75</v>
      </c>
      <c r="N145" s="45">
        <v>-2.9455514457304221E-2</v>
      </c>
      <c r="O145" s="72">
        <f t="shared" si="8"/>
        <v>140456.01237098756</v>
      </c>
      <c r="P145" s="57">
        <f t="shared" si="9"/>
        <v>186458.12000000005</v>
      </c>
      <c r="Q145" s="57">
        <f t="shared" si="10"/>
        <v>-78942.387629013101</v>
      </c>
      <c r="R145" s="57">
        <f t="shared" si="11"/>
        <v>32940.280000000668</v>
      </c>
    </row>
    <row r="146" spans="1:18" x14ac:dyDescent="0.25">
      <c r="A146" t="s">
        <v>283</v>
      </c>
      <c r="B146" s="50" t="s">
        <v>31</v>
      </c>
      <c r="C146" t="s">
        <v>56</v>
      </c>
      <c r="D146" t="s">
        <v>38</v>
      </c>
      <c r="E146" s="90">
        <v>45323</v>
      </c>
      <c r="F146" s="49" t="s">
        <v>212</v>
      </c>
      <c r="G146">
        <v>2500</v>
      </c>
      <c r="H146" s="49">
        <v>96902.5</v>
      </c>
      <c r="I146" s="49">
        <v>38.761000000000003</v>
      </c>
      <c r="J146" s="88">
        <v>2500</v>
      </c>
      <c r="K146" s="49">
        <v>97098.81</v>
      </c>
      <c r="L146" s="49">
        <v>38.839523999999997</v>
      </c>
      <c r="M146" s="49">
        <v>196.30999999999767</v>
      </c>
      <c r="N146" s="45">
        <v>2.0258507262454289E-3</v>
      </c>
      <c r="O146" s="72">
        <f t="shared" si="8"/>
        <v>140652.32237098756</v>
      </c>
      <c r="P146" s="57">
        <f t="shared" si="9"/>
        <v>186654.43000000005</v>
      </c>
      <c r="Q146" s="57">
        <f t="shared" si="10"/>
        <v>-78942.387629013101</v>
      </c>
      <c r="R146" s="57">
        <f t="shared" si="11"/>
        <v>32940.280000000668</v>
      </c>
    </row>
    <row r="147" spans="1:18" x14ac:dyDescent="0.25">
      <c r="A147" t="s">
        <v>283</v>
      </c>
      <c r="B147" s="50" t="s">
        <v>31</v>
      </c>
      <c r="C147" t="s">
        <v>56</v>
      </c>
      <c r="D147" t="s">
        <v>38</v>
      </c>
      <c r="E147" s="90">
        <v>45323</v>
      </c>
      <c r="F147" s="49" t="s">
        <v>157</v>
      </c>
      <c r="G147">
        <v>3000</v>
      </c>
      <c r="H147" s="49">
        <v>372321</v>
      </c>
      <c r="I147" s="49">
        <v>124.107</v>
      </c>
      <c r="J147" s="88">
        <v>1500</v>
      </c>
      <c r="K147" s="49">
        <v>382062.68</v>
      </c>
      <c r="L147" s="49">
        <v>254.70845333333332</v>
      </c>
      <c r="M147" s="49">
        <v>9741.679999999993</v>
      </c>
      <c r="N147" s="45">
        <v>2.6164734194418237E-2</v>
      </c>
      <c r="O147" s="72">
        <f t="shared" si="8"/>
        <v>150394.00237098755</v>
      </c>
      <c r="P147" s="57">
        <f t="shared" si="9"/>
        <v>196396.11000000004</v>
      </c>
      <c r="Q147" s="57">
        <f t="shared" si="10"/>
        <v>-78942.387629013101</v>
      </c>
      <c r="R147" s="57">
        <f t="shared" si="11"/>
        <v>32940.280000000668</v>
      </c>
    </row>
    <row r="148" spans="1:18" x14ac:dyDescent="0.25">
      <c r="A148" t="s">
        <v>283</v>
      </c>
      <c r="B148" s="50" t="s">
        <v>31</v>
      </c>
      <c r="C148" t="s">
        <v>56</v>
      </c>
      <c r="D148" t="s">
        <v>38</v>
      </c>
      <c r="E148" s="90">
        <v>45324</v>
      </c>
      <c r="F148" s="49" t="s">
        <v>244</v>
      </c>
      <c r="G148">
        <v>10000</v>
      </c>
      <c r="H148" s="49">
        <v>275285</v>
      </c>
      <c r="I148" s="49">
        <v>27.528500000000001</v>
      </c>
      <c r="J148" s="88">
        <v>10000</v>
      </c>
      <c r="K148" s="49">
        <v>276321.87</v>
      </c>
      <c r="L148" s="49">
        <v>27.632186999999998</v>
      </c>
      <c r="M148" s="49">
        <v>987</v>
      </c>
      <c r="N148" s="45">
        <v>3.5853751566558294E-3</v>
      </c>
      <c r="O148" s="72">
        <f t="shared" si="8"/>
        <v>151381.00237098755</v>
      </c>
      <c r="P148" s="57">
        <f t="shared" si="9"/>
        <v>197383.11000000004</v>
      </c>
      <c r="Q148" s="57">
        <f t="shared" si="10"/>
        <v>-78942.387629013101</v>
      </c>
      <c r="R148" s="57">
        <f t="shared" si="11"/>
        <v>32940.280000000668</v>
      </c>
    </row>
    <row r="149" spans="1:18" x14ac:dyDescent="0.25">
      <c r="A149" t="s">
        <v>283</v>
      </c>
      <c r="B149" s="50" t="s">
        <v>31</v>
      </c>
      <c r="C149" t="s">
        <v>56</v>
      </c>
      <c r="D149" t="s">
        <v>38</v>
      </c>
      <c r="E149" s="90">
        <v>45327</v>
      </c>
      <c r="F149" s="49" t="s">
        <v>174</v>
      </c>
      <c r="G149">
        <v>18000</v>
      </c>
      <c r="H149" s="49">
        <v>284136.45</v>
      </c>
      <c r="I149" s="49">
        <v>15.785358333333335</v>
      </c>
      <c r="J149" s="88">
        <v>18000</v>
      </c>
      <c r="K149" s="49">
        <v>301286.45</v>
      </c>
      <c r="L149" s="49">
        <v>16.73813611111111</v>
      </c>
      <c r="M149" s="49">
        <v>-17150</v>
      </c>
      <c r="N149" s="45">
        <v>-6.0358324319178334E-2</v>
      </c>
      <c r="O149" s="72">
        <f t="shared" si="8"/>
        <v>134231.00237098755</v>
      </c>
      <c r="P149" s="57">
        <f t="shared" si="9"/>
        <v>180233.11000000004</v>
      </c>
      <c r="Q149" s="57">
        <f t="shared" si="10"/>
        <v>-78942.387629013101</v>
      </c>
      <c r="R149" s="57">
        <f t="shared" si="11"/>
        <v>32940.280000000668</v>
      </c>
    </row>
    <row r="150" spans="1:18" x14ac:dyDescent="0.25">
      <c r="A150" t="s">
        <v>283</v>
      </c>
      <c r="B150" s="50" t="s">
        <v>31</v>
      </c>
      <c r="C150" t="s">
        <v>56</v>
      </c>
      <c r="D150" t="s">
        <v>38</v>
      </c>
      <c r="E150" s="90">
        <v>45327</v>
      </c>
      <c r="F150" s="49" t="s">
        <v>290</v>
      </c>
      <c r="G150">
        <v>20000</v>
      </c>
      <c r="H150" s="49">
        <v>871910.45</v>
      </c>
      <c r="I150" s="49">
        <v>43.595522499999994</v>
      </c>
      <c r="J150" s="88">
        <v>20000</v>
      </c>
      <c r="K150" s="49">
        <v>860994.45</v>
      </c>
      <c r="L150" s="49">
        <v>43.049722499999994</v>
      </c>
      <c r="M150" s="49">
        <v>-10956</v>
      </c>
      <c r="N150" s="45">
        <v>-1.2565510598020703E-2</v>
      </c>
      <c r="O150" s="72">
        <f t="shared" si="8"/>
        <v>123275.00237098755</v>
      </c>
      <c r="P150" s="57">
        <f t="shared" si="9"/>
        <v>169277.11000000004</v>
      </c>
      <c r="Q150" s="57">
        <f t="shared" si="10"/>
        <v>-78942.387629013101</v>
      </c>
      <c r="R150" s="57">
        <f t="shared" si="11"/>
        <v>32940.280000000668</v>
      </c>
    </row>
    <row r="151" spans="1:18" x14ac:dyDescent="0.25">
      <c r="A151" t="s">
        <v>283</v>
      </c>
      <c r="B151" s="50" t="s">
        <v>31</v>
      </c>
      <c r="C151" t="s">
        <v>56</v>
      </c>
      <c r="D151" t="s">
        <v>38</v>
      </c>
      <c r="E151" s="90">
        <v>45328</v>
      </c>
      <c r="F151" s="49" t="s">
        <v>291</v>
      </c>
      <c r="G151">
        <v>4000</v>
      </c>
      <c r="H151" s="49">
        <v>156520</v>
      </c>
      <c r="I151" s="49">
        <v>39.130000000000003</v>
      </c>
      <c r="J151" s="88">
        <v>4000</v>
      </c>
      <c r="K151" s="49">
        <v>150380</v>
      </c>
      <c r="L151" s="49">
        <v>37.594999999999999</v>
      </c>
      <c r="M151" s="49">
        <v>-6182</v>
      </c>
      <c r="N151" s="45">
        <v>-3.9496549961666239E-2</v>
      </c>
      <c r="O151" s="72">
        <f t="shared" si="8"/>
        <v>117093.00237098755</v>
      </c>
      <c r="P151" s="57">
        <f t="shared" si="9"/>
        <v>163095.11000000004</v>
      </c>
      <c r="Q151" s="57">
        <f t="shared" si="10"/>
        <v>-78942.387629013101</v>
      </c>
      <c r="R151" s="57">
        <f t="shared" si="11"/>
        <v>32940.280000000668</v>
      </c>
    </row>
    <row r="152" spans="1:18" x14ac:dyDescent="0.25">
      <c r="A152" t="s">
        <v>283</v>
      </c>
      <c r="B152" s="50" t="s">
        <v>31</v>
      </c>
      <c r="C152" t="s">
        <v>56</v>
      </c>
      <c r="D152" t="s">
        <v>38</v>
      </c>
      <c r="E152" s="90">
        <v>45328</v>
      </c>
      <c r="F152" s="49" t="s">
        <v>242</v>
      </c>
      <c r="G152">
        <v>8000</v>
      </c>
      <c r="H152" s="49">
        <v>163175.60999999999</v>
      </c>
      <c r="I152" s="49">
        <v>20.396951249999997</v>
      </c>
      <c r="J152" s="88">
        <v>8000</v>
      </c>
      <c r="K152" s="49">
        <v>157159.93</v>
      </c>
      <c r="L152" s="49">
        <v>19.64499125</v>
      </c>
      <c r="M152" s="49">
        <v>6015.679999999993</v>
      </c>
      <c r="N152" s="45">
        <v>3.6866293927137722E-2</v>
      </c>
      <c r="O152" s="72">
        <f t="shared" si="8"/>
        <v>123108.68237098755</v>
      </c>
      <c r="P152" s="57">
        <f t="shared" si="9"/>
        <v>169110.79000000004</v>
      </c>
      <c r="Q152" s="57">
        <f t="shared" si="10"/>
        <v>-78942.387629013101</v>
      </c>
      <c r="R152" s="57">
        <f t="shared" si="11"/>
        <v>32940.280000000668</v>
      </c>
    </row>
    <row r="153" spans="1:18" x14ac:dyDescent="0.25">
      <c r="A153" t="s">
        <v>283</v>
      </c>
      <c r="B153" s="50" t="s">
        <v>31</v>
      </c>
      <c r="C153" t="s">
        <v>56</v>
      </c>
      <c r="D153" t="s">
        <v>38</v>
      </c>
      <c r="E153" s="90">
        <v>45328</v>
      </c>
      <c r="F153" s="49" t="s">
        <v>204</v>
      </c>
      <c r="G153">
        <v>10000</v>
      </c>
      <c r="H153" s="49">
        <v>437250</v>
      </c>
      <c r="I153" s="49">
        <v>43.725000000000001</v>
      </c>
      <c r="J153" s="88">
        <v>10000</v>
      </c>
      <c r="K153" s="49">
        <v>457851.38</v>
      </c>
      <c r="L153" s="49">
        <v>45.785138000000003</v>
      </c>
      <c r="M153" s="49">
        <v>20601.380000000005</v>
      </c>
      <c r="N153" s="45">
        <v>4.7115791881074912E-2</v>
      </c>
      <c r="O153" s="72">
        <f t="shared" si="8"/>
        <v>143710.06237098755</v>
      </c>
      <c r="P153" s="57">
        <f t="shared" si="9"/>
        <v>189712.17000000004</v>
      </c>
      <c r="Q153" s="57">
        <f t="shared" si="10"/>
        <v>-78942.387629013101</v>
      </c>
      <c r="R153" s="57">
        <f t="shared" si="11"/>
        <v>32940.280000000668</v>
      </c>
    </row>
    <row r="154" spans="1:18" x14ac:dyDescent="0.25">
      <c r="A154" t="s">
        <v>283</v>
      </c>
      <c r="B154" s="50" t="s">
        <v>31</v>
      </c>
      <c r="C154" t="s">
        <v>56</v>
      </c>
      <c r="D154" t="s">
        <v>38</v>
      </c>
      <c r="E154" s="90">
        <v>45329</v>
      </c>
      <c r="F154" s="49" t="s">
        <v>291</v>
      </c>
      <c r="G154">
        <v>4500</v>
      </c>
      <c r="H154" s="49">
        <v>177193.2</v>
      </c>
      <c r="I154" s="49">
        <v>39.376266666666666</v>
      </c>
      <c r="J154" s="88">
        <v>4500</v>
      </c>
      <c r="K154" s="49">
        <v>168032.82</v>
      </c>
      <c r="L154" s="49">
        <v>37.340626666666665</v>
      </c>
      <c r="M154" s="49">
        <v>-9207.4700000000048</v>
      </c>
      <c r="N154" s="45">
        <v>-5.196288570893242E-2</v>
      </c>
      <c r="O154" s="72">
        <f t="shared" si="8"/>
        <v>134502.59237098755</v>
      </c>
      <c r="P154" s="57">
        <f t="shared" si="9"/>
        <v>180504.70000000004</v>
      </c>
      <c r="Q154" s="57">
        <f t="shared" si="10"/>
        <v>-78942.387629013101</v>
      </c>
      <c r="R154" s="57">
        <f t="shared" si="11"/>
        <v>32940.280000000668</v>
      </c>
    </row>
    <row r="155" spans="1:18" x14ac:dyDescent="0.25">
      <c r="A155" t="s">
        <v>283</v>
      </c>
      <c r="B155" s="50" t="s">
        <v>31</v>
      </c>
      <c r="C155" t="s">
        <v>56</v>
      </c>
      <c r="D155" t="s">
        <v>38</v>
      </c>
      <c r="E155" s="90">
        <v>45330</v>
      </c>
      <c r="F155" s="49" t="s">
        <v>173</v>
      </c>
      <c r="G155">
        <v>1000</v>
      </c>
      <c r="H155" s="49">
        <v>50862</v>
      </c>
      <c r="I155" s="49">
        <v>50.862000000000002</v>
      </c>
      <c r="J155" s="88">
        <v>1000</v>
      </c>
      <c r="K155" s="49">
        <v>45035</v>
      </c>
      <c r="L155" s="49">
        <v>45.034999999999997</v>
      </c>
      <c r="M155" s="49">
        <v>-5874.09</v>
      </c>
      <c r="N155" s="45">
        <v>-0.11549073964846054</v>
      </c>
      <c r="O155" s="72">
        <f t="shared" si="8"/>
        <v>128628.50237098755</v>
      </c>
      <c r="P155" s="57">
        <f t="shared" si="9"/>
        <v>174630.61000000004</v>
      </c>
      <c r="Q155" s="57">
        <f t="shared" si="10"/>
        <v>-78942.387629013101</v>
      </c>
      <c r="R155" s="57">
        <f t="shared" si="11"/>
        <v>32940.280000000668</v>
      </c>
    </row>
    <row r="156" spans="1:18" x14ac:dyDescent="0.25">
      <c r="A156" t="s">
        <v>283</v>
      </c>
      <c r="B156" s="50" t="s">
        <v>31</v>
      </c>
      <c r="C156" t="s">
        <v>56</v>
      </c>
      <c r="D156" t="s">
        <v>38</v>
      </c>
      <c r="E156" s="90">
        <v>45331</v>
      </c>
      <c r="F156" s="49" t="s">
        <v>215</v>
      </c>
      <c r="G156">
        <v>12000</v>
      </c>
      <c r="H156" s="49">
        <v>384159.63</v>
      </c>
      <c r="I156" s="49">
        <v>32.013302500000002</v>
      </c>
      <c r="J156" s="88">
        <v>12000</v>
      </c>
      <c r="K156" s="49">
        <v>437647.33999999997</v>
      </c>
      <c r="L156" s="49">
        <v>36.470611666666663</v>
      </c>
      <c r="M156" s="49">
        <v>53487.709999999963</v>
      </c>
      <c r="N156" s="45">
        <v>0.13923303185188918</v>
      </c>
      <c r="O156" s="72">
        <f t="shared" si="8"/>
        <v>182116.21237098752</v>
      </c>
      <c r="P156" s="57">
        <f t="shared" si="9"/>
        <v>228118.32</v>
      </c>
      <c r="Q156" s="57">
        <f t="shared" si="10"/>
        <v>-78942.387629013101</v>
      </c>
      <c r="R156" s="57">
        <f t="shared" si="11"/>
        <v>32940.280000000668</v>
      </c>
    </row>
    <row r="157" spans="1:18" x14ac:dyDescent="0.25">
      <c r="A157" t="s">
        <v>283</v>
      </c>
      <c r="B157" s="50" t="s">
        <v>31</v>
      </c>
      <c r="C157" t="s">
        <v>56</v>
      </c>
      <c r="D157" t="s">
        <v>36</v>
      </c>
      <c r="E157" s="90">
        <v>45334</v>
      </c>
      <c r="F157" s="49" t="s">
        <v>119</v>
      </c>
      <c r="G157">
        <v>200</v>
      </c>
      <c r="H157" s="49">
        <v>141889.93</v>
      </c>
      <c r="I157" s="49">
        <v>709.44965000000002</v>
      </c>
      <c r="J157" s="88">
        <v>200</v>
      </c>
      <c r="K157" s="49">
        <v>156783.74</v>
      </c>
      <c r="L157" s="49">
        <v>783.91869999999994</v>
      </c>
      <c r="M157" s="49">
        <v>-14893.809999999998</v>
      </c>
      <c r="N157" s="45">
        <v>-0.10496735039618385</v>
      </c>
      <c r="O157" s="72">
        <f t="shared" si="8"/>
        <v>167222.40237098752</v>
      </c>
      <c r="P157" s="57">
        <f t="shared" si="9"/>
        <v>213224.51</v>
      </c>
      <c r="Q157" s="57">
        <f t="shared" si="10"/>
        <v>-78942.387629013101</v>
      </c>
      <c r="R157" s="57">
        <f t="shared" si="11"/>
        <v>32940.280000000668</v>
      </c>
    </row>
    <row r="158" spans="1:18" x14ac:dyDescent="0.25">
      <c r="A158" t="s">
        <v>283</v>
      </c>
      <c r="B158" s="50" t="s">
        <v>31</v>
      </c>
      <c r="C158" t="s">
        <v>56</v>
      </c>
      <c r="D158" t="s">
        <v>38</v>
      </c>
      <c r="E158" s="90">
        <v>45335</v>
      </c>
      <c r="F158" s="49" t="s">
        <v>288</v>
      </c>
      <c r="G158">
        <v>5350</v>
      </c>
      <c r="H158" s="49">
        <v>919469.25</v>
      </c>
      <c r="I158" s="49">
        <v>171.86341121495326</v>
      </c>
      <c r="J158" s="88">
        <v>5350</v>
      </c>
      <c r="K158" s="49">
        <v>890261.85000000009</v>
      </c>
      <c r="L158" s="49">
        <v>166.40408411214955</v>
      </c>
      <c r="M158" s="49">
        <v>-29207.399999999907</v>
      </c>
      <c r="N158" s="45">
        <v>-3.1765499498759647E-2</v>
      </c>
      <c r="O158" s="72">
        <f t="shared" si="8"/>
        <v>138015.00237098761</v>
      </c>
      <c r="P158" s="57">
        <f t="shared" si="9"/>
        <v>184017.1100000001</v>
      </c>
      <c r="Q158" s="57">
        <f t="shared" si="10"/>
        <v>-78942.387629013101</v>
      </c>
      <c r="R158" s="57">
        <f t="shared" si="11"/>
        <v>32940.280000000668</v>
      </c>
    </row>
    <row r="159" spans="1:18" x14ac:dyDescent="0.25">
      <c r="A159" t="s">
        <v>283</v>
      </c>
      <c r="B159" s="50" t="s">
        <v>31</v>
      </c>
      <c r="C159" t="s">
        <v>56</v>
      </c>
      <c r="D159" t="s">
        <v>38</v>
      </c>
      <c r="E159" s="90">
        <v>45335</v>
      </c>
      <c r="F159" s="49" t="s">
        <v>225</v>
      </c>
      <c r="G159">
        <v>7500</v>
      </c>
      <c r="H159" s="49">
        <v>182887.5</v>
      </c>
      <c r="I159" s="49">
        <v>24.385000000000002</v>
      </c>
      <c r="J159" s="88">
        <v>7500</v>
      </c>
      <c r="K159" s="49">
        <v>174997.19</v>
      </c>
      <c r="L159" s="49">
        <v>23.332958666666666</v>
      </c>
      <c r="M159" s="49">
        <v>-7890.3099999999977</v>
      </c>
      <c r="N159" s="45">
        <v>-4.3142970405303793E-2</v>
      </c>
      <c r="O159" s="72">
        <f t="shared" si="8"/>
        <v>130124.69237098761</v>
      </c>
      <c r="P159" s="57">
        <f t="shared" si="9"/>
        <v>176126.8000000001</v>
      </c>
      <c r="Q159" s="57">
        <f t="shared" si="10"/>
        <v>-78942.387629013101</v>
      </c>
      <c r="R159" s="57">
        <f t="shared" si="11"/>
        <v>32940.280000000668</v>
      </c>
    </row>
    <row r="160" spans="1:18" x14ac:dyDescent="0.25">
      <c r="A160" t="s">
        <v>283</v>
      </c>
      <c r="B160" s="50" t="s">
        <v>31</v>
      </c>
      <c r="C160" t="s">
        <v>56</v>
      </c>
      <c r="D160" t="s">
        <v>38</v>
      </c>
      <c r="E160" s="90">
        <v>45335</v>
      </c>
      <c r="F160" s="49" t="s">
        <v>221</v>
      </c>
      <c r="G160">
        <v>1250</v>
      </c>
      <c r="H160" s="49">
        <v>707866.5</v>
      </c>
      <c r="I160" s="49">
        <v>566.29319999999996</v>
      </c>
      <c r="J160" s="88">
        <v>1250</v>
      </c>
      <c r="K160" s="49">
        <v>690823.5</v>
      </c>
      <c r="L160" s="49">
        <v>552.65880000000004</v>
      </c>
      <c r="M160" s="49">
        <v>-17043</v>
      </c>
      <c r="N160" s="45">
        <v>-2.4076573760730306E-2</v>
      </c>
      <c r="O160" s="72">
        <f t="shared" si="8"/>
        <v>113081.69237098761</v>
      </c>
      <c r="P160" s="57">
        <f t="shared" si="9"/>
        <v>159083.8000000001</v>
      </c>
      <c r="Q160" s="57">
        <f t="shared" si="10"/>
        <v>-78942.387629013101</v>
      </c>
      <c r="R160" s="57">
        <f t="shared" si="11"/>
        <v>32940.280000000668</v>
      </c>
    </row>
    <row r="161" spans="1:18" x14ac:dyDescent="0.25">
      <c r="A161" t="s">
        <v>283</v>
      </c>
      <c r="B161" s="50" t="s">
        <v>31</v>
      </c>
      <c r="C161" t="s">
        <v>56</v>
      </c>
      <c r="D161" t="s">
        <v>38</v>
      </c>
      <c r="E161" s="90">
        <v>45337</v>
      </c>
      <c r="F161" s="49" t="s">
        <v>221</v>
      </c>
      <c r="G161">
        <v>1000</v>
      </c>
      <c r="H161" s="49">
        <v>569167</v>
      </c>
      <c r="I161" s="49">
        <v>569.16700000000003</v>
      </c>
      <c r="J161" s="88">
        <v>1000</v>
      </c>
      <c r="K161" s="49">
        <v>583154.04</v>
      </c>
      <c r="L161" s="49">
        <v>583.15404000000001</v>
      </c>
      <c r="M161" s="49">
        <v>13987.040000000037</v>
      </c>
      <c r="N161" s="45">
        <v>2.4574580044169878E-2</v>
      </c>
      <c r="O161" s="72">
        <f t="shared" si="8"/>
        <v>127068.73237098765</v>
      </c>
      <c r="P161" s="57">
        <f t="shared" si="9"/>
        <v>173070.84000000014</v>
      </c>
      <c r="Q161" s="57">
        <f t="shared" si="10"/>
        <v>-78942.387629013101</v>
      </c>
      <c r="R161" s="57">
        <f t="shared" si="11"/>
        <v>32940.280000000668</v>
      </c>
    </row>
    <row r="162" spans="1:18" x14ac:dyDescent="0.25">
      <c r="A162" t="s">
        <v>283</v>
      </c>
      <c r="B162" s="50" t="s">
        <v>31</v>
      </c>
      <c r="C162" t="s">
        <v>56</v>
      </c>
      <c r="D162" t="s">
        <v>38</v>
      </c>
      <c r="E162" s="90">
        <v>45338</v>
      </c>
      <c r="F162" s="49" t="s">
        <v>288</v>
      </c>
      <c r="G162">
        <v>2000</v>
      </c>
      <c r="H162" s="49">
        <v>354270</v>
      </c>
      <c r="I162" s="49">
        <v>177.13499999999999</v>
      </c>
      <c r="J162" s="88">
        <v>2000</v>
      </c>
      <c r="K162" s="49">
        <v>347660.31</v>
      </c>
      <c r="L162" s="49">
        <v>173.83015499999999</v>
      </c>
      <c r="M162" s="49">
        <v>-6609.6900000000023</v>
      </c>
      <c r="N162" s="45">
        <v>-1.8657210602083165E-2</v>
      </c>
      <c r="O162" s="72">
        <f t="shared" si="8"/>
        <v>120459.04237098765</v>
      </c>
      <c r="P162" s="57">
        <f t="shared" si="9"/>
        <v>166461.15000000014</v>
      </c>
      <c r="Q162" s="57">
        <f t="shared" si="10"/>
        <v>-78942.387629013101</v>
      </c>
      <c r="R162" s="57">
        <f t="shared" si="11"/>
        <v>32940.280000000668</v>
      </c>
    </row>
    <row r="163" spans="1:18" x14ac:dyDescent="0.25">
      <c r="A163" t="s">
        <v>283</v>
      </c>
      <c r="B163" s="50" t="s">
        <v>31</v>
      </c>
      <c r="C163" t="s">
        <v>56</v>
      </c>
      <c r="D163" t="s">
        <v>38</v>
      </c>
      <c r="E163" s="90">
        <v>45338</v>
      </c>
      <c r="F163" s="49" t="s">
        <v>225</v>
      </c>
      <c r="G163">
        <v>10000</v>
      </c>
      <c r="H163" s="49">
        <v>245955</v>
      </c>
      <c r="I163" s="49">
        <v>24.595500000000001</v>
      </c>
      <c r="J163" s="88">
        <v>10000</v>
      </c>
      <c r="K163" s="49">
        <v>243950.99</v>
      </c>
      <c r="L163" s="49">
        <v>24.395098999999998</v>
      </c>
      <c r="M163" s="49">
        <v>-2004.0100000000093</v>
      </c>
      <c r="N163" s="45">
        <v>-8.1478725783172105E-3</v>
      </c>
      <c r="O163" s="72">
        <f t="shared" si="8"/>
        <v>118455.03237098764</v>
      </c>
      <c r="P163" s="57">
        <f t="shared" si="9"/>
        <v>164457.14000000013</v>
      </c>
      <c r="Q163" s="57">
        <f t="shared" si="10"/>
        <v>-78942.387629013101</v>
      </c>
      <c r="R163" s="57">
        <f t="shared" si="11"/>
        <v>32940.280000000668</v>
      </c>
    </row>
    <row r="164" spans="1:18" x14ac:dyDescent="0.25">
      <c r="A164" t="s">
        <v>283</v>
      </c>
      <c r="B164" s="50" t="s">
        <v>31</v>
      </c>
      <c r="C164" t="s">
        <v>56</v>
      </c>
      <c r="D164" t="s">
        <v>38</v>
      </c>
      <c r="E164" s="90">
        <v>45338</v>
      </c>
      <c r="F164" s="49" t="s">
        <v>277</v>
      </c>
      <c r="G164">
        <v>7500</v>
      </c>
      <c r="H164" s="49">
        <v>527580</v>
      </c>
      <c r="I164" s="49">
        <v>70.343999999999994</v>
      </c>
      <c r="J164" s="88">
        <v>7500</v>
      </c>
      <c r="K164" s="49">
        <v>527237.04</v>
      </c>
      <c r="L164" s="49">
        <v>70.298272000000011</v>
      </c>
      <c r="M164" s="49">
        <v>-342.95999999996275</v>
      </c>
      <c r="N164" s="45">
        <v>-6.5006254975541672E-4</v>
      </c>
      <c r="O164" s="72">
        <f t="shared" si="8"/>
        <v>118112.07237098768</v>
      </c>
      <c r="P164" s="57">
        <f t="shared" si="9"/>
        <v>164114.18000000017</v>
      </c>
      <c r="Q164" s="57">
        <f t="shared" si="10"/>
        <v>-78942.387629013101</v>
      </c>
      <c r="R164" s="57">
        <f t="shared" si="11"/>
        <v>32940.280000000668</v>
      </c>
    </row>
    <row r="165" spans="1:18" x14ac:dyDescent="0.25">
      <c r="A165" t="s">
        <v>283</v>
      </c>
      <c r="B165" s="50" t="s">
        <v>31</v>
      </c>
      <c r="C165" t="s">
        <v>56</v>
      </c>
      <c r="D165" t="s">
        <v>38</v>
      </c>
      <c r="E165" s="90">
        <v>45342</v>
      </c>
      <c r="F165" s="49" t="s">
        <v>337</v>
      </c>
      <c r="G165">
        <v>1500</v>
      </c>
      <c r="H165" s="49">
        <v>194167.5</v>
      </c>
      <c r="I165" s="49">
        <v>129.44499999999999</v>
      </c>
      <c r="J165" s="88">
        <v>1500</v>
      </c>
      <c r="K165" s="49">
        <v>179094.32</v>
      </c>
      <c r="L165" s="49">
        <v>119.39621333333334</v>
      </c>
      <c r="M165" s="49">
        <v>-15073.179999999993</v>
      </c>
      <c r="N165" s="45">
        <v>-7.7629778412968142E-2</v>
      </c>
      <c r="O165" s="72">
        <f t="shared" si="8"/>
        <v>103038.89237098768</v>
      </c>
      <c r="P165" s="57">
        <f t="shared" si="9"/>
        <v>149041.00000000017</v>
      </c>
      <c r="Q165" s="57">
        <f t="shared" si="10"/>
        <v>-78942.387629013101</v>
      </c>
      <c r="R165" s="57">
        <f t="shared" si="11"/>
        <v>32940.280000000668</v>
      </c>
    </row>
    <row r="166" spans="1:18" x14ac:dyDescent="0.25">
      <c r="A166" t="s">
        <v>283</v>
      </c>
      <c r="B166" s="50" t="s">
        <v>31</v>
      </c>
      <c r="C166" t="s">
        <v>56</v>
      </c>
      <c r="D166" t="s">
        <v>38</v>
      </c>
      <c r="E166" s="90">
        <v>45342</v>
      </c>
      <c r="F166" s="49" t="s">
        <v>338</v>
      </c>
      <c r="G166">
        <v>10000</v>
      </c>
      <c r="H166" s="49">
        <v>177021.54</v>
      </c>
      <c r="I166" s="49">
        <v>17.702154</v>
      </c>
      <c r="J166" s="88">
        <v>10000</v>
      </c>
      <c r="K166" s="49">
        <v>163383.54</v>
      </c>
      <c r="L166" s="49">
        <v>16.338354000000002</v>
      </c>
      <c r="M166" s="49">
        <v>-13638</v>
      </c>
      <c r="N166" s="45">
        <v>-7.7041471902232914E-2</v>
      </c>
      <c r="O166" s="72">
        <f t="shared" si="8"/>
        <v>89400.892370987684</v>
      </c>
      <c r="P166" s="57">
        <f t="shared" si="9"/>
        <v>135403.00000000017</v>
      </c>
      <c r="Q166" s="57">
        <f t="shared" si="10"/>
        <v>-78942.387629013101</v>
      </c>
      <c r="R166" s="57">
        <f t="shared" si="11"/>
        <v>32940.280000000668</v>
      </c>
    </row>
    <row r="167" spans="1:18" x14ac:dyDescent="0.25">
      <c r="A167" t="s">
        <v>283</v>
      </c>
      <c r="B167" s="50" t="s">
        <v>31</v>
      </c>
      <c r="C167" t="s">
        <v>56</v>
      </c>
      <c r="D167" t="s">
        <v>38</v>
      </c>
      <c r="E167" s="90">
        <v>45342</v>
      </c>
      <c r="F167" s="49" t="s">
        <v>339</v>
      </c>
      <c r="G167">
        <v>3100</v>
      </c>
      <c r="H167" s="49">
        <v>582677</v>
      </c>
      <c r="I167" s="49">
        <v>187.96032258064517</v>
      </c>
      <c r="J167" s="88">
        <v>3100</v>
      </c>
      <c r="K167" s="49">
        <v>571082</v>
      </c>
      <c r="L167" s="49">
        <v>184.22</v>
      </c>
      <c r="M167" s="49">
        <v>-11595</v>
      </c>
      <c r="N167" s="45">
        <v>-1.9899532674191703E-2</v>
      </c>
      <c r="O167" s="72">
        <f t="shared" si="8"/>
        <v>77805.892370987684</v>
      </c>
      <c r="P167" s="57">
        <f t="shared" si="9"/>
        <v>123808.00000000017</v>
      </c>
      <c r="Q167" s="57">
        <f t="shared" si="10"/>
        <v>-78942.387629013101</v>
      </c>
      <c r="R167" s="57">
        <f t="shared" si="11"/>
        <v>32940.280000000668</v>
      </c>
    </row>
    <row r="168" spans="1:18" x14ac:dyDescent="0.25">
      <c r="A168" t="s">
        <v>283</v>
      </c>
      <c r="B168" s="50" t="s">
        <v>31</v>
      </c>
      <c r="C168" t="s">
        <v>56</v>
      </c>
      <c r="D168" t="s">
        <v>38</v>
      </c>
      <c r="E168" s="90">
        <v>45348</v>
      </c>
      <c r="F168" s="49" t="s">
        <v>269</v>
      </c>
      <c r="G168">
        <v>6000</v>
      </c>
      <c r="H168" s="49">
        <v>91230</v>
      </c>
      <c r="I168" s="49">
        <v>15.205</v>
      </c>
      <c r="J168" s="88">
        <v>6000</v>
      </c>
      <c r="K168" s="49">
        <v>88678.29</v>
      </c>
      <c r="L168" s="49">
        <v>14.779714999999999</v>
      </c>
      <c r="M168" s="49">
        <v>-2551.7100000000064</v>
      </c>
      <c r="N168" s="45">
        <v>-2.7970075633015526E-2</v>
      </c>
      <c r="O168" s="72">
        <f t="shared" si="8"/>
        <v>75254.182370987677</v>
      </c>
      <c r="P168" s="57">
        <f t="shared" si="9"/>
        <v>121256.29000000017</v>
      </c>
      <c r="Q168" s="57">
        <f t="shared" si="10"/>
        <v>-78942.387629013101</v>
      </c>
      <c r="R168" s="57">
        <f t="shared" si="11"/>
        <v>32940.280000000668</v>
      </c>
    </row>
    <row r="169" spans="1:18" x14ac:dyDescent="0.25">
      <c r="A169" t="s">
        <v>283</v>
      </c>
      <c r="B169" s="50" t="s">
        <v>31</v>
      </c>
      <c r="C169" t="s">
        <v>56</v>
      </c>
      <c r="D169" t="s">
        <v>38</v>
      </c>
      <c r="E169" s="90">
        <v>45349</v>
      </c>
      <c r="F169" s="49" t="s">
        <v>346</v>
      </c>
      <c r="G169">
        <v>5000</v>
      </c>
      <c r="H169" s="49">
        <v>119775</v>
      </c>
      <c r="I169" s="49">
        <v>23.954999999999998</v>
      </c>
      <c r="J169" s="88">
        <v>5000</v>
      </c>
      <c r="K169" s="49">
        <v>121923.19</v>
      </c>
      <c r="L169" s="49">
        <v>24.384637999999999</v>
      </c>
      <c r="M169" s="49">
        <v>2148.1900000000023</v>
      </c>
      <c r="N169" s="45">
        <v>1.7935211855562534E-2</v>
      </c>
      <c r="O169" s="72">
        <f t="shared" si="8"/>
        <v>77402.372370987679</v>
      </c>
      <c r="P169" s="57">
        <f t="shared" si="9"/>
        <v>123404.48000000017</v>
      </c>
      <c r="Q169" s="57">
        <f t="shared" si="10"/>
        <v>-78942.387629013101</v>
      </c>
      <c r="R169" s="57">
        <f t="shared" si="11"/>
        <v>32940.280000000668</v>
      </c>
    </row>
    <row r="170" spans="1:18" x14ac:dyDescent="0.25">
      <c r="A170" t="s">
        <v>283</v>
      </c>
      <c r="B170" s="50" t="s">
        <v>31</v>
      </c>
      <c r="C170" t="s">
        <v>56</v>
      </c>
      <c r="D170" t="s">
        <v>38</v>
      </c>
      <c r="E170" s="90">
        <v>45349</v>
      </c>
      <c r="F170" s="49" t="s">
        <v>338</v>
      </c>
      <c r="G170">
        <v>2400</v>
      </c>
      <c r="H170" s="49">
        <v>49521.51</v>
      </c>
      <c r="I170" s="49">
        <v>20.633962499999999</v>
      </c>
      <c r="J170" s="88">
        <v>2400</v>
      </c>
      <c r="K170" s="49">
        <v>52863</v>
      </c>
      <c r="L170" s="49">
        <v>22.026250000000001</v>
      </c>
      <c r="M170" s="49">
        <v>3341.489999999998</v>
      </c>
      <c r="N170" s="45">
        <v>6.7475527301166655E-2</v>
      </c>
      <c r="O170" s="72">
        <f t="shared" si="8"/>
        <v>80743.862370987685</v>
      </c>
      <c r="P170" s="57">
        <f t="shared" si="9"/>
        <v>126745.97000000018</v>
      </c>
      <c r="Q170" s="57">
        <f t="shared" si="10"/>
        <v>-78942.387629013101</v>
      </c>
      <c r="R170" s="57">
        <f t="shared" si="11"/>
        <v>32940.280000000668</v>
      </c>
    </row>
    <row r="171" spans="1:18" x14ac:dyDescent="0.25">
      <c r="A171" t="s">
        <v>283</v>
      </c>
      <c r="B171" s="50" t="s">
        <v>31</v>
      </c>
      <c r="C171" t="s">
        <v>56</v>
      </c>
      <c r="D171" t="s">
        <v>38</v>
      </c>
      <c r="E171" s="90">
        <v>45349</v>
      </c>
      <c r="F171" s="49" t="s">
        <v>347</v>
      </c>
      <c r="G171">
        <v>3200</v>
      </c>
      <c r="H171" s="49">
        <v>49814.5</v>
      </c>
      <c r="I171" s="49">
        <v>15.567031249999999</v>
      </c>
      <c r="J171" s="88">
        <v>3200</v>
      </c>
      <c r="K171" s="49">
        <v>51167.06</v>
      </c>
      <c r="L171" s="49">
        <v>15.989706249999999</v>
      </c>
      <c r="M171" s="49">
        <v>1352.5599999999977</v>
      </c>
      <c r="N171" s="45">
        <v>2.7151933673930234E-2</v>
      </c>
      <c r="O171" s="72">
        <f t="shared" si="8"/>
        <v>82096.422370987682</v>
      </c>
      <c r="P171" s="57">
        <f t="shared" si="9"/>
        <v>128098.53000000017</v>
      </c>
      <c r="Q171" s="57">
        <f t="shared" ref="Q171:Q174" si="12">IF(C171="Forex",M171+Q170,Q170)</f>
        <v>-78942.387629013101</v>
      </c>
      <c r="R171" s="57">
        <f t="shared" ref="R171:R174" si="13">IF(C171="Futures",M171+R170,R170)</f>
        <v>32940.280000000668</v>
      </c>
    </row>
    <row r="172" spans="1:18" x14ac:dyDescent="0.25">
      <c r="A172" t="s">
        <v>283</v>
      </c>
      <c r="B172" s="50" t="s">
        <v>31</v>
      </c>
      <c r="C172" t="s">
        <v>56</v>
      </c>
      <c r="D172" t="s">
        <v>38</v>
      </c>
      <c r="E172" s="90">
        <v>45349</v>
      </c>
      <c r="F172" s="49" t="s">
        <v>338</v>
      </c>
      <c r="G172">
        <v>3600</v>
      </c>
      <c r="H172" s="49">
        <v>73331.44</v>
      </c>
      <c r="I172" s="49">
        <v>20.369844444444446</v>
      </c>
      <c r="J172" s="88">
        <v>3600</v>
      </c>
      <c r="K172" s="49">
        <v>75276</v>
      </c>
      <c r="L172" s="49">
        <v>20.91</v>
      </c>
      <c r="M172" s="49">
        <v>1944.5599999999977</v>
      </c>
      <c r="N172" s="45">
        <v>2.6517411904089128E-2</v>
      </c>
      <c r="O172" s="72">
        <f t="shared" si="8"/>
        <v>84040.98237098768</v>
      </c>
      <c r="P172" s="57">
        <f t="shared" si="9"/>
        <v>130043.09000000017</v>
      </c>
      <c r="Q172" s="57">
        <f t="shared" si="12"/>
        <v>-78942.387629013101</v>
      </c>
      <c r="R172" s="57">
        <f t="shared" si="13"/>
        <v>32940.280000000668</v>
      </c>
    </row>
    <row r="173" spans="1:18" x14ac:dyDescent="0.25">
      <c r="A173" t="s">
        <v>283</v>
      </c>
      <c r="B173" s="50" t="s">
        <v>31</v>
      </c>
      <c r="C173" t="s">
        <v>56</v>
      </c>
      <c r="D173" t="s">
        <v>38</v>
      </c>
      <c r="E173" s="90">
        <v>45349</v>
      </c>
      <c r="F173" s="49" t="s">
        <v>157</v>
      </c>
      <c r="G173">
        <v>257</v>
      </c>
      <c r="H173" s="49">
        <v>49635.31</v>
      </c>
      <c r="I173" s="49">
        <v>193.1335019455253</v>
      </c>
      <c r="J173" s="88">
        <v>257</v>
      </c>
      <c r="K173" s="49">
        <v>52641.31</v>
      </c>
      <c r="L173" s="49">
        <v>204.82999999999998</v>
      </c>
      <c r="M173" s="49">
        <v>3006</v>
      </c>
      <c r="N173" s="45">
        <v>6.056172511061178E-2</v>
      </c>
      <c r="O173" s="72">
        <f t="shared" si="8"/>
        <v>87046.98237098768</v>
      </c>
      <c r="P173" s="57">
        <f t="shared" si="9"/>
        <v>133049.09000000017</v>
      </c>
      <c r="Q173" s="57">
        <f t="shared" si="12"/>
        <v>-78942.387629013101</v>
      </c>
      <c r="R173" s="57">
        <f t="shared" si="13"/>
        <v>32940.280000000668</v>
      </c>
    </row>
    <row r="174" spans="1:18" x14ac:dyDescent="0.25">
      <c r="A174" t="s">
        <v>283</v>
      </c>
      <c r="B174" s="50" t="s">
        <v>31</v>
      </c>
      <c r="C174" t="s">
        <v>56</v>
      </c>
      <c r="D174" t="s">
        <v>38</v>
      </c>
      <c r="E174" s="90">
        <v>45350</v>
      </c>
      <c r="F174" s="49" t="s">
        <v>345</v>
      </c>
      <c r="G174">
        <v>2300</v>
      </c>
      <c r="H174" s="49">
        <v>47602.75</v>
      </c>
      <c r="I174" s="49">
        <v>20.696847826086955</v>
      </c>
      <c r="J174" s="88">
        <v>2300</v>
      </c>
      <c r="K174" s="49">
        <v>36248</v>
      </c>
      <c r="L174" s="49">
        <v>15.76</v>
      </c>
      <c r="M174" s="49">
        <v>-11354.75</v>
      </c>
      <c r="N174" s="45">
        <v>-0.23853138736732646</v>
      </c>
      <c r="O174" s="72">
        <f t="shared" si="8"/>
        <v>75692.23237098768</v>
      </c>
      <c r="P174" s="57">
        <f t="shared" si="9"/>
        <v>121694.34000000017</v>
      </c>
      <c r="Q174" s="57">
        <f t="shared" si="12"/>
        <v>-78942.387629013101</v>
      </c>
      <c r="R174" s="57">
        <f t="shared" si="13"/>
        <v>32940.280000000668</v>
      </c>
    </row>
    <row r="175" spans="1:18" x14ac:dyDescent="0.25">
      <c r="A175" t="s">
        <v>283</v>
      </c>
      <c r="B175" s="50" t="s">
        <v>31</v>
      </c>
      <c r="C175" t="s">
        <v>56</v>
      </c>
      <c r="D175" t="s">
        <v>38</v>
      </c>
      <c r="E175" s="90">
        <v>45350</v>
      </c>
      <c r="F175" s="49" t="s">
        <v>204</v>
      </c>
      <c r="G175">
        <v>860</v>
      </c>
      <c r="H175" s="49">
        <v>66900.800000000003</v>
      </c>
      <c r="I175" s="49">
        <v>77.791627906976743</v>
      </c>
      <c r="J175" s="88">
        <v>860</v>
      </c>
      <c r="K175" s="49">
        <v>64830.35</v>
      </c>
      <c r="L175" s="49">
        <v>75.384127906976744</v>
      </c>
      <c r="M175" s="49">
        <v>-2070.4500000000044</v>
      </c>
      <c r="N175" s="45">
        <v>-3.0948060411833705E-2</v>
      </c>
      <c r="O175" s="72">
        <f t="shared" ref="O175:O225" si="14">M175+O174</f>
        <v>73621.782370987668</v>
      </c>
      <c r="P175" s="57">
        <f t="shared" si="9"/>
        <v>119623.89000000016</v>
      </c>
      <c r="Q175" s="57">
        <f t="shared" ref="Q175:Q225" si="15">IF(C175="Forex",M175+Q174,Q174)</f>
        <v>-78942.387629013101</v>
      </c>
      <c r="R175" s="57">
        <f t="shared" ref="R175:R225" si="16">IF(C175="Futures",M175+R174,R174)</f>
        <v>32940.280000000668</v>
      </c>
    </row>
    <row r="176" spans="1:18" x14ac:dyDescent="0.25">
      <c r="A176" t="s">
        <v>283</v>
      </c>
      <c r="B176" s="50" t="s">
        <v>31</v>
      </c>
      <c r="C176" t="s">
        <v>56</v>
      </c>
      <c r="D176" t="s">
        <v>38</v>
      </c>
      <c r="E176" s="90">
        <v>45351</v>
      </c>
      <c r="F176" s="49" t="s">
        <v>241</v>
      </c>
      <c r="G176">
        <v>3200</v>
      </c>
      <c r="H176" s="49">
        <v>420129.54</v>
      </c>
      <c r="I176" s="49">
        <v>131.29048125</v>
      </c>
      <c r="J176" s="88">
        <v>3200</v>
      </c>
      <c r="K176" s="49">
        <v>454132.02</v>
      </c>
      <c r="L176" s="49">
        <v>141.91625625</v>
      </c>
      <c r="M176" s="49">
        <v>34002.48000000004</v>
      </c>
      <c r="N176" s="45">
        <v>8.0933323564917725E-2</v>
      </c>
      <c r="O176" s="72">
        <f t="shared" si="14"/>
        <v>107624.26237098771</v>
      </c>
      <c r="P176" s="57">
        <f t="shared" si="9"/>
        <v>153626.3700000002</v>
      </c>
      <c r="Q176" s="57">
        <f t="shared" si="15"/>
        <v>-78942.387629013101</v>
      </c>
      <c r="R176" s="57">
        <f t="shared" si="16"/>
        <v>32940.280000000668</v>
      </c>
    </row>
    <row r="177" spans="1:18" x14ac:dyDescent="0.25">
      <c r="A177" t="s">
        <v>283</v>
      </c>
      <c r="B177" s="50" t="s">
        <v>31</v>
      </c>
      <c r="C177" t="s">
        <v>56</v>
      </c>
      <c r="D177" t="s">
        <v>38</v>
      </c>
      <c r="E177" s="90">
        <v>45352</v>
      </c>
      <c r="F177" s="49" t="s">
        <v>375</v>
      </c>
      <c r="G177">
        <v>2600</v>
      </c>
      <c r="H177" s="49">
        <v>49744.34</v>
      </c>
      <c r="I177" s="49">
        <v>19.13243846153846</v>
      </c>
      <c r="J177" s="88">
        <v>2600</v>
      </c>
      <c r="K177" s="49">
        <v>49750.89</v>
      </c>
      <c r="L177" s="49">
        <v>19.134957692307694</v>
      </c>
      <c r="M177" s="49">
        <v>-7</v>
      </c>
      <c r="N177" s="45">
        <v>-1.4071952708589561E-4</v>
      </c>
      <c r="O177" s="72">
        <f t="shared" si="14"/>
        <v>107617.26237098771</v>
      </c>
      <c r="P177" s="57">
        <f t="shared" si="9"/>
        <v>153619.3700000002</v>
      </c>
      <c r="Q177" s="57">
        <f t="shared" si="15"/>
        <v>-78942.387629013101</v>
      </c>
      <c r="R177" s="57">
        <f t="shared" si="16"/>
        <v>32940.280000000668</v>
      </c>
    </row>
    <row r="178" spans="1:18" x14ac:dyDescent="0.25">
      <c r="A178" t="s">
        <v>283</v>
      </c>
      <c r="B178" s="50" t="s">
        <v>31</v>
      </c>
      <c r="C178" t="s">
        <v>56</v>
      </c>
      <c r="D178" t="s">
        <v>38</v>
      </c>
      <c r="E178" s="90">
        <v>45355</v>
      </c>
      <c r="F178" s="49" t="s">
        <v>219</v>
      </c>
      <c r="G178">
        <v>1750</v>
      </c>
      <c r="H178" s="49">
        <v>110871.25</v>
      </c>
      <c r="I178" s="49">
        <v>63.354999999999997</v>
      </c>
      <c r="J178" s="88">
        <v>1750</v>
      </c>
      <c r="K178" s="49">
        <v>114247.55</v>
      </c>
      <c r="L178" s="49">
        <v>65.284314285714288</v>
      </c>
      <c r="M178" s="49">
        <v>3376.3000000000029</v>
      </c>
      <c r="N178" s="45">
        <v>3.0452439203129782E-2</v>
      </c>
      <c r="O178" s="72">
        <f t="shared" si="14"/>
        <v>110993.56237098771</v>
      </c>
      <c r="P178" s="57">
        <f t="shared" si="9"/>
        <v>156995.67000000022</v>
      </c>
      <c r="Q178" s="57">
        <f t="shared" si="15"/>
        <v>-78942.387629013101</v>
      </c>
      <c r="R178" s="57">
        <f t="shared" si="16"/>
        <v>32940.280000000668</v>
      </c>
    </row>
    <row r="179" spans="1:18" x14ac:dyDescent="0.25">
      <c r="A179" t="s">
        <v>283</v>
      </c>
      <c r="B179" s="50" t="s">
        <v>31</v>
      </c>
      <c r="C179" t="s">
        <v>56</v>
      </c>
      <c r="D179" t="s">
        <v>38</v>
      </c>
      <c r="E179" s="90">
        <v>45355</v>
      </c>
      <c r="F179" s="49" t="s">
        <v>338</v>
      </c>
      <c r="G179">
        <v>1800</v>
      </c>
      <c r="H179" s="49">
        <v>31742.5</v>
      </c>
      <c r="I179" s="49">
        <v>17.634722222222223</v>
      </c>
      <c r="J179" s="88">
        <v>1800</v>
      </c>
      <c r="K179" s="49">
        <v>29242.309999999998</v>
      </c>
      <c r="L179" s="49">
        <v>16.245727777777777</v>
      </c>
      <c r="M179" s="49">
        <v>-2500.1900000000023</v>
      </c>
      <c r="N179" s="45">
        <v>-7.8764747578168148E-2</v>
      </c>
      <c r="O179" s="72">
        <f t="shared" si="14"/>
        <v>108493.37237098771</v>
      </c>
      <c r="P179" s="57">
        <f t="shared" si="9"/>
        <v>154495.48000000021</v>
      </c>
      <c r="Q179" s="57">
        <f t="shared" si="15"/>
        <v>-78942.387629013101</v>
      </c>
      <c r="R179" s="57">
        <f t="shared" si="16"/>
        <v>32940.280000000668</v>
      </c>
    </row>
    <row r="180" spans="1:18" x14ac:dyDescent="0.25">
      <c r="A180" t="s">
        <v>283</v>
      </c>
      <c r="B180" s="50" t="s">
        <v>31</v>
      </c>
      <c r="C180" t="s">
        <v>56</v>
      </c>
      <c r="D180" t="s">
        <v>38</v>
      </c>
      <c r="E180" s="90">
        <v>45356</v>
      </c>
      <c r="F180" s="49" t="s">
        <v>357</v>
      </c>
      <c r="G180">
        <v>3000</v>
      </c>
      <c r="H180" s="49">
        <v>156756</v>
      </c>
      <c r="I180" s="49">
        <v>52.252000000000002</v>
      </c>
      <c r="J180" s="88">
        <v>3000</v>
      </c>
      <c r="K180" s="49">
        <v>146568.43</v>
      </c>
      <c r="L180" s="49">
        <v>48.856143333333328</v>
      </c>
      <c r="M180" s="49">
        <v>-10187.570000000007</v>
      </c>
      <c r="N180" s="45">
        <v>-6.4989984434407663E-2</v>
      </c>
      <c r="O180" s="72">
        <f t="shared" si="14"/>
        <v>98305.802370987702</v>
      </c>
      <c r="P180" s="57">
        <f t="shared" si="9"/>
        <v>144307.91000000021</v>
      </c>
      <c r="Q180" s="57">
        <f t="shared" si="15"/>
        <v>-78942.387629013101</v>
      </c>
      <c r="R180" s="57">
        <f t="shared" si="16"/>
        <v>32940.280000000668</v>
      </c>
    </row>
    <row r="181" spans="1:18" x14ac:dyDescent="0.25">
      <c r="A181" t="s">
        <v>283</v>
      </c>
      <c r="B181" s="50" t="s">
        <v>31</v>
      </c>
      <c r="C181" t="s">
        <v>56</v>
      </c>
      <c r="D181" t="s">
        <v>38</v>
      </c>
      <c r="E181" s="90">
        <v>45356</v>
      </c>
      <c r="F181" s="49" t="s">
        <v>220</v>
      </c>
      <c r="G181">
        <v>3225</v>
      </c>
      <c r="H181" s="49">
        <v>101856.38</v>
      </c>
      <c r="I181" s="49">
        <v>31.583373643410855</v>
      </c>
      <c r="J181" s="88">
        <v>3225</v>
      </c>
      <c r="K181" s="49">
        <v>92301.5</v>
      </c>
      <c r="L181" s="49">
        <v>28.620620155038761</v>
      </c>
      <c r="M181" s="49">
        <v>-9554.8800000000047</v>
      </c>
      <c r="N181" s="45">
        <v>-9.3807378585416101E-2</v>
      </c>
      <c r="O181" s="72">
        <f t="shared" si="14"/>
        <v>88750.922370987697</v>
      </c>
      <c r="P181" s="57">
        <f t="shared" si="9"/>
        <v>134753.0300000002</v>
      </c>
      <c r="Q181" s="57">
        <f t="shared" si="15"/>
        <v>-78942.387629013101</v>
      </c>
      <c r="R181" s="57">
        <f t="shared" si="16"/>
        <v>32940.280000000668</v>
      </c>
    </row>
    <row r="182" spans="1:18" x14ac:dyDescent="0.25">
      <c r="A182" t="s">
        <v>283</v>
      </c>
      <c r="B182" s="50" t="s">
        <v>31</v>
      </c>
      <c r="C182" t="s">
        <v>56</v>
      </c>
      <c r="D182" t="s">
        <v>38</v>
      </c>
      <c r="E182" s="90">
        <v>45356</v>
      </c>
      <c r="F182" s="49" t="s">
        <v>327</v>
      </c>
      <c r="G182">
        <v>850</v>
      </c>
      <c r="H182" s="49">
        <v>48840.63</v>
      </c>
      <c r="I182" s="49">
        <v>57.45956470588235</v>
      </c>
      <c r="J182" s="88">
        <v>850</v>
      </c>
      <c r="K182" s="49">
        <v>50638.2</v>
      </c>
      <c r="L182" s="49">
        <v>59.574352941176464</v>
      </c>
      <c r="M182" s="49">
        <v>1797.5699999999997</v>
      </c>
      <c r="N182" s="45">
        <v>3.6804807800390776E-2</v>
      </c>
      <c r="O182" s="72">
        <f t="shared" si="14"/>
        <v>90548.492370987689</v>
      </c>
      <c r="P182" s="57">
        <f t="shared" si="9"/>
        <v>136550.60000000021</v>
      </c>
      <c r="Q182" s="57">
        <f t="shared" si="15"/>
        <v>-78942.387629013101</v>
      </c>
      <c r="R182" s="57">
        <f t="shared" si="16"/>
        <v>32940.280000000668</v>
      </c>
    </row>
    <row r="183" spans="1:18" x14ac:dyDescent="0.25">
      <c r="A183" t="s">
        <v>283</v>
      </c>
      <c r="B183" s="50" t="s">
        <v>31</v>
      </c>
      <c r="C183" t="s">
        <v>56</v>
      </c>
      <c r="D183" t="s">
        <v>38</v>
      </c>
      <c r="E183" s="90">
        <v>45357</v>
      </c>
      <c r="F183" s="49" t="s">
        <v>217</v>
      </c>
      <c r="G183">
        <v>800</v>
      </c>
      <c r="H183" s="49">
        <v>267648</v>
      </c>
      <c r="I183" s="49">
        <v>334.56</v>
      </c>
      <c r="J183" s="88">
        <v>800</v>
      </c>
      <c r="K183" s="49">
        <v>262595.27</v>
      </c>
      <c r="L183" s="49">
        <v>328.24408750000003</v>
      </c>
      <c r="M183" s="49">
        <v>-5063</v>
      </c>
      <c r="N183" s="45">
        <v>-1.8916636776661885E-2</v>
      </c>
      <c r="O183" s="72">
        <f t="shared" si="14"/>
        <v>85485.492370987689</v>
      </c>
      <c r="P183" s="57">
        <f t="shared" si="9"/>
        <v>131487.60000000021</v>
      </c>
      <c r="Q183" s="57">
        <f t="shared" si="15"/>
        <v>-78942.387629013101</v>
      </c>
      <c r="R183" s="57">
        <f t="shared" si="16"/>
        <v>32940.280000000668</v>
      </c>
    </row>
    <row r="184" spans="1:18" x14ac:dyDescent="0.25">
      <c r="A184" t="s">
        <v>283</v>
      </c>
      <c r="B184" s="50" t="s">
        <v>31</v>
      </c>
      <c r="C184" t="s">
        <v>56</v>
      </c>
      <c r="D184" t="s">
        <v>38</v>
      </c>
      <c r="E184" s="90">
        <v>45357</v>
      </c>
      <c r="F184" s="49" t="s">
        <v>362</v>
      </c>
      <c r="G184">
        <v>1150</v>
      </c>
      <c r="H184" s="49">
        <v>106547</v>
      </c>
      <c r="I184" s="49">
        <v>92.649565217391299</v>
      </c>
      <c r="J184" s="88">
        <v>1150</v>
      </c>
      <c r="K184" s="49">
        <v>105719.5</v>
      </c>
      <c r="L184" s="49">
        <v>91.93</v>
      </c>
      <c r="M184" s="49">
        <v>-5063</v>
      </c>
      <c r="N184" s="45">
        <v>-4.7518935305545906E-2</v>
      </c>
      <c r="O184" s="72">
        <f t="shared" si="14"/>
        <v>80422.492370987689</v>
      </c>
      <c r="P184" s="57">
        <f t="shared" si="9"/>
        <v>126424.60000000021</v>
      </c>
      <c r="Q184" s="57">
        <f t="shared" si="15"/>
        <v>-78942.387629013101</v>
      </c>
      <c r="R184" s="57">
        <f t="shared" si="16"/>
        <v>32940.280000000668</v>
      </c>
    </row>
    <row r="185" spans="1:18" x14ac:dyDescent="0.25">
      <c r="A185" t="s">
        <v>283</v>
      </c>
      <c r="B185" s="50" t="s">
        <v>31</v>
      </c>
      <c r="C185" t="s">
        <v>35</v>
      </c>
      <c r="D185" t="s">
        <v>36</v>
      </c>
      <c r="E185" s="90">
        <v>45357</v>
      </c>
      <c r="F185" s="49" t="s">
        <v>118</v>
      </c>
      <c r="G185">
        <v>585000</v>
      </c>
      <c r="H185" s="49">
        <v>88145475.900000006</v>
      </c>
      <c r="I185" s="49">
        <v>150.67602717948719</v>
      </c>
      <c r="J185" s="88">
        <v>585000</v>
      </c>
      <c r="K185" s="49">
        <v>86983252.290000007</v>
      </c>
      <c r="L185" s="49"/>
      <c r="M185" s="49">
        <v>-7713.3943053565108</v>
      </c>
      <c r="N185" s="45">
        <v>0</v>
      </c>
      <c r="O185" s="72">
        <f t="shared" si="14"/>
        <v>72709.098065631173</v>
      </c>
      <c r="P185" s="57">
        <f t="shared" si="9"/>
        <v>126424.60000000021</v>
      </c>
      <c r="Q185" s="57">
        <f t="shared" si="15"/>
        <v>-86655.781934369617</v>
      </c>
      <c r="R185" s="57">
        <f t="shared" si="16"/>
        <v>32940.280000000668</v>
      </c>
    </row>
    <row r="186" spans="1:18" x14ac:dyDescent="0.25">
      <c r="A186" t="s">
        <v>283</v>
      </c>
      <c r="B186" s="50" t="s">
        <v>31</v>
      </c>
      <c r="C186" t="s">
        <v>56</v>
      </c>
      <c r="D186" t="s">
        <v>36</v>
      </c>
      <c r="E186" s="90">
        <v>45358</v>
      </c>
      <c r="F186" s="49" t="s">
        <v>358</v>
      </c>
      <c r="G186">
        <v>4800</v>
      </c>
      <c r="H186" s="49">
        <v>282415.69</v>
      </c>
      <c r="I186" s="49">
        <v>58.836602083333332</v>
      </c>
      <c r="J186" s="88">
        <v>4800</v>
      </c>
      <c r="K186" s="49">
        <v>293209.86</v>
      </c>
      <c r="L186" s="49">
        <v>61.085387499999996</v>
      </c>
      <c r="M186" s="49">
        <v>-10794.169999999984</v>
      </c>
      <c r="N186" s="45">
        <v>-3.8220858055018063E-2</v>
      </c>
      <c r="O186" s="72">
        <f t="shared" si="14"/>
        <v>61914.928065631189</v>
      </c>
      <c r="P186" s="57">
        <f t="shared" si="9"/>
        <v>115630.43000000023</v>
      </c>
      <c r="Q186" s="57">
        <f t="shared" si="15"/>
        <v>-86655.781934369617</v>
      </c>
      <c r="R186" s="57">
        <f t="shared" si="16"/>
        <v>32940.280000000668</v>
      </c>
    </row>
    <row r="187" spans="1:18" x14ac:dyDescent="0.25">
      <c r="A187" t="s">
        <v>283</v>
      </c>
      <c r="B187" s="50" t="s">
        <v>31</v>
      </c>
      <c r="C187" t="s">
        <v>56</v>
      </c>
      <c r="D187" t="s">
        <v>38</v>
      </c>
      <c r="E187" s="90">
        <v>45358</v>
      </c>
      <c r="F187" s="49" t="s">
        <v>359</v>
      </c>
      <c r="G187">
        <v>10000</v>
      </c>
      <c r="H187" s="49">
        <v>189537.69</v>
      </c>
      <c r="I187" s="49">
        <v>18.953769000000001</v>
      </c>
      <c r="J187" s="88">
        <v>10000</v>
      </c>
      <c r="K187" s="49">
        <v>179992</v>
      </c>
      <c r="L187" s="49">
        <v>17.999199999999998</v>
      </c>
      <c r="M187" s="49">
        <v>-9545.6900000000023</v>
      </c>
      <c r="N187" s="45">
        <v>-5.0363017508549365E-2</v>
      </c>
      <c r="O187" s="72">
        <f t="shared" si="14"/>
        <v>52369.238065631187</v>
      </c>
      <c r="P187" s="57">
        <f t="shared" si="9"/>
        <v>106084.74000000022</v>
      </c>
      <c r="Q187" s="57">
        <f t="shared" si="15"/>
        <v>-86655.781934369617</v>
      </c>
      <c r="R187" s="57">
        <f t="shared" si="16"/>
        <v>32940.280000000668</v>
      </c>
    </row>
    <row r="188" spans="1:18" x14ac:dyDescent="0.25">
      <c r="A188" t="s">
        <v>283</v>
      </c>
      <c r="B188" s="50" t="s">
        <v>31</v>
      </c>
      <c r="C188" t="s">
        <v>56</v>
      </c>
      <c r="D188" t="s">
        <v>38</v>
      </c>
      <c r="E188" s="90">
        <v>45359</v>
      </c>
      <c r="F188" s="49" t="s">
        <v>356</v>
      </c>
      <c r="G188">
        <v>1000</v>
      </c>
      <c r="H188" s="49">
        <v>53351.519999999997</v>
      </c>
      <c r="I188" s="49">
        <v>53.351519999999994</v>
      </c>
      <c r="J188" s="88">
        <v>1000</v>
      </c>
      <c r="K188" s="49">
        <v>55620.04</v>
      </c>
      <c r="L188" s="49">
        <v>55.620040000000003</v>
      </c>
      <c r="M188" s="49">
        <v>2268.5200000000041</v>
      </c>
      <c r="N188" s="45">
        <v>4.2520250594547337E-2</v>
      </c>
      <c r="O188" s="72">
        <f t="shared" si="14"/>
        <v>54637.758065631191</v>
      </c>
      <c r="P188" s="57">
        <f t="shared" si="9"/>
        <v>108353.26000000023</v>
      </c>
      <c r="Q188" s="57">
        <f t="shared" si="15"/>
        <v>-86655.781934369617</v>
      </c>
      <c r="R188" s="57">
        <f t="shared" si="16"/>
        <v>32940.280000000668</v>
      </c>
    </row>
    <row r="189" spans="1:18" x14ac:dyDescent="0.25">
      <c r="A189" t="s">
        <v>283</v>
      </c>
      <c r="B189" s="50" t="s">
        <v>31</v>
      </c>
      <c r="C189" t="s">
        <v>56</v>
      </c>
      <c r="D189" t="s">
        <v>38</v>
      </c>
      <c r="E189" s="90">
        <v>45359</v>
      </c>
      <c r="F189" s="49" t="s">
        <v>231</v>
      </c>
      <c r="G189">
        <v>4000</v>
      </c>
      <c r="H189" s="49">
        <v>100963.9292</v>
      </c>
      <c r="I189" s="49">
        <v>25.240982299999999</v>
      </c>
      <c r="J189" s="88">
        <v>4000</v>
      </c>
      <c r="K189" s="49">
        <v>111374.33</v>
      </c>
      <c r="L189" s="49">
        <v>27.8435825</v>
      </c>
      <c r="M189" s="49">
        <v>-10410.400800000003</v>
      </c>
      <c r="N189" s="45">
        <v>-0.10311009964140741</v>
      </c>
      <c r="O189" s="72">
        <f t="shared" si="14"/>
        <v>44227.357265631188</v>
      </c>
      <c r="P189" s="57">
        <f t="shared" si="9"/>
        <v>97942.859200000225</v>
      </c>
      <c r="Q189" s="57">
        <f t="shared" si="15"/>
        <v>-86655.781934369617</v>
      </c>
      <c r="R189" s="57">
        <f t="shared" si="16"/>
        <v>32940.280000000668</v>
      </c>
    </row>
    <row r="190" spans="1:18" x14ac:dyDescent="0.25">
      <c r="A190" t="s">
        <v>283</v>
      </c>
      <c r="B190" s="50" t="s">
        <v>31</v>
      </c>
      <c r="C190" t="s">
        <v>56</v>
      </c>
      <c r="D190" t="s">
        <v>38</v>
      </c>
      <c r="E190" s="90">
        <v>45359</v>
      </c>
      <c r="F190" s="49" t="s">
        <v>204</v>
      </c>
      <c r="G190">
        <v>3000</v>
      </c>
      <c r="H190" s="49">
        <v>240579</v>
      </c>
      <c r="I190" s="49">
        <v>80.192999999999998</v>
      </c>
      <c r="J190" s="88">
        <v>3000</v>
      </c>
      <c r="K190" s="49">
        <v>259212.43</v>
      </c>
      <c r="L190" s="49">
        <v>86.404143333333337</v>
      </c>
      <c r="M190" s="49">
        <v>18633.429999999993</v>
      </c>
      <c r="N190" s="45">
        <v>7.7452437660809934E-2</v>
      </c>
      <c r="O190" s="72">
        <f t="shared" si="14"/>
        <v>62860.787265631181</v>
      </c>
      <c r="P190" s="57">
        <f t="shared" si="9"/>
        <v>116576.28920000022</v>
      </c>
      <c r="Q190" s="57">
        <f t="shared" si="15"/>
        <v>-86655.781934369617</v>
      </c>
      <c r="R190" s="57">
        <f t="shared" si="16"/>
        <v>32940.280000000668</v>
      </c>
    </row>
    <row r="191" spans="1:18" x14ac:dyDescent="0.25">
      <c r="A191" t="s">
        <v>283</v>
      </c>
      <c r="B191" s="50" t="s">
        <v>31</v>
      </c>
      <c r="C191" t="s">
        <v>56</v>
      </c>
      <c r="D191" t="s">
        <v>38</v>
      </c>
      <c r="E191" s="90">
        <v>45359</v>
      </c>
      <c r="F191" s="49" t="s">
        <v>360</v>
      </c>
      <c r="G191">
        <v>12500</v>
      </c>
      <c r="H191" s="49">
        <v>144241.82</v>
      </c>
      <c r="I191" s="49">
        <v>11.539345600000001</v>
      </c>
      <c r="J191" s="88">
        <v>4000</v>
      </c>
      <c r="K191" s="49">
        <v>142802.82</v>
      </c>
      <c r="L191" s="49">
        <v>35.700704999999999</v>
      </c>
      <c r="M191" s="49">
        <v>-1439</v>
      </c>
      <c r="N191" s="45">
        <v>-9.9763022956865077E-3</v>
      </c>
      <c r="O191" s="72">
        <f t="shared" si="14"/>
        <v>61421.787265631181</v>
      </c>
      <c r="P191" s="57">
        <f t="shared" si="9"/>
        <v>115137.28920000022</v>
      </c>
      <c r="Q191" s="57">
        <f t="shared" si="15"/>
        <v>-86655.781934369617</v>
      </c>
      <c r="R191" s="57">
        <f t="shared" si="16"/>
        <v>32940.280000000668</v>
      </c>
    </row>
    <row r="192" spans="1:18" x14ac:dyDescent="0.25">
      <c r="A192" t="s">
        <v>283</v>
      </c>
      <c r="B192" s="50" t="s">
        <v>31</v>
      </c>
      <c r="C192" t="s">
        <v>56</v>
      </c>
      <c r="D192" t="s">
        <v>38</v>
      </c>
      <c r="E192" s="90">
        <v>45359</v>
      </c>
      <c r="F192" s="49" t="s">
        <v>338</v>
      </c>
      <c r="G192">
        <v>2250</v>
      </c>
      <c r="H192" s="49">
        <v>37890</v>
      </c>
      <c r="I192" s="49">
        <v>16.84</v>
      </c>
      <c r="J192" s="88">
        <v>2250</v>
      </c>
      <c r="K192" s="49">
        <v>43005</v>
      </c>
      <c r="L192" s="49">
        <v>19.113333333333333</v>
      </c>
      <c r="M192" s="49">
        <v>5115</v>
      </c>
      <c r="N192" s="45">
        <v>0.13499604117181313</v>
      </c>
      <c r="O192" s="72">
        <f t="shared" si="14"/>
        <v>66536.787265631181</v>
      </c>
      <c r="P192" s="57">
        <f t="shared" si="9"/>
        <v>120252.28920000022</v>
      </c>
      <c r="Q192" s="57">
        <f t="shared" si="15"/>
        <v>-86655.781934369617</v>
      </c>
      <c r="R192" s="57">
        <f t="shared" si="16"/>
        <v>32940.280000000668</v>
      </c>
    </row>
    <row r="193" spans="1:18" x14ac:dyDescent="0.25">
      <c r="A193" t="s">
        <v>283</v>
      </c>
      <c r="B193" s="50" t="s">
        <v>31</v>
      </c>
      <c r="C193" t="s">
        <v>56</v>
      </c>
      <c r="D193" t="s">
        <v>38</v>
      </c>
      <c r="E193" s="90">
        <v>45359</v>
      </c>
      <c r="F193" s="49" t="s">
        <v>213</v>
      </c>
      <c r="G193">
        <v>2500</v>
      </c>
      <c r="H193" s="49">
        <v>199750</v>
      </c>
      <c r="I193" s="49">
        <v>79.900000000000006</v>
      </c>
      <c r="J193" s="88">
        <v>2500</v>
      </c>
      <c r="K193" s="49">
        <v>197650</v>
      </c>
      <c r="L193" s="49">
        <v>79.06</v>
      </c>
      <c r="M193" s="49">
        <v>-2127</v>
      </c>
      <c r="N193" s="45">
        <v>-1.0648310387984982E-2</v>
      </c>
      <c r="O193" s="72">
        <f t="shared" si="14"/>
        <v>64409.787265631181</v>
      </c>
      <c r="P193" s="57">
        <f t="shared" si="9"/>
        <v>118125.28920000022</v>
      </c>
      <c r="Q193" s="57">
        <f t="shared" si="15"/>
        <v>-86655.781934369617</v>
      </c>
      <c r="R193" s="57">
        <f t="shared" si="16"/>
        <v>32940.280000000668</v>
      </c>
    </row>
    <row r="194" spans="1:18" x14ac:dyDescent="0.25">
      <c r="A194" t="s">
        <v>283</v>
      </c>
      <c r="B194" s="50" t="s">
        <v>31</v>
      </c>
      <c r="C194" t="s">
        <v>51</v>
      </c>
      <c r="D194" t="s">
        <v>38</v>
      </c>
      <c r="E194" s="90">
        <v>45359</v>
      </c>
      <c r="F194" s="49" t="s">
        <v>137</v>
      </c>
      <c r="G194">
        <v>10</v>
      </c>
      <c r="H194" s="49">
        <v>1032977</v>
      </c>
      <c r="I194" s="49">
        <v>2059.0439999999999</v>
      </c>
      <c r="J194" s="88">
        <v>10</v>
      </c>
      <c r="K194" s="49">
        <v>1038023</v>
      </c>
      <c r="L194" s="49">
        <v>2076.0459999999998</v>
      </c>
      <c r="M194" s="49">
        <v>5046</v>
      </c>
      <c r="N194" s="45">
        <v>4.8849103126207072E-3</v>
      </c>
      <c r="O194" s="72">
        <f t="shared" si="14"/>
        <v>69455.787265631181</v>
      </c>
      <c r="P194" s="57">
        <f t="shared" si="9"/>
        <v>118125.28920000022</v>
      </c>
      <c r="Q194" s="57">
        <f t="shared" si="15"/>
        <v>-86655.781934369617</v>
      </c>
      <c r="R194" s="57">
        <f t="shared" si="16"/>
        <v>37986.280000000668</v>
      </c>
    </row>
    <row r="195" spans="1:18" x14ac:dyDescent="0.25">
      <c r="A195" t="s">
        <v>283</v>
      </c>
      <c r="B195" s="50" t="s">
        <v>31</v>
      </c>
      <c r="C195" t="s">
        <v>51</v>
      </c>
      <c r="D195" t="s">
        <v>38</v>
      </c>
      <c r="E195" s="90">
        <v>45359</v>
      </c>
      <c r="F195" s="49" t="s">
        <v>88</v>
      </c>
      <c r="G195">
        <v>2</v>
      </c>
      <c r="H195" s="49">
        <v>396856.04</v>
      </c>
      <c r="I195" s="49">
        <v>39685.603999999999</v>
      </c>
      <c r="J195" s="88">
        <v>2</v>
      </c>
      <c r="K195" s="49">
        <v>388493</v>
      </c>
      <c r="L195" s="49">
        <v>38849.300000000003</v>
      </c>
      <c r="M195" s="49">
        <v>-8363.039999999979</v>
      </c>
      <c r="N195" s="45">
        <v>-2.107323350804987E-2</v>
      </c>
      <c r="O195" s="72">
        <f t="shared" si="14"/>
        <v>61092.747265631202</v>
      </c>
      <c r="P195" s="57">
        <f t="shared" si="9"/>
        <v>118125.28920000022</v>
      </c>
      <c r="Q195" s="57">
        <f t="shared" si="15"/>
        <v>-86655.781934369617</v>
      </c>
      <c r="R195" s="57">
        <f t="shared" si="16"/>
        <v>29623.240000000689</v>
      </c>
    </row>
    <row r="196" spans="1:18" x14ac:dyDescent="0.25">
      <c r="A196" t="s">
        <v>283</v>
      </c>
      <c r="B196" s="50" t="s">
        <v>31</v>
      </c>
      <c r="C196" t="s">
        <v>56</v>
      </c>
      <c r="D196" t="s">
        <v>36</v>
      </c>
      <c r="E196" s="90">
        <v>45363</v>
      </c>
      <c r="F196" s="49" t="s">
        <v>364</v>
      </c>
      <c r="G196">
        <v>685</v>
      </c>
      <c r="H196" s="49">
        <v>40274.32</v>
      </c>
      <c r="I196" s="49">
        <v>58.794627737226278</v>
      </c>
      <c r="J196" s="88">
        <v>685</v>
      </c>
      <c r="K196" s="49">
        <v>39589.58</v>
      </c>
      <c r="L196" s="49">
        <v>57.795007299270075</v>
      </c>
      <c r="M196" s="49">
        <v>684.73999999999796</v>
      </c>
      <c r="N196" s="45">
        <v>1.7001900963194361E-2</v>
      </c>
      <c r="O196" s="72">
        <f t="shared" si="14"/>
        <v>61777.4872656312</v>
      </c>
      <c r="P196" s="57">
        <f t="shared" ref="P196:P225" si="17">IF(C196="Equity",M196+P195,P195)</f>
        <v>118810.02920000022</v>
      </c>
      <c r="Q196" s="57">
        <f t="shared" si="15"/>
        <v>-86655.781934369617</v>
      </c>
      <c r="R196" s="57">
        <f t="shared" si="16"/>
        <v>29623.240000000689</v>
      </c>
    </row>
    <row r="197" spans="1:18" x14ac:dyDescent="0.25">
      <c r="A197" t="s">
        <v>283</v>
      </c>
      <c r="B197" s="50" t="s">
        <v>31</v>
      </c>
      <c r="C197" t="s">
        <v>56</v>
      </c>
      <c r="D197" t="s">
        <v>38</v>
      </c>
      <c r="E197" s="90">
        <v>45364</v>
      </c>
      <c r="F197" s="49" t="s">
        <v>365</v>
      </c>
      <c r="G197">
        <v>1150</v>
      </c>
      <c r="H197" s="49">
        <v>50067.6</v>
      </c>
      <c r="I197" s="49">
        <v>43.53704347826087</v>
      </c>
      <c r="J197" s="88">
        <v>1150</v>
      </c>
      <c r="K197" s="49">
        <v>49883.26</v>
      </c>
      <c r="L197" s="49">
        <v>43.376747826086955</v>
      </c>
      <c r="M197" s="49">
        <v>-184.33999999999651</v>
      </c>
      <c r="N197" s="45">
        <v>-3.6818221764174141E-3</v>
      </c>
      <c r="O197" s="72">
        <f t="shared" si="14"/>
        <v>61593.147265631203</v>
      </c>
      <c r="P197" s="57">
        <f t="shared" si="17"/>
        <v>118625.68920000023</v>
      </c>
      <c r="Q197" s="57">
        <f t="shared" si="15"/>
        <v>-86655.781934369617</v>
      </c>
      <c r="R197" s="57">
        <f t="shared" si="16"/>
        <v>29623.240000000689</v>
      </c>
    </row>
    <row r="198" spans="1:18" x14ac:dyDescent="0.25">
      <c r="A198" t="s">
        <v>283</v>
      </c>
      <c r="B198" s="50" t="s">
        <v>31</v>
      </c>
      <c r="C198" t="s">
        <v>56</v>
      </c>
      <c r="D198" t="s">
        <v>38</v>
      </c>
      <c r="E198" s="90">
        <v>45364</v>
      </c>
      <c r="F198" s="49" t="s">
        <v>366</v>
      </c>
      <c r="G198">
        <v>440</v>
      </c>
      <c r="H198" s="49">
        <v>49469.84</v>
      </c>
      <c r="I198" s="49">
        <v>112.43145454545454</v>
      </c>
      <c r="J198" s="88">
        <v>440</v>
      </c>
      <c r="K198" s="49">
        <v>47874.34</v>
      </c>
      <c r="L198" s="49">
        <v>108.80531818181818</v>
      </c>
      <c r="M198" s="49">
        <v>-1595.5</v>
      </c>
      <c r="N198" s="45">
        <v>-3.2251974132117674E-2</v>
      </c>
      <c r="O198" s="72">
        <f t="shared" si="14"/>
        <v>59997.647265631203</v>
      </c>
      <c r="P198" s="57">
        <f t="shared" si="17"/>
        <v>117030.18920000023</v>
      </c>
      <c r="Q198" s="57">
        <f t="shared" si="15"/>
        <v>-86655.781934369617</v>
      </c>
      <c r="R198" s="57">
        <f t="shared" si="16"/>
        <v>29623.240000000689</v>
      </c>
    </row>
    <row r="199" spans="1:18" x14ac:dyDescent="0.25">
      <c r="A199" t="s">
        <v>283</v>
      </c>
      <c r="B199" s="50" t="s">
        <v>31</v>
      </c>
      <c r="C199" t="s">
        <v>56</v>
      </c>
      <c r="D199" t="s">
        <v>38</v>
      </c>
      <c r="E199" s="90">
        <v>45364</v>
      </c>
      <c r="F199" s="49" t="s">
        <v>311</v>
      </c>
      <c r="G199">
        <v>1400</v>
      </c>
      <c r="H199" s="49">
        <v>49444.94</v>
      </c>
      <c r="I199" s="49">
        <v>35.317814285714284</v>
      </c>
      <c r="J199" s="88">
        <v>1400</v>
      </c>
      <c r="K199" s="49">
        <v>47802.39</v>
      </c>
      <c r="L199" s="49">
        <v>34.144564285714289</v>
      </c>
      <c r="M199" s="49">
        <v>-1642.5500000000029</v>
      </c>
      <c r="N199" s="45">
        <v>-3.3219779415244573E-2</v>
      </c>
      <c r="O199" s="72">
        <f t="shared" si="14"/>
        <v>58355.097265631201</v>
      </c>
      <c r="P199" s="57">
        <f t="shared" si="17"/>
        <v>115387.63920000022</v>
      </c>
      <c r="Q199" s="57">
        <f t="shared" si="15"/>
        <v>-86655.781934369617</v>
      </c>
      <c r="R199" s="57">
        <f t="shared" si="16"/>
        <v>29623.240000000689</v>
      </c>
    </row>
    <row r="200" spans="1:18" x14ac:dyDescent="0.25">
      <c r="A200" t="s">
        <v>283</v>
      </c>
      <c r="B200" s="50" t="s">
        <v>31</v>
      </c>
      <c r="C200" t="s">
        <v>56</v>
      </c>
      <c r="D200" t="s">
        <v>38</v>
      </c>
      <c r="E200" s="90">
        <v>45365</v>
      </c>
      <c r="F200" s="49" t="s">
        <v>288</v>
      </c>
      <c r="G200">
        <v>1200</v>
      </c>
      <c r="H200" s="49">
        <v>234997.8</v>
      </c>
      <c r="I200" s="49">
        <v>195.83149999999998</v>
      </c>
      <c r="J200" s="88">
        <v>1200</v>
      </c>
      <c r="K200" s="49">
        <v>227983</v>
      </c>
      <c r="L200" s="49">
        <v>189.98583333333335</v>
      </c>
      <c r="M200" s="49">
        <v>-7014.7999999999884</v>
      </c>
      <c r="N200" s="45">
        <v>-2.9850492217373903E-2</v>
      </c>
      <c r="O200" s="72">
        <f t="shared" si="14"/>
        <v>51340.297265631212</v>
      </c>
      <c r="P200" s="57">
        <f t="shared" si="17"/>
        <v>108372.83920000023</v>
      </c>
      <c r="Q200" s="57">
        <f t="shared" si="15"/>
        <v>-86655.781934369617</v>
      </c>
      <c r="R200" s="57">
        <f t="shared" si="16"/>
        <v>29623.240000000689</v>
      </c>
    </row>
    <row r="201" spans="1:18" x14ac:dyDescent="0.25">
      <c r="A201" t="s">
        <v>283</v>
      </c>
      <c r="B201" s="50" t="s">
        <v>31</v>
      </c>
      <c r="C201" t="s">
        <v>56</v>
      </c>
      <c r="D201" t="s">
        <v>38</v>
      </c>
      <c r="E201" s="90">
        <v>45365</v>
      </c>
      <c r="F201" s="49" t="s">
        <v>373</v>
      </c>
      <c r="G201">
        <v>11000</v>
      </c>
      <c r="H201" s="49">
        <v>82165</v>
      </c>
      <c r="I201" s="49">
        <v>7.4695454545454547</v>
      </c>
      <c r="J201" s="88">
        <v>11000</v>
      </c>
      <c r="K201" s="49">
        <v>73365</v>
      </c>
      <c r="L201" s="49">
        <v>6.6695454545454549</v>
      </c>
      <c r="M201" s="49">
        <v>-8800</v>
      </c>
      <c r="N201" s="45">
        <v>-0.10710156392624597</v>
      </c>
      <c r="O201" s="72">
        <f t="shared" si="14"/>
        <v>42540.297265631212</v>
      </c>
      <c r="P201" s="57">
        <f t="shared" si="17"/>
        <v>99572.839200000235</v>
      </c>
      <c r="Q201" s="57">
        <f t="shared" si="15"/>
        <v>-86655.781934369617</v>
      </c>
      <c r="R201" s="57">
        <f t="shared" si="16"/>
        <v>29623.240000000689</v>
      </c>
    </row>
    <row r="202" spans="1:18" x14ac:dyDescent="0.25">
      <c r="A202" t="s">
        <v>283</v>
      </c>
      <c r="B202" s="50" t="s">
        <v>31</v>
      </c>
      <c r="C202" t="s">
        <v>70</v>
      </c>
      <c r="D202" t="s">
        <v>38</v>
      </c>
      <c r="E202" s="90">
        <v>45369</v>
      </c>
      <c r="F202" s="49" t="s">
        <v>374</v>
      </c>
      <c r="G202">
        <v>12000</v>
      </c>
      <c r="H202" s="49">
        <v>91524.3</v>
      </c>
      <c r="I202" s="49">
        <v>7.6270250000000006</v>
      </c>
      <c r="J202" s="88">
        <v>12000</v>
      </c>
      <c r="K202" s="49">
        <v>92757.27</v>
      </c>
      <c r="L202" s="49">
        <v>7.7297725000000002</v>
      </c>
      <c r="M202" s="49">
        <v>1232.9700000000012</v>
      </c>
      <c r="N202" s="45">
        <v>1.3471504289024895E-2</v>
      </c>
      <c r="O202" s="72">
        <f t="shared" si="14"/>
        <v>43773.267265631213</v>
      </c>
      <c r="P202" s="57">
        <f t="shared" si="17"/>
        <v>99572.839200000235</v>
      </c>
      <c r="Q202" s="57">
        <f t="shared" si="15"/>
        <v>-86655.781934369617</v>
      </c>
      <c r="R202" s="57">
        <f t="shared" si="16"/>
        <v>29623.240000000689</v>
      </c>
    </row>
    <row r="203" spans="1:18" x14ac:dyDescent="0.25">
      <c r="A203" t="s">
        <v>283</v>
      </c>
      <c r="B203" s="50" t="s">
        <v>31</v>
      </c>
      <c r="C203" t="s">
        <v>56</v>
      </c>
      <c r="D203" t="s">
        <v>38</v>
      </c>
      <c r="E203" s="90">
        <v>45370</v>
      </c>
      <c r="F203" s="49" t="s">
        <v>225</v>
      </c>
      <c r="G203">
        <v>4400</v>
      </c>
      <c r="H203" s="49">
        <v>108680</v>
      </c>
      <c r="I203" s="49">
        <v>24.7</v>
      </c>
      <c r="J203" s="88">
        <v>4400</v>
      </c>
      <c r="K203" s="49">
        <v>101220.46</v>
      </c>
      <c r="L203" s="49">
        <v>23.004650000000002</v>
      </c>
      <c r="M203" s="49">
        <v>-7459.5399999999936</v>
      </c>
      <c r="N203" s="45">
        <v>-6.8637651821862294E-2</v>
      </c>
      <c r="O203" s="72">
        <f t="shared" si="14"/>
        <v>36313.72726563122</v>
      </c>
      <c r="P203" s="57">
        <f t="shared" si="17"/>
        <v>92113.299200000241</v>
      </c>
      <c r="Q203" s="57">
        <f t="shared" si="15"/>
        <v>-86655.781934369617</v>
      </c>
      <c r="R203" s="57">
        <f t="shared" si="16"/>
        <v>29623.240000000689</v>
      </c>
    </row>
    <row r="204" spans="1:18" x14ac:dyDescent="0.25">
      <c r="A204" t="s">
        <v>283</v>
      </c>
      <c r="B204" s="50" t="s">
        <v>31</v>
      </c>
      <c r="C204" t="s">
        <v>56</v>
      </c>
      <c r="D204" t="s">
        <v>38</v>
      </c>
      <c r="E204" s="90">
        <v>45370</v>
      </c>
      <c r="F204" s="49" t="s">
        <v>338</v>
      </c>
      <c r="G204">
        <v>4500</v>
      </c>
      <c r="H204" s="49">
        <v>79681</v>
      </c>
      <c r="I204" s="49">
        <v>17.706888888888887</v>
      </c>
      <c r="J204" s="88">
        <v>4500</v>
      </c>
      <c r="K204" s="49">
        <v>71778.11</v>
      </c>
      <c r="L204" s="49">
        <v>15.95069111111111</v>
      </c>
      <c r="M204" s="49">
        <v>-7902.8899999999994</v>
      </c>
      <c r="N204" s="45">
        <v>-9.9181611676560283E-2</v>
      </c>
      <c r="O204" s="72">
        <f t="shared" si="14"/>
        <v>28410.83726563122</v>
      </c>
      <c r="P204" s="57">
        <f t="shared" si="17"/>
        <v>84210.409200000242</v>
      </c>
      <c r="Q204" s="57">
        <f t="shared" si="15"/>
        <v>-86655.781934369617</v>
      </c>
      <c r="R204" s="57">
        <f t="shared" si="16"/>
        <v>29623.240000000689</v>
      </c>
    </row>
    <row r="205" spans="1:18" x14ac:dyDescent="0.25">
      <c r="A205" t="s">
        <v>283</v>
      </c>
      <c r="B205" s="50" t="s">
        <v>31</v>
      </c>
      <c r="C205" t="s">
        <v>56</v>
      </c>
      <c r="D205" t="s">
        <v>38</v>
      </c>
      <c r="E205" s="90">
        <v>45370</v>
      </c>
      <c r="F205" s="49" t="s">
        <v>204</v>
      </c>
      <c r="G205">
        <v>1500</v>
      </c>
      <c r="H205" s="49">
        <v>122752</v>
      </c>
      <c r="I205" s="49">
        <v>81.834666666666664</v>
      </c>
      <c r="J205" s="88">
        <v>1500</v>
      </c>
      <c r="K205" s="49">
        <v>117060.94</v>
      </c>
      <c r="L205" s="49">
        <v>78.040626666666668</v>
      </c>
      <c r="M205" s="49">
        <v>-5691.0599999999977</v>
      </c>
      <c r="N205" s="45">
        <v>-4.6362258863399355E-2</v>
      </c>
      <c r="O205" s="72">
        <f t="shared" si="14"/>
        <v>22719.777265631223</v>
      </c>
      <c r="P205" s="57">
        <f t="shared" si="17"/>
        <v>78519.349200000244</v>
      </c>
      <c r="Q205" s="57">
        <f t="shared" si="15"/>
        <v>-86655.781934369617</v>
      </c>
      <c r="R205" s="57">
        <f t="shared" si="16"/>
        <v>29623.240000000689</v>
      </c>
    </row>
    <row r="206" spans="1:18" x14ac:dyDescent="0.25">
      <c r="A206" t="s">
        <v>283</v>
      </c>
      <c r="B206" s="50" t="s">
        <v>31</v>
      </c>
      <c r="C206" t="s">
        <v>56</v>
      </c>
      <c r="D206" t="s">
        <v>38</v>
      </c>
      <c r="E206" s="90">
        <v>45370</v>
      </c>
      <c r="F206" s="49" t="s">
        <v>219</v>
      </c>
      <c r="G206">
        <v>2000</v>
      </c>
      <c r="H206" s="49">
        <v>129910</v>
      </c>
      <c r="I206" s="49">
        <v>64.954999999999998</v>
      </c>
      <c r="J206" s="88">
        <v>2000</v>
      </c>
      <c r="K206" s="49">
        <v>123590.43</v>
      </c>
      <c r="L206" s="49">
        <v>61.795214999999999</v>
      </c>
      <c r="M206" s="49">
        <v>-6319.570000000007</v>
      </c>
      <c r="N206" s="45">
        <v>-4.864575475329079E-2</v>
      </c>
      <c r="O206" s="72">
        <f t="shared" si="14"/>
        <v>16400.207265631216</v>
      </c>
      <c r="P206" s="57">
        <f t="shared" si="17"/>
        <v>72199.779200000237</v>
      </c>
      <c r="Q206" s="57">
        <f t="shared" si="15"/>
        <v>-86655.781934369617</v>
      </c>
      <c r="R206" s="57">
        <f t="shared" si="16"/>
        <v>29623.240000000689</v>
      </c>
    </row>
    <row r="207" spans="1:18" x14ac:dyDescent="0.25">
      <c r="A207" t="s">
        <v>283</v>
      </c>
      <c r="B207" s="50" t="s">
        <v>31</v>
      </c>
      <c r="C207" t="s">
        <v>56</v>
      </c>
      <c r="D207" t="s">
        <v>38</v>
      </c>
      <c r="E207" s="90">
        <v>45370</v>
      </c>
      <c r="F207" s="49" t="s">
        <v>215</v>
      </c>
      <c r="G207">
        <v>3600</v>
      </c>
      <c r="H207" s="49">
        <v>159602.29999999999</v>
      </c>
      <c r="I207" s="49">
        <v>44.333972222222222</v>
      </c>
      <c r="J207" s="88">
        <v>3600</v>
      </c>
      <c r="K207" s="49">
        <v>141892.141</v>
      </c>
      <c r="L207" s="49">
        <v>39.414483611111109</v>
      </c>
      <c r="M207" s="49">
        <v>-17710.158999999985</v>
      </c>
      <c r="N207" s="45">
        <v>-0.11096430941158107</v>
      </c>
      <c r="O207" s="72">
        <f t="shared" si="14"/>
        <v>-1309.9517343687694</v>
      </c>
      <c r="P207" s="57">
        <f t="shared" si="17"/>
        <v>54489.620200000252</v>
      </c>
      <c r="Q207" s="57">
        <f t="shared" si="15"/>
        <v>-86655.781934369617</v>
      </c>
      <c r="R207" s="57">
        <f t="shared" si="16"/>
        <v>29623.240000000689</v>
      </c>
    </row>
    <row r="208" spans="1:18" x14ac:dyDescent="0.25">
      <c r="A208" t="s">
        <v>283</v>
      </c>
      <c r="B208" s="50" t="s">
        <v>31</v>
      </c>
      <c r="C208" t="s">
        <v>56</v>
      </c>
      <c r="D208" t="s">
        <v>38</v>
      </c>
      <c r="E208" s="90">
        <v>45371</v>
      </c>
      <c r="F208" s="49" t="s">
        <v>295</v>
      </c>
      <c r="G208">
        <v>11400</v>
      </c>
      <c r="H208" s="49">
        <v>99047.46</v>
      </c>
      <c r="I208" s="49">
        <v>8.6883736842105268</v>
      </c>
      <c r="J208" s="88">
        <v>11400</v>
      </c>
      <c r="K208" s="49">
        <v>85705</v>
      </c>
      <c r="L208" s="49">
        <v>7.5179824561403512</v>
      </c>
      <c r="M208" s="49">
        <v>-13342.460000000006</v>
      </c>
      <c r="N208" s="45">
        <v>-0.13470774515570622</v>
      </c>
      <c r="O208" s="72">
        <f t="shared" si="14"/>
        <v>-14652.411734368776</v>
      </c>
      <c r="P208" s="57">
        <f t="shared" si="17"/>
        <v>41147.160200000246</v>
      </c>
      <c r="Q208" s="57">
        <f t="shared" si="15"/>
        <v>-86655.781934369617</v>
      </c>
      <c r="R208" s="57">
        <f t="shared" si="16"/>
        <v>29623.240000000689</v>
      </c>
    </row>
    <row r="209" spans="1:18" x14ac:dyDescent="0.25">
      <c r="A209" t="s">
        <v>283</v>
      </c>
      <c r="B209" s="50" t="s">
        <v>31</v>
      </c>
      <c r="C209" t="s">
        <v>56</v>
      </c>
      <c r="D209" t="s">
        <v>38</v>
      </c>
      <c r="E209" s="90">
        <v>45377</v>
      </c>
      <c r="F209" s="49" t="s">
        <v>50</v>
      </c>
      <c r="G209">
        <v>230</v>
      </c>
      <c r="H209" s="49">
        <v>205463.6</v>
      </c>
      <c r="I209" s="49">
        <v>893.32</v>
      </c>
      <c r="J209" s="88">
        <v>230</v>
      </c>
      <c r="K209" s="49">
        <v>208303.55</v>
      </c>
      <c r="L209" s="49">
        <v>905.66760869565212</v>
      </c>
      <c r="M209" s="49">
        <v>2839.9499999999825</v>
      </c>
      <c r="N209" s="45">
        <v>1.3822156333287173E-2</v>
      </c>
      <c r="O209" s="72">
        <f t="shared" si="14"/>
        <v>-11812.461734368793</v>
      </c>
      <c r="P209" s="57">
        <f t="shared" si="17"/>
        <v>43987.110200000228</v>
      </c>
      <c r="Q209" s="57">
        <f t="shared" si="15"/>
        <v>-86655.781934369617</v>
      </c>
      <c r="R209" s="57">
        <f t="shared" si="16"/>
        <v>29623.240000000689</v>
      </c>
    </row>
    <row r="210" spans="1:18" x14ac:dyDescent="0.25">
      <c r="A210" t="s">
        <v>283</v>
      </c>
      <c r="B210" s="50" t="s">
        <v>31</v>
      </c>
      <c r="C210" t="s">
        <v>56</v>
      </c>
      <c r="D210" t="s">
        <v>38</v>
      </c>
      <c r="E210" s="90">
        <v>45378</v>
      </c>
      <c r="F210" s="49" t="s">
        <v>215</v>
      </c>
      <c r="G210">
        <v>3300</v>
      </c>
      <c r="H210" s="49">
        <v>155139.6</v>
      </c>
      <c r="I210" s="49">
        <v>47.012</v>
      </c>
      <c r="J210" s="88">
        <v>3300</v>
      </c>
      <c r="K210" s="49">
        <v>146539.98000000001</v>
      </c>
      <c r="L210" s="49">
        <v>44.406054545454552</v>
      </c>
      <c r="M210" s="49">
        <v>-8599.6199999999953</v>
      </c>
      <c r="N210" s="45">
        <v>-5.5431495246861501E-2</v>
      </c>
      <c r="O210" s="72">
        <f t="shared" si="14"/>
        <v>-20412.081734368789</v>
      </c>
      <c r="P210" s="57">
        <f t="shared" si="17"/>
        <v>35387.490200000233</v>
      </c>
      <c r="Q210" s="57">
        <f t="shared" si="15"/>
        <v>-86655.781934369617</v>
      </c>
      <c r="R210" s="57">
        <f t="shared" si="16"/>
        <v>29623.240000000689</v>
      </c>
    </row>
    <row r="211" spans="1:18" x14ac:dyDescent="0.25">
      <c r="A211" t="s">
        <v>283</v>
      </c>
      <c r="B211" s="50" t="s">
        <v>31</v>
      </c>
      <c r="C211" t="s">
        <v>56</v>
      </c>
      <c r="D211" t="s">
        <v>38</v>
      </c>
      <c r="E211" s="90">
        <v>45379</v>
      </c>
      <c r="F211" s="49" t="s">
        <v>288</v>
      </c>
      <c r="G211">
        <v>900</v>
      </c>
      <c r="H211" s="49">
        <v>160677.56</v>
      </c>
      <c r="I211" s="49">
        <v>178.53062222222221</v>
      </c>
      <c r="J211" s="88">
        <v>900</v>
      </c>
      <c r="K211" s="49">
        <v>162144</v>
      </c>
      <c r="L211" s="49">
        <v>180.16</v>
      </c>
      <c r="M211" s="49">
        <v>1466.4400000000023</v>
      </c>
      <c r="N211" s="45">
        <v>9.1266011258821847E-3</v>
      </c>
      <c r="O211" s="72">
        <f t="shared" si="14"/>
        <v>-18945.641734368786</v>
      </c>
      <c r="P211" s="57">
        <f t="shared" si="17"/>
        <v>36853.930200000235</v>
      </c>
      <c r="Q211" s="57">
        <f t="shared" si="15"/>
        <v>-86655.781934369617</v>
      </c>
      <c r="R211" s="57">
        <f t="shared" si="16"/>
        <v>29623.240000000689</v>
      </c>
    </row>
    <row r="212" spans="1:18" x14ac:dyDescent="0.25">
      <c r="A212" t="s">
        <v>283</v>
      </c>
      <c r="B212" s="50" t="s">
        <v>31</v>
      </c>
      <c r="C212" t="s">
        <v>56</v>
      </c>
      <c r="D212" t="s">
        <v>38</v>
      </c>
      <c r="E212" s="90">
        <v>45379</v>
      </c>
      <c r="F212" s="49" t="s">
        <v>219</v>
      </c>
      <c r="G212">
        <v>1400</v>
      </c>
      <c r="H212" s="49">
        <v>90129.5</v>
      </c>
      <c r="I212" s="49">
        <v>64.378214285714279</v>
      </c>
      <c r="J212" s="88">
        <v>1400</v>
      </c>
      <c r="K212" s="49">
        <v>86282.62</v>
      </c>
      <c r="L212" s="49">
        <v>61.630442857142853</v>
      </c>
      <c r="M212" s="49">
        <v>-3846.8800000000047</v>
      </c>
      <c r="N212" s="45">
        <v>-4.2681696891694779E-2</v>
      </c>
      <c r="O212" s="72">
        <f t="shared" si="14"/>
        <v>-22792.521734368791</v>
      </c>
      <c r="P212" s="57">
        <f t="shared" si="17"/>
        <v>33007.050200000231</v>
      </c>
      <c r="Q212" s="57">
        <f t="shared" si="15"/>
        <v>-86655.781934369617</v>
      </c>
      <c r="R212" s="57">
        <f t="shared" si="16"/>
        <v>29623.240000000689</v>
      </c>
    </row>
    <row r="213" spans="1:18" x14ac:dyDescent="0.25">
      <c r="A213" t="s">
        <v>283</v>
      </c>
      <c r="B213" s="50" t="s">
        <v>31</v>
      </c>
      <c r="C213" t="s">
        <v>56</v>
      </c>
      <c r="D213" t="s">
        <v>38</v>
      </c>
      <c r="E213" s="90">
        <v>45393</v>
      </c>
      <c r="F213" s="49" t="s">
        <v>381</v>
      </c>
      <c r="G213">
        <v>4200</v>
      </c>
      <c r="H213" s="49">
        <v>48720</v>
      </c>
      <c r="I213" s="49">
        <v>11.6</v>
      </c>
      <c r="J213" s="88">
        <v>4200</v>
      </c>
      <c r="K213" s="49">
        <v>49427.39</v>
      </c>
      <c r="L213" s="49">
        <v>11.768426190476191</v>
      </c>
      <c r="M213" s="49">
        <v>707.38999999999942</v>
      </c>
      <c r="N213" s="45">
        <v>1.4519499178981926E-2</v>
      </c>
      <c r="O213" s="72">
        <f t="shared" si="14"/>
        <v>-22085.131734368792</v>
      </c>
      <c r="P213" s="57">
        <f t="shared" si="17"/>
        <v>33714.44020000023</v>
      </c>
      <c r="Q213" s="57">
        <f t="shared" si="15"/>
        <v>-86655.781934369617</v>
      </c>
      <c r="R213" s="57">
        <f t="shared" si="16"/>
        <v>29623.240000000689</v>
      </c>
    </row>
    <row r="214" spans="1:18" x14ac:dyDescent="0.25">
      <c r="A214" t="s">
        <v>283</v>
      </c>
      <c r="B214" s="50" t="s">
        <v>31</v>
      </c>
      <c r="C214" t="s">
        <v>56</v>
      </c>
      <c r="D214" t="s">
        <v>38</v>
      </c>
      <c r="E214" s="90">
        <v>45393</v>
      </c>
      <c r="F214" s="49" t="s">
        <v>382</v>
      </c>
      <c r="G214">
        <v>965</v>
      </c>
      <c r="H214" s="49">
        <v>49802.95</v>
      </c>
      <c r="I214" s="49">
        <v>51.609274611398959</v>
      </c>
      <c r="J214" s="88">
        <v>965</v>
      </c>
      <c r="K214" s="49">
        <v>51554.55</v>
      </c>
      <c r="L214" s="49">
        <v>53.424404145077723</v>
      </c>
      <c r="M214" s="49">
        <v>1751.6000000000058</v>
      </c>
      <c r="N214" s="45">
        <v>3.5170607363620147E-2</v>
      </c>
      <c r="O214" s="72">
        <f t="shared" si="14"/>
        <v>-20333.531734368786</v>
      </c>
      <c r="P214" s="57">
        <f t="shared" si="17"/>
        <v>35466.040200000236</v>
      </c>
      <c r="Q214" s="57">
        <f t="shared" si="15"/>
        <v>-86655.781934369617</v>
      </c>
      <c r="R214" s="57">
        <f t="shared" si="16"/>
        <v>29623.240000000689</v>
      </c>
    </row>
    <row r="215" spans="1:18" x14ac:dyDescent="0.25">
      <c r="A215" t="s">
        <v>283</v>
      </c>
      <c r="B215" s="50" t="s">
        <v>31</v>
      </c>
      <c r="C215" t="s">
        <v>56</v>
      </c>
      <c r="D215" t="s">
        <v>38</v>
      </c>
      <c r="E215" s="90">
        <v>45391</v>
      </c>
      <c r="F215" s="49" t="s">
        <v>384</v>
      </c>
      <c r="G215">
        <v>1800</v>
      </c>
      <c r="H215" s="49">
        <v>218187</v>
      </c>
      <c r="I215" s="49">
        <v>121.215</v>
      </c>
      <c r="J215" s="88">
        <v>1800</v>
      </c>
      <c r="K215" s="49">
        <v>225029.4</v>
      </c>
      <c r="L215" s="49">
        <v>125.01633333333334</v>
      </c>
      <c r="M215" s="49">
        <v>6842.3999999999942</v>
      </c>
      <c r="N215" s="45">
        <v>3.1360255193939118E-2</v>
      </c>
      <c r="O215" s="72">
        <f t="shared" si="14"/>
        <v>-13491.131734368792</v>
      </c>
      <c r="P215" s="57">
        <f t="shared" si="17"/>
        <v>42308.44020000023</v>
      </c>
      <c r="Q215" s="57">
        <f t="shared" si="15"/>
        <v>-86655.781934369617</v>
      </c>
      <c r="R215" s="57">
        <f t="shared" si="16"/>
        <v>29623.240000000689</v>
      </c>
    </row>
    <row r="216" spans="1:18" x14ac:dyDescent="0.25">
      <c r="A216" t="s">
        <v>283</v>
      </c>
      <c r="B216" s="50" t="s">
        <v>31</v>
      </c>
      <c r="C216" t="s">
        <v>56</v>
      </c>
      <c r="D216" t="s">
        <v>38</v>
      </c>
      <c r="E216" s="90">
        <v>45386</v>
      </c>
      <c r="F216" s="49" t="s">
        <v>244</v>
      </c>
      <c r="G216">
        <v>10000</v>
      </c>
      <c r="H216" s="49">
        <v>226978.44</v>
      </c>
      <c r="I216" s="49">
        <v>22.697844</v>
      </c>
      <c r="J216" s="88">
        <v>10000</v>
      </c>
      <c r="K216" s="49">
        <v>231025.12</v>
      </c>
      <c r="L216" s="49">
        <v>23.102512000000001</v>
      </c>
      <c r="M216" s="49">
        <v>-4046.679999999993</v>
      </c>
      <c r="N216" s="45">
        <v>-1.7828477453629487E-2</v>
      </c>
      <c r="O216" s="72">
        <f t="shared" si="14"/>
        <v>-17537.811734368785</v>
      </c>
      <c r="P216" s="57">
        <f t="shared" si="17"/>
        <v>38261.760200000237</v>
      </c>
      <c r="Q216" s="57">
        <f t="shared" si="15"/>
        <v>-86655.781934369617</v>
      </c>
      <c r="R216" s="57">
        <f t="shared" si="16"/>
        <v>29623.240000000689</v>
      </c>
    </row>
    <row r="217" spans="1:18" x14ac:dyDescent="0.25">
      <c r="A217" t="s">
        <v>283</v>
      </c>
      <c r="B217" s="50" t="s">
        <v>31</v>
      </c>
      <c r="C217" t="s">
        <v>56</v>
      </c>
      <c r="D217" t="s">
        <v>38</v>
      </c>
      <c r="E217" s="90">
        <v>45394</v>
      </c>
      <c r="F217" s="49" t="s">
        <v>215</v>
      </c>
      <c r="G217">
        <v>2500</v>
      </c>
      <c r="H217" s="49">
        <v>113015</v>
      </c>
      <c r="I217" s="49">
        <v>45.206000000000003</v>
      </c>
      <c r="J217" s="88">
        <v>2500</v>
      </c>
      <c r="K217" s="49">
        <v>104216.9</v>
      </c>
      <c r="L217" s="49">
        <v>41.68676</v>
      </c>
      <c r="M217" s="49">
        <v>-8798.1000000000058</v>
      </c>
      <c r="N217" s="45">
        <v>-7.7848958102906748E-2</v>
      </c>
      <c r="O217" s="72">
        <f t="shared" si="14"/>
        <v>-26335.91173436879</v>
      </c>
      <c r="P217" s="57">
        <f t="shared" si="17"/>
        <v>29463.660200000231</v>
      </c>
      <c r="Q217" s="57">
        <f t="shared" si="15"/>
        <v>-86655.781934369617</v>
      </c>
      <c r="R217" s="57">
        <f t="shared" si="16"/>
        <v>29623.240000000689</v>
      </c>
    </row>
    <row r="218" spans="1:18" x14ac:dyDescent="0.25">
      <c r="A218" t="s">
        <v>283</v>
      </c>
      <c r="B218" s="50" t="s">
        <v>31</v>
      </c>
      <c r="C218" t="s">
        <v>56</v>
      </c>
      <c r="D218" t="s">
        <v>38</v>
      </c>
      <c r="E218" s="90">
        <v>45393</v>
      </c>
      <c r="F218" s="49" t="s">
        <v>338</v>
      </c>
      <c r="G218">
        <v>4800</v>
      </c>
      <c r="H218" s="49">
        <v>80250</v>
      </c>
      <c r="I218" s="49">
        <v>16.71875</v>
      </c>
      <c r="J218" s="88">
        <v>4800</v>
      </c>
      <c r="K218" s="49">
        <v>73894.61</v>
      </c>
      <c r="L218" s="49">
        <v>15.394710416666667</v>
      </c>
      <c r="M218" s="49">
        <v>-6355.3899999999994</v>
      </c>
      <c r="N218" s="45">
        <v>-7.9194890965732082E-2</v>
      </c>
      <c r="O218" s="72">
        <f t="shared" si="14"/>
        <v>-32691.30173436879</v>
      </c>
      <c r="P218" s="57">
        <f t="shared" si="17"/>
        <v>23108.270200000232</v>
      </c>
      <c r="Q218" s="57">
        <f t="shared" si="15"/>
        <v>-86655.781934369617</v>
      </c>
      <c r="R218" s="57">
        <f t="shared" si="16"/>
        <v>29623.240000000689</v>
      </c>
    </row>
    <row r="219" spans="1:18" x14ac:dyDescent="0.25">
      <c r="A219" t="s">
        <v>283</v>
      </c>
      <c r="B219" s="50" t="s">
        <v>31</v>
      </c>
      <c r="C219" t="s">
        <v>56</v>
      </c>
      <c r="D219" t="s">
        <v>38</v>
      </c>
      <c r="E219" s="90">
        <v>45397</v>
      </c>
      <c r="F219" s="49" t="s">
        <v>83</v>
      </c>
      <c r="G219">
        <v>2000</v>
      </c>
      <c r="H219" s="49">
        <v>852967.5</v>
      </c>
      <c r="I219" s="49">
        <v>426.48374999999999</v>
      </c>
      <c r="J219" s="88">
        <v>2000</v>
      </c>
      <c r="K219" s="49">
        <v>827943.04</v>
      </c>
      <c r="L219" s="49">
        <v>413.97152</v>
      </c>
      <c r="M219" s="49">
        <v>-25024.459999999963</v>
      </c>
      <c r="N219" s="45">
        <v>-2.9338116633986597E-2</v>
      </c>
      <c r="O219" s="72">
        <f t="shared" si="14"/>
        <v>-57715.761734368753</v>
      </c>
      <c r="P219" s="57">
        <f t="shared" si="17"/>
        <v>-1916.1897999997309</v>
      </c>
      <c r="Q219" s="57">
        <f t="shared" si="15"/>
        <v>-86655.781934369617</v>
      </c>
      <c r="R219" s="57">
        <f t="shared" si="16"/>
        <v>29623.240000000689</v>
      </c>
    </row>
    <row r="220" spans="1:18" x14ac:dyDescent="0.25">
      <c r="A220" t="s">
        <v>283</v>
      </c>
      <c r="B220" s="50" t="s">
        <v>31</v>
      </c>
      <c r="C220" t="s">
        <v>56</v>
      </c>
      <c r="D220" t="s">
        <v>38</v>
      </c>
      <c r="E220" s="90">
        <v>45398</v>
      </c>
      <c r="F220" s="49" t="s">
        <v>390</v>
      </c>
      <c r="G220">
        <v>15000</v>
      </c>
      <c r="H220" s="49">
        <v>165968.85999999999</v>
      </c>
      <c r="I220" s="49">
        <v>11.064590666666666</v>
      </c>
      <c r="J220" s="88">
        <v>15000</v>
      </c>
      <c r="K220" s="49">
        <v>171273.94</v>
      </c>
      <c r="L220" s="49">
        <v>11.418262666666667</v>
      </c>
      <c r="M220" s="49">
        <v>5305.0800000000163</v>
      </c>
      <c r="N220" s="45">
        <v>3.1964309449375124E-2</v>
      </c>
      <c r="O220" s="72">
        <f t="shared" si="14"/>
        <v>-52410.681734368736</v>
      </c>
      <c r="P220" s="57">
        <f t="shared" si="17"/>
        <v>3388.8902000002854</v>
      </c>
      <c r="Q220" s="57">
        <f t="shared" si="15"/>
        <v>-86655.781934369617</v>
      </c>
      <c r="R220" s="57">
        <f t="shared" si="16"/>
        <v>29623.240000000689</v>
      </c>
    </row>
    <row r="221" spans="1:18" x14ac:dyDescent="0.25">
      <c r="A221" t="s">
        <v>283</v>
      </c>
      <c r="B221" s="50" t="s">
        <v>31</v>
      </c>
      <c r="C221" t="s">
        <v>56</v>
      </c>
      <c r="D221" t="s">
        <v>38</v>
      </c>
      <c r="E221" s="90">
        <v>45400</v>
      </c>
      <c r="F221" s="49" t="s">
        <v>50</v>
      </c>
      <c r="G221">
        <v>150</v>
      </c>
      <c r="H221" s="49">
        <v>128626.5</v>
      </c>
      <c r="I221" s="49">
        <v>857.51</v>
      </c>
      <c r="J221" s="88">
        <v>150</v>
      </c>
      <c r="K221" s="49">
        <v>122797.47</v>
      </c>
      <c r="L221" s="49">
        <v>818.64980000000003</v>
      </c>
      <c r="M221" s="49">
        <v>-5829.0299999999988</v>
      </c>
      <c r="N221" s="45">
        <v>-4.5317489008874522E-2</v>
      </c>
      <c r="O221" s="72">
        <f t="shared" si="14"/>
        <v>-58239.711734368735</v>
      </c>
      <c r="P221" s="57">
        <f t="shared" si="17"/>
        <v>-2440.1397999997134</v>
      </c>
      <c r="Q221" s="57">
        <f t="shared" si="15"/>
        <v>-86655.781934369617</v>
      </c>
      <c r="R221" s="57">
        <f t="shared" si="16"/>
        <v>29623.240000000689</v>
      </c>
    </row>
    <row r="222" spans="1:18" x14ac:dyDescent="0.25">
      <c r="A222" t="s">
        <v>283</v>
      </c>
      <c r="B222" s="50" t="s">
        <v>31</v>
      </c>
      <c r="C222" t="s">
        <v>56</v>
      </c>
      <c r="D222" t="s">
        <v>38</v>
      </c>
      <c r="E222" s="90">
        <v>45407</v>
      </c>
      <c r="F222" s="49" t="s">
        <v>391</v>
      </c>
      <c r="G222">
        <v>5000</v>
      </c>
      <c r="H222" s="49">
        <v>64872.5</v>
      </c>
      <c r="I222" s="49">
        <v>12.974500000000001</v>
      </c>
      <c r="J222" s="88">
        <v>5000</v>
      </c>
      <c r="K222" s="49">
        <v>61623.68</v>
      </c>
      <c r="L222" s="49">
        <v>12.324736</v>
      </c>
      <c r="M222" s="49">
        <v>-3248.8199999999997</v>
      </c>
      <c r="N222" s="45">
        <v>-5.0080080157231491E-2</v>
      </c>
      <c r="O222" s="72">
        <f t="shared" si="14"/>
        <v>-61488.531734368735</v>
      </c>
      <c r="P222" s="57">
        <f t="shared" si="17"/>
        <v>-5688.9597999997131</v>
      </c>
      <c r="Q222" s="57">
        <f t="shared" si="15"/>
        <v>-86655.781934369617</v>
      </c>
      <c r="R222" s="57">
        <f t="shared" si="16"/>
        <v>29623.240000000689</v>
      </c>
    </row>
    <row r="223" spans="1:18" x14ac:dyDescent="0.25">
      <c r="A223" t="s">
        <v>283</v>
      </c>
      <c r="B223" s="50" t="s">
        <v>31</v>
      </c>
      <c r="C223" t="s">
        <v>56</v>
      </c>
      <c r="D223" t="s">
        <v>38</v>
      </c>
      <c r="E223" s="90">
        <v>45408</v>
      </c>
      <c r="F223" s="49" t="s">
        <v>388</v>
      </c>
      <c r="G223">
        <v>1400</v>
      </c>
      <c r="H223" s="49">
        <v>115675</v>
      </c>
      <c r="I223" s="49">
        <v>82.625</v>
      </c>
      <c r="J223" s="88">
        <v>1400</v>
      </c>
      <c r="K223" s="49">
        <v>111118.24</v>
      </c>
      <c r="L223" s="49">
        <v>79.370171428571439</v>
      </c>
      <c r="M223" s="49">
        <v>-4726</v>
      </c>
      <c r="N223" s="45">
        <v>-4.0855846120596499E-2</v>
      </c>
      <c r="O223" s="72">
        <f t="shared" si="14"/>
        <v>-66214.531734368735</v>
      </c>
      <c r="P223" s="57">
        <f t="shared" si="17"/>
        <v>-10414.959799999713</v>
      </c>
      <c r="Q223" s="57">
        <f t="shared" si="15"/>
        <v>-86655.781934369617</v>
      </c>
      <c r="R223" s="57">
        <f t="shared" si="16"/>
        <v>29623.240000000689</v>
      </c>
    </row>
    <row r="224" spans="1:18" x14ac:dyDescent="0.25">
      <c r="A224" t="s">
        <v>283</v>
      </c>
      <c r="B224" s="50" t="s">
        <v>31</v>
      </c>
      <c r="C224" t="s">
        <v>56</v>
      </c>
      <c r="D224" t="s">
        <v>38</v>
      </c>
      <c r="E224" s="90">
        <v>45408</v>
      </c>
      <c r="F224" s="49" t="s">
        <v>384</v>
      </c>
      <c r="G224">
        <v>1000</v>
      </c>
      <c r="H224" s="49">
        <v>110109.87</v>
      </c>
      <c r="I224" s="49">
        <v>110.10987</v>
      </c>
      <c r="J224" s="88">
        <v>1000</v>
      </c>
      <c r="K224" s="49">
        <v>109954.87</v>
      </c>
      <c r="L224" s="49">
        <v>109.95487</v>
      </c>
      <c r="M224" s="49">
        <v>-155</v>
      </c>
      <c r="N224" s="45">
        <v>-4.2920766321856527E-2</v>
      </c>
      <c r="O224" s="72">
        <f t="shared" si="14"/>
        <v>-66369.531734368735</v>
      </c>
      <c r="P224" s="57">
        <f t="shared" si="17"/>
        <v>-10569.959799999713</v>
      </c>
      <c r="Q224" s="57">
        <f t="shared" si="15"/>
        <v>-86655.781934369617</v>
      </c>
      <c r="R224" s="57">
        <f t="shared" si="16"/>
        <v>29623.240000000689</v>
      </c>
    </row>
    <row r="225" spans="1:18" x14ac:dyDescent="0.25">
      <c r="A225" t="s">
        <v>283</v>
      </c>
      <c r="B225" s="50" t="s">
        <v>31</v>
      </c>
      <c r="C225" t="s">
        <v>56</v>
      </c>
      <c r="D225" t="s">
        <v>38</v>
      </c>
      <c r="E225" s="90">
        <v>45413</v>
      </c>
      <c r="F225" s="49" t="s">
        <v>222</v>
      </c>
      <c r="G225">
        <v>2300</v>
      </c>
      <c r="H225" s="49">
        <v>171361.5</v>
      </c>
      <c r="I225" s="49">
        <v>74.504999999999995</v>
      </c>
      <c r="J225" s="88">
        <v>2300</v>
      </c>
      <c r="K225" s="49">
        <v>171206.5</v>
      </c>
      <c r="L225" s="49">
        <v>74.437608695652173</v>
      </c>
      <c r="M225" s="49">
        <v>-5306.1000000000058</v>
      </c>
      <c r="N225" s="45">
        <v>-2.7579123665467449E-2</v>
      </c>
      <c r="O225" s="72">
        <f t="shared" si="14"/>
        <v>-71675.631734368741</v>
      </c>
      <c r="P225" s="57">
        <f t="shared" si="17"/>
        <v>-15876.059799999719</v>
      </c>
      <c r="Q225" s="57">
        <f t="shared" si="15"/>
        <v>-86655.781934369617</v>
      </c>
      <c r="R225" s="57">
        <f t="shared" si="16"/>
        <v>29623.240000000689</v>
      </c>
    </row>
    <row r="226" spans="1:18" x14ac:dyDescent="0.25">
      <c r="A226" t="s">
        <v>283</v>
      </c>
      <c r="B226" s="50" t="s">
        <v>31</v>
      </c>
      <c r="C226" t="s">
        <v>35</v>
      </c>
      <c r="D226" t="s">
        <v>38</v>
      </c>
      <c r="E226" s="90">
        <v>45371</v>
      </c>
      <c r="F226" s="49" t="s">
        <v>118</v>
      </c>
      <c r="G226">
        <v>2000000</v>
      </c>
      <c r="H226" s="49">
        <v>52747473.460000001</v>
      </c>
      <c r="I226" s="49">
        <v>26.373736730000001</v>
      </c>
      <c r="J226" s="88">
        <v>2000000</v>
      </c>
      <c r="K226" s="49">
        <v>0</v>
      </c>
      <c r="L226" s="49"/>
      <c r="M226" s="49">
        <v>37014</v>
      </c>
      <c r="N226" s="45">
        <v>2.5000000000000001E-2</v>
      </c>
      <c r="O226" s="72">
        <f t="shared" ref="O226" si="18">M226+O225</f>
        <v>-34661.631734368741</v>
      </c>
      <c r="P226" s="57">
        <f t="shared" ref="P226" si="19">IF(C226="Equity",M226+P225,P225)</f>
        <v>-15876.059799999719</v>
      </c>
      <c r="Q226" s="57">
        <f t="shared" ref="Q226" si="20">IF(C226="Forex",M226+Q225,Q225)</f>
        <v>-49641.781934369617</v>
      </c>
      <c r="R226" s="57">
        <f t="shared" ref="R226" si="21">IF(C226="Futures",M226+R225,R225)</f>
        <v>29623.240000000689</v>
      </c>
    </row>
    <row r="227" spans="1:18" x14ac:dyDescent="0.25">
      <c r="A227" t="s">
        <v>283</v>
      </c>
      <c r="B227" s="50" t="s">
        <v>31</v>
      </c>
      <c r="C227" t="s">
        <v>51</v>
      </c>
      <c r="D227" t="s">
        <v>38</v>
      </c>
      <c r="E227" s="90">
        <v>45401</v>
      </c>
      <c r="F227" s="49" t="s">
        <v>88</v>
      </c>
      <c r="G227">
        <v>2</v>
      </c>
      <c r="H227" s="49">
        <v>394006.04</v>
      </c>
      <c r="I227" s="49">
        <v>39400.603999999999</v>
      </c>
      <c r="J227" s="88">
        <v>2</v>
      </c>
      <c r="K227" s="49">
        <v>376525</v>
      </c>
      <c r="L227" s="49">
        <v>3765.25</v>
      </c>
      <c r="M227" s="49">
        <v>-17481.039999999979</v>
      </c>
      <c r="N227" s="45">
        <v>-4.4367441676782367E-2</v>
      </c>
      <c r="O227" s="72">
        <f t="shared" ref="O227:O236" si="22">M227+O226</f>
        <v>-52142.67173436872</v>
      </c>
      <c r="P227" s="57">
        <f t="shared" ref="P227:P236" si="23">IF(C227="Equity",M227+P226,P226)</f>
        <v>-15876.059799999719</v>
      </c>
      <c r="Q227" s="57">
        <f t="shared" ref="Q227:Q236" si="24">IF(C227="Forex",M227+Q226,Q226)</f>
        <v>-49641.781934369617</v>
      </c>
      <c r="R227" s="57">
        <f t="shared" ref="R227:R236" si="25">IF(C227="Futures",M227+R226,R226)</f>
        <v>12142.20000000071</v>
      </c>
    </row>
    <row r="228" spans="1:18" x14ac:dyDescent="0.25">
      <c r="A228" t="s">
        <v>283</v>
      </c>
      <c r="B228" s="50" t="s">
        <v>31</v>
      </c>
      <c r="C228" t="s">
        <v>51</v>
      </c>
      <c r="D228" t="s">
        <v>36</v>
      </c>
      <c r="E228" s="90">
        <v>45371</v>
      </c>
      <c r="F228" s="49" t="s">
        <v>395</v>
      </c>
      <c r="G228">
        <v>10</v>
      </c>
      <c r="H228" s="49">
        <v>2403603.7999999998</v>
      </c>
      <c r="I228" s="49">
        <v>96.144151999999991</v>
      </c>
      <c r="J228" s="88">
        <v>10</v>
      </c>
      <c r="K228" s="49">
        <v>2391875.2199999997</v>
      </c>
      <c r="L228" s="49">
        <v>95.675008799999986</v>
      </c>
      <c r="M228" s="49">
        <v>11728.580000000075</v>
      </c>
      <c r="N228" s="45">
        <v>4.8795812354765272E-3</v>
      </c>
      <c r="O228" s="72">
        <f t="shared" si="22"/>
        <v>-40414.091734368645</v>
      </c>
      <c r="P228" s="57">
        <f t="shared" si="23"/>
        <v>-15876.059799999719</v>
      </c>
      <c r="Q228" s="57">
        <f t="shared" si="24"/>
        <v>-49641.781934369617</v>
      </c>
      <c r="R228" s="57">
        <f t="shared" si="25"/>
        <v>23870.780000000785</v>
      </c>
    </row>
    <row r="229" spans="1:18" x14ac:dyDescent="0.25">
      <c r="A229" t="s">
        <v>283</v>
      </c>
      <c r="B229" s="50" t="s">
        <v>31</v>
      </c>
      <c r="C229" t="s">
        <v>51</v>
      </c>
      <c r="D229" t="s">
        <v>38</v>
      </c>
      <c r="E229" s="90">
        <v>45414</v>
      </c>
      <c r="F229" s="49" t="s">
        <v>397</v>
      </c>
      <c r="G229">
        <v>10</v>
      </c>
      <c r="H229" s="49">
        <v>352986.2</v>
      </c>
      <c r="I229" s="49">
        <v>17649.310000000001</v>
      </c>
      <c r="J229" s="88">
        <v>10</v>
      </c>
      <c r="K229" s="49">
        <v>367993.8</v>
      </c>
      <c r="L229" s="49">
        <v>36.799379999999999</v>
      </c>
      <c r="M229" s="49">
        <v>15007.599999999977</v>
      </c>
      <c r="N229" s="45">
        <v>4.2516109694939845E-2</v>
      </c>
      <c r="O229" s="72">
        <f t="shared" si="22"/>
        <v>-25406.491734368668</v>
      </c>
      <c r="P229" s="57">
        <f t="shared" si="23"/>
        <v>-15876.059799999719</v>
      </c>
      <c r="Q229" s="57">
        <f t="shared" si="24"/>
        <v>-49641.781934369617</v>
      </c>
      <c r="R229" s="57">
        <f t="shared" si="25"/>
        <v>38878.380000000761</v>
      </c>
    </row>
    <row r="230" spans="1:18" x14ac:dyDescent="0.25">
      <c r="A230" t="s">
        <v>283</v>
      </c>
      <c r="B230" s="50" t="s">
        <v>31</v>
      </c>
      <c r="C230" t="s">
        <v>51</v>
      </c>
      <c r="D230" t="s">
        <v>38</v>
      </c>
      <c r="E230" s="90">
        <v>45440</v>
      </c>
      <c r="F230" s="49" t="s">
        <v>133</v>
      </c>
      <c r="G230">
        <v>13</v>
      </c>
      <c r="H230" s="49">
        <v>84173.51</v>
      </c>
      <c r="I230" s="49">
        <v>64748.853846153841</v>
      </c>
      <c r="J230" s="88">
        <v>13</v>
      </c>
      <c r="K230" s="49">
        <v>88161</v>
      </c>
      <c r="L230" s="49">
        <v>6.7816153846153844</v>
      </c>
      <c r="M230" s="49">
        <v>3987.4900000000052</v>
      </c>
      <c r="N230" s="45">
        <v>4.7372267118241898E-2</v>
      </c>
      <c r="O230" s="72">
        <f t="shared" si="22"/>
        <v>-21419.001734368663</v>
      </c>
      <c r="P230" s="57">
        <f t="shared" si="23"/>
        <v>-15876.059799999719</v>
      </c>
      <c r="Q230" s="57">
        <f t="shared" si="24"/>
        <v>-49641.781934369617</v>
      </c>
      <c r="R230" s="57">
        <f t="shared" si="25"/>
        <v>42865.870000000767</v>
      </c>
    </row>
    <row r="231" spans="1:18" x14ac:dyDescent="0.25">
      <c r="A231" t="s">
        <v>283</v>
      </c>
      <c r="B231" s="50" t="s">
        <v>31</v>
      </c>
      <c r="C231" t="s">
        <v>51</v>
      </c>
      <c r="D231" t="s">
        <v>38</v>
      </c>
      <c r="E231" s="90">
        <v>45433</v>
      </c>
      <c r="F231" s="49" t="s">
        <v>398</v>
      </c>
      <c r="G231">
        <v>5</v>
      </c>
      <c r="H231" s="49">
        <v>157514.85</v>
      </c>
      <c r="I231" s="49">
        <v>630.05939999999998</v>
      </c>
      <c r="J231" s="88">
        <v>5</v>
      </c>
      <c r="K231" s="49">
        <v>174985.15</v>
      </c>
      <c r="L231" s="49">
        <v>34.997030000000002</v>
      </c>
      <c r="M231" s="49">
        <v>17470.299999999988</v>
      </c>
      <c r="N231" s="45">
        <v>0.11091208225764103</v>
      </c>
      <c r="O231" s="72">
        <f t="shared" si="22"/>
        <v>-3948.7017343686748</v>
      </c>
      <c r="P231" s="57">
        <f t="shared" si="23"/>
        <v>-15876.059799999719</v>
      </c>
      <c r="Q231" s="57">
        <f t="shared" si="24"/>
        <v>-49641.781934369617</v>
      </c>
      <c r="R231" s="57">
        <f t="shared" si="25"/>
        <v>60336.170000000755</v>
      </c>
    </row>
    <row r="232" spans="1:18" x14ac:dyDescent="0.25">
      <c r="A232" t="s">
        <v>283</v>
      </c>
      <c r="B232" s="50" t="s">
        <v>31</v>
      </c>
      <c r="C232" t="s">
        <v>51</v>
      </c>
      <c r="D232" t="s">
        <v>38</v>
      </c>
      <c r="E232" s="90">
        <v>45446</v>
      </c>
      <c r="F232" s="49" t="s">
        <v>135</v>
      </c>
      <c r="G232">
        <v>5</v>
      </c>
      <c r="H232" s="49">
        <v>304000</v>
      </c>
      <c r="I232" s="49">
        <v>1216</v>
      </c>
      <c r="J232" s="88">
        <v>5</v>
      </c>
      <c r="K232" s="49">
        <v>299295.3</v>
      </c>
      <c r="L232" s="49">
        <v>59.859059999999999</v>
      </c>
      <c r="M232" s="49">
        <v>-4704.7000000000116</v>
      </c>
      <c r="N232" s="45">
        <v>-1.5475986842105301E-2</v>
      </c>
      <c r="O232" s="72">
        <f t="shared" si="22"/>
        <v>-8653.4017343686864</v>
      </c>
      <c r="P232" s="57">
        <f t="shared" si="23"/>
        <v>-15876.059799999719</v>
      </c>
      <c r="Q232" s="57">
        <f t="shared" si="24"/>
        <v>-49641.781934369617</v>
      </c>
      <c r="R232" s="57">
        <f t="shared" si="25"/>
        <v>55631.470000000743</v>
      </c>
    </row>
    <row r="233" spans="1:18" x14ac:dyDescent="0.25">
      <c r="A233" t="s">
        <v>283</v>
      </c>
      <c r="B233" s="50" t="s">
        <v>31</v>
      </c>
      <c r="C233" t="s">
        <v>51</v>
      </c>
      <c r="D233" t="s">
        <v>38</v>
      </c>
      <c r="E233" s="90">
        <v>45425</v>
      </c>
      <c r="F233" s="49" t="s">
        <v>136</v>
      </c>
      <c r="G233">
        <v>15</v>
      </c>
      <c r="H233" s="49">
        <v>335624</v>
      </c>
      <c r="I233" s="49">
        <v>19.977619047619047</v>
      </c>
      <c r="J233" s="88">
        <v>15</v>
      </c>
      <c r="K233" s="49">
        <v>315499</v>
      </c>
      <c r="L233" s="49">
        <v>21.03326666666667</v>
      </c>
      <c r="M233" s="49">
        <v>-20123</v>
      </c>
      <c r="N233" s="45">
        <v>-5.99569756632422E-2</v>
      </c>
      <c r="O233" s="72">
        <f t="shared" si="22"/>
        <v>-28776.401734368686</v>
      </c>
      <c r="P233" s="57">
        <f t="shared" si="23"/>
        <v>-15876.059799999719</v>
      </c>
      <c r="Q233" s="57">
        <f t="shared" si="24"/>
        <v>-49641.781934369617</v>
      </c>
      <c r="R233" s="57">
        <f t="shared" si="25"/>
        <v>35508.470000000743</v>
      </c>
    </row>
    <row r="234" spans="1:18" x14ac:dyDescent="0.25">
      <c r="A234" t="s">
        <v>283</v>
      </c>
      <c r="B234" s="50" t="s">
        <v>31</v>
      </c>
      <c r="C234" t="s">
        <v>51</v>
      </c>
      <c r="D234" t="s">
        <v>38</v>
      </c>
      <c r="E234" s="90">
        <v>45440</v>
      </c>
      <c r="F234" s="49" t="s">
        <v>399</v>
      </c>
      <c r="G234">
        <v>350</v>
      </c>
      <c r="H234" s="49">
        <v>100234</v>
      </c>
      <c r="I234" s="49">
        <v>0.25569897959183674</v>
      </c>
      <c r="J234" s="88">
        <v>350</v>
      </c>
      <c r="K234" s="49">
        <v>111571.65</v>
      </c>
      <c r="L234" s="49">
        <v>0.31877614285714284</v>
      </c>
      <c r="M234" s="49">
        <v>11337.649999999994</v>
      </c>
      <c r="N234" s="45">
        <v>0.11311181834507247</v>
      </c>
      <c r="O234" s="72">
        <f t="shared" si="22"/>
        <v>-17438.751734368692</v>
      </c>
      <c r="P234" s="57">
        <f t="shared" si="23"/>
        <v>-15876.059799999719</v>
      </c>
      <c r="Q234" s="57">
        <f t="shared" si="24"/>
        <v>-49641.781934369617</v>
      </c>
      <c r="R234" s="57">
        <f t="shared" si="25"/>
        <v>46846.120000000737</v>
      </c>
    </row>
    <row r="235" spans="1:18" x14ac:dyDescent="0.25">
      <c r="A235" t="s">
        <v>283</v>
      </c>
      <c r="B235" s="50" t="s">
        <v>31</v>
      </c>
      <c r="C235" t="s">
        <v>51</v>
      </c>
      <c r="D235" t="s">
        <v>38</v>
      </c>
      <c r="E235" s="90">
        <v>45448</v>
      </c>
      <c r="F235" s="49" t="s">
        <v>398</v>
      </c>
      <c r="G235">
        <v>4</v>
      </c>
      <c r="H235" s="49">
        <v>139150</v>
      </c>
      <c r="I235" s="49">
        <v>695.75</v>
      </c>
      <c r="J235" s="88">
        <v>4</v>
      </c>
      <c r="K235" s="49">
        <v>130050</v>
      </c>
      <c r="L235" s="49">
        <v>32.512500000000003</v>
      </c>
      <c r="M235" s="49">
        <v>-9100</v>
      </c>
      <c r="N235" s="45">
        <v>-6.5397053539346023E-2</v>
      </c>
      <c r="O235" s="72">
        <f t="shared" si="22"/>
        <v>-26538.751734368692</v>
      </c>
      <c r="P235" s="57">
        <f t="shared" si="23"/>
        <v>-15876.059799999719</v>
      </c>
      <c r="Q235" s="57">
        <f t="shared" si="24"/>
        <v>-49641.781934369617</v>
      </c>
      <c r="R235" s="57">
        <f t="shared" si="25"/>
        <v>37746.120000000737</v>
      </c>
    </row>
    <row r="236" spans="1:18" x14ac:dyDescent="0.25">
      <c r="A236" t="s">
        <v>283</v>
      </c>
      <c r="B236" s="50" t="s">
        <v>31</v>
      </c>
      <c r="C236" t="s">
        <v>51</v>
      </c>
      <c r="D236" t="s">
        <v>38</v>
      </c>
      <c r="E236" s="90">
        <v>45442</v>
      </c>
      <c r="F236" s="49" t="s">
        <v>52</v>
      </c>
      <c r="G236">
        <v>7</v>
      </c>
      <c r="H236" s="49">
        <v>539086.59</v>
      </c>
      <c r="I236" s="49">
        <v>77.01236999999999</v>
      </c>
      <c r="J236" s="88">
        <v>7</v>
      </c>
      <c r="K236" s="49">
        <v>529533.40999999992</v>
      </c>
      <c r="L236" s="49">
        <v>75.647629999999978</v>
      </c>
      <c r="M236" s="49">
        <v>-9553.1800000000512</v>
      </c>
      <c r="N236" s="45">
        <v>-1.7721049228844762E-2</v>
      </c>
      <c r="O236" s="72">
        <f t="shared" si="22"/>
        <v>-36091.931734368743</v>
      </c>
      <c r="P236" s="57">
        <f t="shared" si="23"/>
        <v>-15876.059799999719</v>
      </c>
      <c r="Q236" s="57">
        <f t="shared" si="24"/>
        <v>-49641.781934369617</v>
      </c>
      <c r="R236" s="57">
        <f t="shared" si="25"/>
        <v>28192.940000000686</v>
      </c>
    </row>
    <row r="237" spans="1:18" x14ac:dyDescent="0.25">
      <c r="A237" t="s">
        <v>283</v>
      </c>
      <c r="B237" s="50" t="s">
        <v>31</v>
      </c>
      <c r="C237" t="s">
        <v>56</v>
      </c>
      <c r="D237" t="s">
        <v>38</v>
      </c>
      <c r="E237" s="90">
        <v>45429</v>
      </c>
      <c r="F237" s="49" t="s">
        <v>217</v>
      </c>
      <c r="G237">
        <v>610</v>
      </c>
      <c r="H237" s="49">
        <v>185504.05</v>
      </c>
      <c r="I237" s="49">
        <v>304.10499999999996</v>
      </c>
      <c r="J237" s="88">
        <v>210</v>
      </c>
      <c r="K237" s="49">
        <v>197936.24</v>
      </c>
      <c r="L237" s="49">
        <v>942.55352380952377</v>
      </c>
      <c r="M237" s="49">
        <v>12432.190000000002</v>
      </c>
      <c r="N237" s="45">
        <v>6.7018428977696193E-2</v>
      </c>
      <c r="O237" s="72">
        <f t="shared" ref="O237:O248" si="26">M237+O236</f>
        <v>-23659.741734368741</v>
      </c>
      <c r="P237" s="57">
        <f t="shared" ref="P237:P248" si="27">IF(C237="Equity",M237+P236,P236)</f>
        <v>-3443.8697999997166</v>
      </c>
      <c r="Q237" s="57">
        <f t="shared" ref="Q237:Q248" si="28">IF(C237="Forex",M237+Q236,Q236)</f>
        <v>-49641.781934369617</v>
      </c>
      <c r="R237" s="57">
        <f t="shared" ref="R237:R248" si="29">IF(C237="Futures",M237+R236,R236)</f>
        <v>28192.940000000686</v>
      </c>
    </row>
    <row r="238" spans="1:18" x14ac:dyDescent="0.25">
      <c r="A238" t="s">
        <v>283</v>
      </c>
      <c r="B238" s="50" t="s">
        <v>31</v>
      </c>
      <c r="C238" t="s">
        <v>56</v>
      </c>
      <c r="D238" t="s">
        <v>38</v>
      </c>
      <c r="E238" s="90">
        <v>45419</v>
      </c>
      <c r="F238" s="49" t="s">
        <v>200</v>
      </c>
      <c r="G238">
        <v>530</v>
      </c>
      <c r="H238" s="49">
        <v>109606.65</v>
      </c>
      <c r="I238" s="49">
        <v>206.80499999999998</v>
      </c>
      <c r="J238" s="88">
        <v>530</v>
      </c>
      <c r="K238" s="49">
        <v>104637.90000000001</v>
      </c>
      <c r="L238" s="49">
        <v>197.43</v>
      </c>
      <c r="M238" s="49">
        <v>-4968.7499999999854</v>
      </c>
      <c r="N238" s="45">
        <v>-4.5332559657648382E-2</v>
      </c>
      <c r="O238" s="72">
        <f t="shared" si="26"/>
        <v>-28628.491734368727</v>
      </c>
      <c r="P238" s="57">
        <f t="shared" si="27"/>
        <v>-8412.6197999997021</v>
      </c>
      <c r="Q238" s="57">
        <f t="shared" si="28"/>
        <v>-49641.781934369617</v>
      </c>
      <c r="R238" s="57">
        <f t="shared" si="29"/>
        <v>28192.940000000686</v>
      </c>
    </row>
    <row r="239" spans="1:18" x14ac:dyDescent="0.25">
      <c r="A239" t="s">
        <v>283</v>
      </c>
      <c r="B239" s="50" t="s">
        <v>31</v>
      </c>
      <c r="C239" t="s">
        <v>56</v>
      </c>
      <c r="D239" t="s">
        <v>38</v>
      </c>
      <c r="E239" s="90">
        <v>45423</v>
      </c>
      <c r="F239" s="49" t="s">
        <v>400</v>
      </c>
      <c r="G239">
        <v>2700</v>
      </c>
      <c r="H239" s="49">
        <v>72913.5</v>
      </c>
      <c r="I239" s="49">
        <v>27.004999999999999</v>
      </c>
      <c r="J239" s="88">
        <v>2700</v>
      </c>
      <c r="K239" s="49">
        <v>61986.05</v>
      </c>
      <c r="L239" s="49">
        <v>22.957796296296298</v>
      </c>
      <c r="M239" s="49">
        <v>-10927.449999999997</v>
      </c>
      <c r="N239" s="45">
        <v>-0.14986868001124617</v>
      </c>
      <c r="O239" s="72">
        <f t="shared" si="26"/>
        <v>-39555.941734368724</v>
      </c>
      <c r="P239" s="57">
        <f t="shared" si="27"/>
        <v>-19340.069799999699</v>
      </c>
      <c r="Q239" s="57">
        <f t="shared" si="28"/>
        <v>-49641.781934369617</v>
      </c>
      <c r="R239" s="57">
        <f t="shared" si="29"/>
        <v>28192.940000000686</v>
      </c>
    </row>
    <row r="240" spans="1:18" x14ac:dyDescent="0.25">
      <c r="A240" t="s">
        <v>283</v>
      </c>
      <c r="B240" s="50" t="s">
        <v>31</v>
      </c>
      <c r="C240" t="s">
        <v>56</v>
      </c>
      <c r="D240" t="s">
        <v>38</v>
      </c>
      <c r="E240" s="90">
        <v>45433</v>
      </c>
      <c r="F240" s="49" t="s">
        <v>402</v>
      </c>
      <c r="G240">
        <v>5000</v>
      </c>
      <c r="H240" s="49">
        <v>204145</v>
      </c>
      <c r="I240" s="49">
        <v>40.829000000000001</v>
      </c>
      <c r="J240" s="88">
        <v>5000</v>
      </c>
      <c r="K240" s="49">
        <v>196498.3</v>
      </c>
      <c r="L240" s="49">
        <v>39.299659999999996</v>
      </c>
      <c r="M240" s="49">
        <v>-7646.7000000000116</v>
      </c>
      <c r="N240" s="45">
        <v>-3.7457199539543032E-2</v>
      </c>
      <c r="O240" s="72">
        <f t="shared" si="26"/>
        <v>-47202.641734368735</v>
      </c>
      <c r="P240" s="57">
        <f t="shared" si="27"/>
        <v>-26986.769799999711</v>
      </c>
      <c r="Q240" s="57">
        <f t="shared" si="28"/>
        <v>-49641.781934369617</v>
      </c>
      <c r="R240" s="57">
        <f t="shared" si="29"/>
        <v>28192.940000000686</v>
      </c>
    </row>
    <row r="241" spans="1:18" x14ac:dyDescent="0.25">
      <c r="A241" t="s">
        <v>283</v>
      </c>
      <c r="B241" s="50" t="s">
        <v>31</v>
      </c>
      <c r="C241" t="s">
        <v>56</v>
      </c>
      <c r="D241" t="s">
        <v>38</v>
      </c>
      <c r="E241" s="90">
        <v>45432</v>
      </c>
      <c r="F241" s="49" t="s">
        <v>208</v>
      </c>
      <c r="G241">
        <v>2500</v>
      </c>
      <c r="H241" s="49">
        <v>209862.5</v>
      </c>
      <c r="I241" s="49">
        <v>83.944999999999993</v>
      </c>
      <c r="J241" s="88">
        <v>2500</v>
      </c>
      <c r="K241" s="49">
        <v>199162.76</v>
      </c>
      <c r="L241" s="49">
        <v>79.665103999999999</v>
      </c>
      <c r="M241" s="49">
        <v>-10699.739999999991</v>
      </c>
      <c r="N241" s="45">
        <v>-5.0984525582226416E-2</v>
      </c>
      <c r="O241" s="72">
        <f t="shared" si="26"/>
        <v>-57902.381734368726</v>
      </c>
      <c r="P241" s="57">
        <f t="shared" si="27"/>
        <v>-37686.509799999701</v>
      </c>
      <c r="Q241" s="57">
        <f t="shared" si="28"/>
        <v>-49641.781934369617</v>
      </c>
      <c r="R241" s="57">
        <f t="shared" si="29"/>
        <v>28192.940000000686</v>
      </c>
    </row>
    <row r="242" spans="1:18" x14ac:dyDescent="0.25">
      <c r="A242" t="s">
        <v>283</v>
      </c>
      <c r="B242" s="50" t="s">
        <v>31</v>
      </c>
      <c r="C242" t="s">
        <v>56</v>
      </c>
      <c r="D242" t="s">
        <v>38</v>
      </c>
      <c r="E242" s="90">
        <v>45422</v>
      </c>
      <c r="F242" s="49" t="s">
        <v>394</v>
      </c>
      <c r="G242">
        <v>10000</v>
      </c>
      <c r="H242" s="49">
        <v>430000</v>
      </c>
      <c r="I242" s="49">
        <v>43</v>
      </c>
      <c r="J242" s="88">
        <v>10000</v>
      </c>
      <c r="K242" s="49">
        <v>453604.79</v>
      </c>
      <c r="L242" s="49">
        <v>45.360478999999998</v>
      </c>
      <c r="M242" s="49">
        <v>-14030</v>
      </c>
      <c r="N242" s="45">
        <v>-5.4894860465116227E-2</v>
      </c>
      <c r="O242" s="72">
        <f t="shared" si="26"/>
        <v>-71932.381734368726</v>
      </c>
      <c r="P242" s="57">
        <f t="shared" si="27"/>
        <v>-51716.509799999701</v>
      </c>
      <c r="Q242" s="57">
        <f t="shared" si="28"/>
        <v>-49641.781934369617</v>
      </c>
      <c r="R242" s="57">
        <f t="shared" si="29"/>
        <v>28192.940000000686</v>
      </c>
    </row>
    <row r="243" spans="1:18" x14ac:dyDescent="0.25">
      <c r="A243" t="s">
        <v>283</v>
      </c>
      <c r="B243" s="50" t="s">
        <v>31</v>
      </c>
      <c r="C243" t="s">
        <v>56</v>
      </c>
      <c r="D243" t="s">
        <v>38</v>
      </c>
      <c r="E243" s="90">
        <v>45440</v>
      </c>
      <c r="F243" s="49" t="s">
        <v>338</v>
      </c>
      <c r="G243">
        <v>3800</v>
      </c>
      <c r="H243" s="49">
        <v>70699</v>
      </c>
      <c r="I243" s="49">
        <v>18.605</v>
      </c>
      <c r="J243" s="88">
        <v>3800</v>
      </c>
      <c r="K243" s="49">
        <v>63360.93</v>
      </c>
      <c r="L243" s="49">
        <v>16.67392894736842</v>
      </c>
      <c r="M243" s="49">
        <v>-7338.07</v>
      </c>
      <c r="N243" s="45">
        <v>-0.10379312295789191</v>
      </c>
      <c r="O243" s="72">
        <f t="shared" si="26"/>
        <v>-79270.451734368718</v>
      </c>
      <c r="P243" s="57">
        <f t="shared" si="27"/>
        <v>-59054.579799999701</v>
      </c>
      <c r="Q243" s="57">
        <f t="shared" si="28"/>
        <v>-49641.781934369617</v>
      </c>
      <c r="R243" s="57">
        <f t="shared" si="29"/>
        <v>28192.940000000686</v>
      </c>
    </row>
    <row r="244" spans="1:18" x14ac:dyDescent="0.25">
      <c r="A244" t="s">
        <v>283</v>
      </c>
      <c r="B244" s="50" t="s">
        <v>31</v>
      </c>
      <c r="C244" t="s">
        <v>56</v>
      </c>
      <c r="D244" t="s">
        <v>38</v>
      </c>
      <c r="E244" s="90">
        <v>45447</v>
      </c>
      <c r="F244" s="49" t="s">
        <v>201</v>
      </c>
      <c r="G244">
        <v>1000</v>
      </c>
      <c r="H244" s="49">
        <v>138552.85</v>
      </c>
      <c r="I244" s="49">
        <v>138.55285000000001</v>
      </c>
      <c r="J244" s="88">
        <v>1000</v>
      </c>
      <c r="K244" s="49">
        <v>128582.36</v>
      </c>
      <c r="L244" s="49">
        <v>128.58235999999999</v>
      </c>
      <c r="M244" s="49">
        <v>-9970.4900000000052</v>
      </c>
      <c r="N244" s="45">
        <v>-7.1961637743287163E-2</v>
      </c>
      <c r="O244" s="72">
        <f t="shared" si="26"/>
        <v>-89240.941734368724</v>
      </c>
      <c r="P244" s="57">
        <f t="shared" si="27"/>
        <v>-69025.069799999706</v>
      </c>
      <c r="Q244" s="57">
        <f t="shared" si="28"/>
        <v>-49641.781934369617</v>
      </c>
      <c r="R244" s="57">
        <f t="shared" si="29"/>
        <v>28192.940000000686</v>
      </c>
    </row>
    <row r="245" spans="1:18" x14ac:dyDescent="0.25">
      <c r="A245" t="s">
        <v>283</v>
      </c>
      <c r="B245" s="50" t="s">
        <v>31</v>
      </c>
      <c r="C245" t="s">
        <v>56</v>
      </c>
      <c r="D245" t="s">
        <v>38</v>
      </c>
      <c r="E245" s="90">
        <v>45432</v>
      </c>
      <c r="F245" s="49" t="s">
        <v>63</v>
      </c>
      <c r="G245">
        <v>3500</v>
      </c>
      <c r="H245" s="49">
        <v>77717.5</v>
      </c>
      <c r="I245" s="49">
        <v>22.204999999999998</v>
      </c>
      <c r="J245" s="88">
        <v>3500</v>
      </c>
      <c r="K245" s="49">
        <v>72920.5</v>
      </c>
      <c r="L245" s="49">
        <v>20.834428571428571</v>
      </c>
      <c r="M245" s="49">
        <v>-4797</v>
      </c>
      <c r="N245" s="45">
        <v>-6.1723550036992952E-2</v>
      </c>
      <c r="O245" s="72">
        <f t="shared" si="26"/>
        <v>-94037.941734368724</v>
      </c>
      <c r="P245" s="57">
        <f t="shared" si="27"/>
        <v>-73822.069799999706</v>
      </c>
      <c r="Q245" s="57">
        <f t="shared" si="28"/>
        <v>-49641.781934369617</v>
      </c>
      <c r="R245" s="57">
        <f t="shared" si="29"/>
        <v>28192.940000000686</v>
      </c>
    </row>
    <row r="246" spans="1:18" x14ac:dyDescent="0.25">
      <c r="A246" t="s">
        <v>283</v>
      </c>
      <c r="B246" s="50" t="s">
        <v>31</v>
      </c>
      <c r="C246" t="s">
        <v>56</v>
      </c>
      <c r="D246" t="s">
        <v>38</v>
      </c>
      <c r="E246" s="90">
        <v>45440</v>
      </c>
      <c r="F246" s="49" t="s">
        <v>63</v>
      </c>
      <c r="G246">
        <v>2700</v>
      </c>
      <c r="H246" s="49">
        <v>61030.689999999995</v>
      </c>
      <c r="I246" s="49">
        <v>22.603959259259259</v>
      </c>
      <c r="J246" s="88">
        <v>2700</v>
      </c>
      <c r="K246" s="49">
        <v>55792.92</v>
      </c>
      <c r="L246" s="49">
        <v>20.664044444444443</v>
      </c>
      <c r="M246" s="49">
        <v>-5237.7699999999968</v>
      </c>
      <c r="N246" s="45">
        <v>-8.5821903701236171E-2</v>
      </c>
      <c r="O246" s="72">
        <f t="shared" si="26"/>
        <v>-99275.711734368728</v>
      </c>
      <c r="P246" s="57">
        <f t="shared" si="27"/>
        <v>-79059.839799999696</v>
      </c>
      <c r="Q246" s="57">
        <f t="shared" si="28"/>
        <v>-49641.781934369617</v>
      </c>
      <c r="R246" s="57">
        <f t="shared" si="29"/>
        <v>28192.940000000686</v>
      </c>
    </row>
    <row r="247" spans="1:18" x14ac:dyDescent="0.25">
      <c r="A247" t="s">
        <v>283</v>
      </c>
      <c r="B247" s="50" t="s">
        <v>31</v>
      </c>
      <c r="C247" t="s">
        <v>56</v>
      </c>
      <c r="D247" t="s">
        <v>38</v>
      </c>
      <c r="E247" s="90">
        <v>45432</v>
      </c>
      <c r="F247" s="49" t="s">
        <v>119</v>
      </c>
      <c r="G247">
        <v>100</v>
      </c>
      <c r="H247" s="49">
        <v>89990.200000000012</v>
      </c>
      <c r="I247" s="49">
        <v>899.90200000000016</v>
      </c>
      <c r="J247" s="88">
        <v>100</v>
      </c>
      <c r="K247" s="49">
        <v>83797.650000000009</v>
      </c>
      <c r="L247" s="49">
        <v>837.9765000000001</v>
      </c>
      <c r="M247" s="49">
        <v>-6192.5500000000029</v>
      </c>
      <c r="N247" s="45">
        <v>-6.8813604148007246E-2</v>
      </c>
      <c r="O247" s="72">
        <f t="shared" si="26"/>
        <v>-105468.26173436873</v>
      </c>
      <c r="P247" s="57">
        <f t="shared" si="27"/>
        <v>-85252.389799999699</v>
      </c>
      <c r="Q247" s="57">
        <f t="shared" si="28"/>
        <v>-49641.781934369617</v>
      </c>
      <c r="R247" s="57">
        <f t="shared" si="29"/>
        <v>28192.940000000686</v>
      </c>
    </row>
    <row r="248" spans="1:18" x14ac:dyDescent="0.25">
      <c r="A248" t="s">
        <v>283</v>
      </c>
      <c r="B248" s="50" t="s">
        <v>31</v>
      </c>
      <c r="C248" t="s">
        <v>56</v>
      </c>
      <c r="D248" t="s">
        <v>38</v>
      </c>
      <c r="E248" s="90">
        <v>45407</v>
      </c>
      <c r="F248" s="49" t="s">
        <v>387</v>
      </c>
      <c r="G248">
        <v>3200</v>
      </c>
      <c r="H248" s="49">
        <v>79821.53</v>
      </c>
      <c r="I248" s="49">
        <v>24.944228124999999</v>
      </c>
      <c r="J248" s="88">
        <v>3200</v>
      </c>
      <c r="K248" s="49">
        <v>91182.74</v>
      </c>
      <c r="L248" s="49">
        <v>28.49460625</v>
      </c>
      <c r="M248" s="49">
        <v>11361.210000000006</v>
      </c>
      <c r="N248" s="45">
        <v>0.14233265135358852</v>
      </c>
      <c r="O248" s="72">
        <f t="shared" si="26"/>
        <v>-94107.051734368724</v>
      </c>
      <c r="P248" s="57">
        <f t="shared" si="27"/>
        <v>-73891.179799999692</v>
      </c>
      <c r="Q248" s="57">
        <f t="shared" si="28"/>
        <v>-49641.781934369617</v>
      </c>
      <c r="R248" s="57">
        <f t="shared" si="29"/>
        <v>28192.940000000686</v>
      </c>
    </row>
  </sheetData>
  <autoFilter ref="A1:L225" xr:uid="{B97E3C33-FC3C-46BD-B69A-8FCAE9FC1041}"/>
  <sortState xmlns:xlrd2="http://schemas.microsoft.com/office/spreadsheetml/2017/richdata2" ref="B2:L155">
    <sortCondition ref="K1:K155"/>
  </sortState>
  <conditionalFormatting sqref="K249:K1048576">
    <cfRule type="colorScale" priority="14">
      <colorScale>
        <cfvo type="min"/>
        <cfvo type="percentile" val="50"/>
        <cfvo type="max"/>
        <color rgb="FFF8696B"/>
        <color rgb="FFFFEB84"/>
        <color rgb="FF63BE7B"/>
      </colorScale>
    </cfRule>
  </conditionalFormatting>
  <conditionalFormatting sqref="L1:O1">
    <cfRule type="colorScale" priority="10">
      <colorScale>
        <cfvo type="min"/>
        <cfvo type="percentile" val="50"/>
        <cfvo type="max"/>
        <color rgb="FFF8696B"/>
        <color rgb="FFFFEB84"/>
        <color rgb="FF63BE7B"/>
      </colorScale>
    </cfRule>
  </conditionalFormatting>
  <conditionalFormatting sqref="M1:M248">
    <cfRule type="colorScale" priority="8">
      <colorScale>
        <cfvo type="min"/>
        <cfvo type="percentile" val="50"/>
        <cfvo type="max"/>
        <color rgb="FFF8696B"/>
        <color rgb="FFFFEB84"/>
        <color rgb="FF63BE7B"/>
      </colorScale>
    </cfRule>
  </conditionalFormatting>
  <conditionalFormatting sqref="N1:N248">
    <cfRule type="colorScale" priority="9">
      <colorScale>
        <cfvo type="min"/>
        <cfvo type="percentile" val="50"/>
        <cfvo type="max"/>
        <color rgb="FFF8696B"/>
        <color rgb="FFFFEB84"/>
        <color rgb="FF63BE7B"/>
      </colorScale>
    </cfRule>
  </conditionalFormatting>
  <conditionalFormatting sqref="O1">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O2:O248">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B47E-C7DA-4A13-9656-08FBBBB8F51E}">
  <dimension ref="A1:Z25"/>
  <sheetViews>
    <sheetView workbookViewId="0">
      <selection activeCell="J23" sqref="J23"/>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333</v>
      </c>
      <c r="C2" t="s">
        <v>192</v>
      </c>
      <c r="D2" t="s">
        <v>38</v>
      </c>
      <c r="E2" s="90">
        <v>45037</v>
      </c>
      <c r="F2" s="49" t="s">
        <v>55</v>
      </c>
      <c r="G2">
        <v>35</v>
      </c>
      <c r="H2" s="49">
        <v>5804.1200000000008</v>
      </c>
      <c r="I2" s="49">
        <v>1.6583200000000002</v>
      </c>
      <c r="J2" s="88">
        <v>35</v>
      </c>
      <c r="K2" s="49">
        <v>0</v>
      </c>
      <c r="L2" s="49">
        <v>0</v>
      </c>
      <c r="M2" s="49">
        <v>-5804.1200000000008</v>
      </c>
      <c r="N2" s="45">
        <v>-1</v>
      </c>
      <c r="O2" s="72">
        <f>M2</f>
        <v>-5804.1200000000008</v>
      </c>
      <c r="Q2" s="63">
        <f>COUNTA(J$2:J$1048576)</f>
        <v>18</v>
      </c>
      <c r="R2" s="64">
        <f>COUNTIF(M$2:M$1048576,"&gt;0")/Q2</f>
        <v>0.3888888888888889</v>
      </c>
      <c r="S2" s="64">
        <f>COUNTIF(M$2:M$1048576,"&lt;0")/COUNTA(M$2:M$1048576)</f>
        <v>0.61111111111111116</v>
      </c>
      <c r="T2" s="64">
        <f>AVERAGEIF(N:N,"&gt;0")</f>
        <v>1.6055763418171178</v>
      </c>
      <c r="U2" s="64">
        <f>AVERAGEIF(N:N,"&lt;0")</f>
        <v>-0.89358216005751345</v>
      </c>
      <c r="V2" s="65">
        <f>T2/ABS(U2)</f>
        <v>1.7967864776013192</v>
      </c>
      <c r="W2" s="66">
        <f>AVERAGEIF(M:M,"&gt;0")</f>
        <v>10348.725714285714</v>
      </c>
      <c r="X2" s="68">
        <f>AVERAGEIF(M:M,"&lt;0")</f>
        <v>-7317.1663636363637</v>
      </c>
      <c r="Y2" s="65">
        <f>W2/ABS(X2)</f>
        <v>1.4143078344801738</v>
      </c>
      <c r="Z2" s="67">
        <f>SUM(J:J)</f>
        <v>1410</v>
      </c>
    </row>
    <row r="3" spans="1:26" x14ac:dyDescent="0.25">
      <c r="A3" t="s">
        <v>276</v>
      </c>
      <c r="B3" s="50" t="s">
        <v>333</v>
      </c>
      <c r="C3" t="s">
        <v>192</v>
      </c>
      <c r="D3" t="s">
        <v>38</v>
      </c>
      <c r="E3" s="90">
        <v>45037</v>
      </c>
      <c r="F3" s="49" t="s">
        <v>43</v>
      </c>
      <c r="G3">
        <v>30</v>
      </c>
      <c r="H3" s="49">
        <v>5684.32</v>
      </c>
      <c r="I3" s="49">
        <v>1.8947733333333332</v>
      </c>
      <c r="J3" s="88">
        <v>30</v>
      </c>
      <c r="K3" s="49">
        <v>20408.47</v>
      </c>
      <c r="L3" s="49">
        <v>6.8028233333333334</v>
      </c>
      <c r="M3" s="49">
        <v>14724.150000000001</v>
      </c>
      <c r="N3" s="45">
        <v>2.5903098347735529</v>
      </c>
      <c r="O3" s="72">
        <f>M3+O2</f>
        <v>8920.0300000000007</v>
      </c>
    </row>
    <row r="4" spans="1:26" x14ac:dyDescent="0.25">
      <c r="A4" t="s">
        <v>276</v>
      </c>
      <c r="B4" s="50" t="s">
        <v>333</v>
      </c>
      <c r="C4" t="s">
        <v>192</v>
      </c>
      <c r="D4" t="s">
        <v>38</v>
      </c>
      <c r="E4" s="90">
        <v>45037</v>
      </c>
      <c r="F4" s="49" t="s">
        <v>58</v>
      </c>
      <c r="G4">
        <v>70</v>
      </c>
      <c r="H4" s="49">
        <v>6381.34</v>
      </c>
      <c r="I4" s="49">
        <v>0.9116200000000001</v>
      </c>
      <c r="J4" s="88">
        <v>70</v>
      </c>
      <c r="K4" s="49">
        <v>31903.38</v>
      </c>
      <c r="L4" s="49">
        <v>4.5576257142857148</v>
      </c>
      <c r="M4" s="49">
        <v>25522.04</v>
      </c>
      <c r="N4" s="45">
        <v>3.9994797330968104</v>
      </c>
      <c r="O4" s="72">
        <f t="shared" ref="O4:O19" si="0">M4+O3</f>
        <v>34442.07</v>
      </c>
    </row>
    <row r="5" spans="1:26" x14ac:dyDescent="0.25">
      <c r="A5" t="s">
        <v>276</v>
      </c>
      <c r="B5" s="50" t="s">
        <v>333</v>
      </c>
      <c r="C5" t="s">
        <v>192</v>
      </c>
      <c r="D5" t="s">
        <v>38</v>
      </c>
      <c r="E5" s="90">
        <v>45044</v>
      </c>
      <c r="F5" s="49" t="s">
        <v>189</v>
      </c>
      <c r="G5">
        <v>100</v>
      </c>
      <c r="H5" s="49">
        <v>4367.4399999999996</v>
      </c>
      <c r="I5" s="49">
        <v>0.43674399999999997</v>
      </c>
      <c r="J5" s="88">
        <v>100</v>
      </c>
      <c r="K5" s="49">
        <v>0</v>
      </c>
      <c r="L5" s="49">
        <v>0</v>
      </c>
      <c r="M5" s="49">
        <v>-4367.4399999999996</v>
      </c>
      <c r="N5" s="45">
        <v>-1</v>
      </c>
      <c r="O5" s="72">
        <f t="shared" si="0"/>
        <v>30074.63</v>
      </c>
    </row>
    <row r="6" spans="1:26" x14ac:dyDescent="0.25">
      <c r="A6" t="s">
        <v>276</v>
      </c>
      <c r="B6" s="50" t="s">
        <v>333</v>
      </c>
      <c r="C6" t="s">
        <v>149</v>
      </c>
      <c r="D6" t="s">
        <v>38</v>
      </c>
      <c r="E6" s="90">
        <v>45058</v>
      </c>
      <c r="F6" s="49" t="s">
        <v>66</v>
      </c>
      <c r="G6">
        <v>80</v>
      </c>
      <c r="H6" s="49">
        <v>8703.07</v>
      </c>
      <c r="I6" s="49">
        <v>1.08788375</v>
      </c>
      <c r="J6" s="88">
        <v>100</v>
      </c>
      <c r="K6" s="49">
        <v>0</v>
      </c>
      <c r="L6" s="49">
        <v>0</v>
      </c>
      <c r="M6" s="49">
        <v>-8703.07</v>
      </c>
      <c r="N6" s="45">
        <v>-1</v>
      </c>
      <c r="O6" s="72">
        <f t="shared" si="0"/>
        <v>21371.56</v>
      </c>
    </row>
    <row r="7" spans="1:26" x14ac:dyDescent="0.25">
      <c r="A7" t="s">
        <v>276</v>
      </c>
      <c r="B7" s="50" t="s">
        <v>333</v>
      </c>
      <c r="C7" t="s">
        <v>192</v>
      </c>
      <c r="D7" t="s">
        <v>38</v>
      </c>
      <c r="E7" s="90">
        <v>45058</v>
      </c>
      <c r="F7" s="49" t="s">
        <v>64</v>
      </c>
      <c r="G7">
        <v>4</v>
      </c>
      <c r="H7" s="49">
        <v>6399.36</v>
      </c>
      <c r="I7" s="49">
        <v>15.998399999999998</v>
      </c>
      <c r="J7" s="88">
        <v>100</v>
      </c>
      <c r="K7" s="49">
        <v>0</v>
      </c>
      <c r="L7" s="49">
        <v>0</v>
      </c>
      <c r="M7" s="49">
        <v>-6399.36</v>
      </c>
      <c r="N7" s="45">
        <v>-1</v>
      </c>
      <c r="O7" s="72">
        <f t="shared" si="0"/>
        <v>14972.2</v>
      </c>
    </row>
    <row r="8" spans="1:26" x14ac:dyDescent="0.25">
      <c r="A8" t="s">
        <v>276</v>
      </c>
      <c r="B8" s="50" t="s">
        <v>333</v>
      </c>
      <c r="C8" t="s">
        <v>149</v>
      </c>
      <c r="D8" t="s">
        <v>38</v>
      </c>
      <c r="E8" s="90">
        <v>45065</v>
      </c>
      <c r="F8" s="49" t="s">
        <v>77</v>
      </c>
      <c r="G8">
        <v>40</v>
      </c>
      <c r="H8" s="49">
        <v>6627.56</v>
      </c>
      <c r="I8" s="49">
        <v>1.6568900000000002</v>
      </c>
      <c r="J8" s="88">
        <v>40</v>
      </c>
      <c r="K8" s="49">
        <v>9599.06</v>
      </c>
      <c r="L8" s="49">
        <v>2.3997649999999999</v>
      </c>
      <c r="M8" s="49">
        <v>2971.4999999999991</v>
      </c>
      <c r="N8" s="45">
        <v>0.44835505072756771</v>
      </c>
      <c r="O8" s="72">
        <f t="shared" si="0"/>
        <v>17943.7</v>
      </c>
    </row>
    <row r="9" spans="1:26" x14ac:dyDescent="0.25">
      <c r="A9" t="s">
        <v>276</v>
      </c>
      <c r="B9" s="50" t="s">
        <v>333</v>
      </c>
      <c r="C9" t="s">
        <v>192</v>
      </c>
      <c r="D9" t="s">
        <v>38</v>
      </c>
      <c r="E9" s="90">
        <v>45070</v>
      </c>
      <c r="F9" s="49" t="s">
        <v>68</v>
      </c>
      <c r="G9">
        <v>105</v>
      </c>
      <c r="H9" s="49">
        <v>6043.4</v>
      </c>
      <c r="I9" s="49">
        <v>0.57556190476190472</v>
      </c>
      <c r="J9" s="88">
        <v>105</v>
      </c>
      <c r="K9" s="49">
        <v>23860.949999999997</v>
      </c>
      <c r="L9" s="49">
        <v>2.184533476190476</v>
      </c>
      <c r="M9" s="49">
        <v>17817.549999999996</v>
      </c>
      <c r="N9" s="45">
        <v>2.7954796141244995</v>
      </c>
      <c r="O9" s="72">
        <f t="shared" si="0"/>
        <v>35761.25</v>
      </c>
    </row>
    <row r="10" spans="1:26" x14ac:dyDescent="0.25">
      <c r="A10" t="s">
        <v>276</v>
      </c>
      <c r="B10" s="50" t="s">
        <v>333</v>
      </c>
      <c r="C10" t="s">
        <v>192</v>
      </c>
      <c r="D10" t="s">
        <v>38</v>
      </c>
      <c r="E10" s="90">
        <v>45093</v>
      </c>
      <c r="F10" s="49" t="s">
        <v>99</v>
      </c>
      <c r="G10">
        <v>75</v>
      </c>
      <c r="H10" s="49">
        <v>8171.05</v>
      </c>
      <c r="I10" s="49">
        <v>1.0894733333333333</v>
      </c>
      <c r="J10" s="88">
        <v>75</v>
      </c>
      <c r="K10" s="49">
        <v>0</v>
      </c>
      <c r="L10" s="49">
        <v>0</v>
      </c>
      <c r="M10" s="49">
        <v>-8171.05</v>
      </c>
      <c r="N10" s="45">
        <v>-1</v>
      </c>
      <c r="O10" s="72">
        <f t="shared" si="0"/>
        <v>27590.2</v>
      </c>
    </row>
    <row r="11" spans="1:26" x14ac:dyDescent="0.25">
      <c r="A11" t="s">
        <v>276</v>
      </c>
      <c r="B11" s="50" t="s">
        <v>333</v>
      </c>
      <c r="C11" t="s">
        <v>149</v>
      </c>
      <c r="D11" t="s">
        <v>38</v>
      </c>
      <c r="E11" s="90">
        <v>45093</v>
      </c>
      <c r="F11" s="49" t="s">
        <v>97</v>
      </c>
      <c r="G11">
        <v>180</v>
      </c>
      <c r="H11" s="49">
        <v>7960.02</v>
      </c>
      <c r="I11" s="49">
        <v>0.44222333333333341</v>
      </c>
      <c r="J11" s="88">
        <v>180</v>
      </c>
      <c r="K11" s="49">
        <v>8109.39</v>
      </c>
      <c r="L11" s="49">
        <v>0.45052166666666671</v>
      </c>
      <c r="M11" s="49">
        <v>149.36999999999989</v>
      </c>
      <c r="N11" s="45">
        <v>1.8765028228572202E-2</v>
      </c>
      <c r="O11" s="72">
        <f t="shared" si="0"/>
        <v>27739.57</v>
      </c>
    </row>
    <row r="12" spans="1:26" x14ac:dyDescent="0.25">
      <c r="A12" t="s">
        <v>276</v>
      </c>
      <c r="B12" s="50" t="s">
        <v>333</v>
      </c>
      <c r="C12" t="s">
        <v>192</v>
      </c>
      <c r="D12" t="s">
        <v>38</v>
      </c>
      <c r="E12" s="90">
        <v>45119</v>
      </c>
      <c r="F12" s="49" t="s">
        <v>191</v>
      </c>
      <c r="G12">
        <v>90</v>
      </c>
      <c r="H12" s="49">
        <v>8162.01</v>
      </c>
      <c r="I12" s="49">
        <v>0.90689000000000008</v>
      </c>
      <c r="J12" s="88">
        <v>90</v>
      </c>
      <c r="K12" s="49">
        <v>7439.64</v>
      </c>
      <c r="L12" s="49">
        <v>0.82662666666666662</v>
      </c>
      <c r="M12" s="49">
        <v>-722.36999999999989</v>
      </c>
      <c r="N12" s="45">
        <v>-8.850393469255749E-2</v>
      </c>
      <c r="O12" s="72">
        <f t="shared" si="0"/>
        <v>27017.200000000001</v>
      </c>
    </row>
    <row r="13" spans="1:26" x14ac:dyDescent="0.25">
      <c r="A13" t="s">
        <v>276</v>
      </c>
      <c r="B13" s="50" t="s">
        <v>333</v>
      </c>
      <c r="C13" t="s">
        <v>192</v>
      </c>
      <c r="D13" t="s">
        <v>38</v>
      </c>
      <c r="E13" s="90">
        <v>45128</v>
      </c>
      <c r="F13" s="49" t="s">
        <v>126</v>
      </c>
      <c r="G13">
        <v>40</v>
      </c>
      <c r="H13" s="49">
        <v>7993.56</v>
      </c>
      <c r="I13" s="49">
        <v>1.9983899999999999</v>
      </c>
      <c r="J13" s="88">
        <v>40</v>
      </c>
      <c r="K13" s="49">
        <v>12355.78</v>
      </c>
      <c r="L13" s="49">
        <v>3.0889449999999998</v>
      </c>
      <c r="M13" s="49">
        <v>4362.22</v>
      </c>
      <c r="N13" s="45">
        <v>0.54571680202563067</v>
      </c>
      <c r="O13" s="72">
        <f t="shared" si="0"/>
        <v>31379.420000000002</v>
      </c>
    </row>
    <row r="14" spans="1:26" x14ac:dyDescent="0.25">
      <c r="A14" t="s">
        <v>276</v>
      </c>
      <c r="B14" s="50" t="s">
        <v>333</v>
      </c>
      <c r="C14" t="s">
        <v>148</v>
      </c>
      <c r="D14" t="s">
        <v>38</v>
      </c>
      <c r="E14" s="90">
        <v>45156</v>
      </c>
      <c r="F14" s="49" t="s">
        <v>48</v>
      </c>
      <c r="G14">
        <v>45</v>
      </c>
      <c r="H14" s="49">
        <v>8198.3799999999992</v>
      </c>
      <c r="I14" s="49">
        <v>1.821862222222222</v>
      </c>
      <c r="J14" s="88">
        <v>45</v>
      </c>
      <c r="K14" s="49">
        <v>15092.63</v>
      </c>
      <c r="L14" s="49">
        <v>3.3539177777777773</v>
      </c>
      <c r="M14" s="49">
        <v>6894.25</v>
      </c>
      <c r="N14" s="45">
        <v>0.84092832974319309</v>
      </c>
      <c r="O14" s="72">
        <f t="shared" si="0"/>
        <v>38273.67</v>
      </c>
    </row>
    <row r="15" spans="1:26" x14ac:dyDescent="0.25">
      <c r="A15" t="s">
        <v>276</v>
      </c>
      <c r="B15" s="50" t="s">
        <v>333</v>
      </c>
      <c r="C15" t="s">
        <v>149</v>
      </c>
      <c r="D15" t="s">
        <v>38</v>
      </c>
      <c r="E15" s="90">
        <v>45156</v>
      </c>
      <c r="F15" s="49" t="s">
        <v>293</v>
      </c>
      <c r="G15">
        <v>85</v>
      </c>
      <c r="H15" s="49">
        <v>14862.18</v>
      </c>
      <c r="I15" s="49">
        <v>1.7484917647058824</v>
      </c>
      <c r="J15" s="88">
        <v>85</v>
      </c>
      <c r="K15" s="49">
        <v>0</v>
      </c>
      <c r="M15" s="49">
        <v>-14862.18</v>
      </c>
      <c r="N15" s="45">
        <v>-1</v>
      </c>
      <c r="O15" s="72">
        <f t="shared" si="0"/>
        <v>23411.489999999998</v>
      </c>
    </row>
    <row r="16" spans="1:26" x14ac:dyDescent="0.25">
      <c r="A16" t="s">
        <v>276</v>
      </c>
      <c r="B16" s="50" t="s">
        <v>333</v>
      </c>
      <c r="C16" t="s">
        <v>148</v>
      </c>
      <c r="D16" t="s">
        <v>38</v>
      </c>
      <c r="E16" s="90">
        <v>45168</v>
      </c>
      <c r="F16" s="49" t="s">
        <v>193</v>
      </c>
      <c r="G16">
        <v>25</v>
      </c>
      <c r="H16" s="49">
        <v>6274.9999999999991</v>
      </c>
      <c r="I16" s="49">
        <v>2.5099999999999998</v>
      </c>
      <c r="J16" s="88">
        <v>25</v>
      </c>
      <c r="K16" s="49">
        <v>0</v>
      </c>
      <c r="M16" s="49">
        <v>-6274.9999999999991</v>
      </c>
      <c r="N16" s="45">
        <v>-1</v>
      </c>
      <c r="O16" s="72">
        <f t="shared" si="0"/>
        <v>17136.489999999998</v>
      </c>
    </row>
    <row r="17" spans="1:15" x14ac:dyDescent="0.25">
      <c r="A17" t="s">
        <v>276</v>
      </c>
      <c r="B17" s="50" t="s">
        <v>333</v>
      </c>
      <c r="C17" t="s">
        <v>152</v>
      </c>
      <c r="D17" t="s">
        <v>38</v>
      </c>
      <c r="E17" s="90">
        <v>45198</v>
      </c>
      <c r="F17" s="49" t="s">
        <v>189</v>
      </c>
      <c r="G17">
        <v>110</v>
      </c>
      <c r="H17" s="49">
        <v>9875.91</v>
      </c>
      <c r="I17" s="49">
        <v>0.89780999999999989</v>
      </c>
      <c r="J17" s="88">
        <v>110</v>
      </c>
      <c r="K17" s="49">
        <v>2558.85</v>
      </c>
      <c r="L17" s="49">
        <v>0.23262272727272726</v>
      </c>
      <c r="M17" s="49">
        <v>-7317.0599999999995</v>
      </c>
      <c r="N17" s="45">
        <v>-0.74089982594009052</v>
      </c>
      <c r="O17" s="72">
        <f t="shared" si="0"/>
        <v>9819.4299999999985</v>
      </c>
    </row>
    <row r="18" spans="1:15" x14ac:dyDescent="0.25">
      <c r="A18" t="s">
        <v>276</v>
      </c>
      <c r="B18" s="50" t="s">
        <v>333</v>
      </c>
      <c r="C18" t="s">
        <v>149</v>
      </c>
      <c r="D18" t="s">
        <v>38</v>
      </c>
      <c r="E18" s="90">
        <v>45218</v>
      </c>
      <c r="F18" s="49" t="s">
        <v>190</v>
      </c>
      <c r="G18">
        <v>160</v>
      </c>
      <c r="H18" s="49">
        <v>11431.4</v>
      </c>
      <c r="I18" s="49">
        <v>0.71446249999999989</v>
      </c>
      <c r="J18" s="88">
        <v>160</v>
      </c>
      <c r="K18" s="49">
        <v>0</v>
      </c>
      <c r="L18" s="49">
        <v>0</v>
      </c>
      <c r="M18" s="49">
        <v>-11431.4</v>
      </c>
      <c r="N18" s="45">
        <v>-1</v>
      </c>
      <c r="O18" s="72">
        <f t="shared" si="0"/>
        <v>-1611.9700000000012</v>
      </c>
    </row>
    <row r="19" spans="1:15" x14ac:dyDescent="0.25">
      <c r="A19" t="s">
        <v>276</v>
      </c>
      <c r="B19" s="50" t="s">
        <v>333</v>
      </c>
      <c r="C19" t="s">
        <v>149</v>
      </c>
      <c r="D19" t="s">
        <v>38</v>
      </c>
      <c r="E19" s="90">
        <v>45254</v>
      </c>
      <c r="F19" s="49" t="s">
        <v>48</v>
      </c>
      <c r="G19">
        <v>20</v>
      </c>
      <c r="H19" s="49">
        <v>6435.78</v>
      </c>
      <c r="I19" s="49">
        <v>3.2178899999999997</v>
      </c>
      <c r="J19" s="88">
        <v>20</v>
      </c>
      <c r="K19" s="49">
        <v>0</v>
      </c>
      <c r="M19" s="49">
        <v>-6435.78</v>
      </c>
      <c r="N19" s="45">
        <v>-1</v>
      </c>
      <c r="O19" s="72">
        <f t="shared" si="0"/>
        <v>-8047.7500000000009</v>
      </c>
    </row>
    <row r="20" spans="1:15" x14ac:dyDescent="0.25">
      <c r="O20" s="72"/>
    </row>
    <row r="21" spans="1:15" x14ac:dyDescent="0.25">
      <c r="O21" s="72"/>
    </row>
    <row r="22" spans="1:15" x14ac:dyDescent="0.25">
      <c r="O22" s="72"/>
    </row>
    <row r="23" spans="1:15" x14ac:dyDescent="0.25">
      <c r="O23" s="72"/>
    </row>
    <row r="24" spans="1:15" x14ac:dyDescent="0.25">
      <c r="O24" s="72"/>
    </row>
    <row r="25" spans="1:15" x14ac:dyDescent="0.25">
      <c r="O25" s="72"/>
    </row>
  </sheetData>
  <conditionalFormatting sqref="L1:O1">
    <cfRule type="colorScale" priority="5">
      <colorScale>
        <cfvo type="min"/>
        <cfvo type="percentile" val="50"/>
        <cfvo type="max"/>
        <color rgb="FFF8696B"/>
        <color rgb="FFFFEB84"/>
        <color rgb="FF63BE7B"/>
      </colorScale>
    </cfRule>
  </conditionalFormatting>
  <conditionalFormatting sqref="M1:M1048576">
    <cfRule type="colorScale" priority="3">
      <colorScale>
        <cfvo type="min"/>
        <cfvo type="percentile" val="50"/>
        <cfvo type="max"/>
        <color rgb="FFF8696B"/>
        <color rgb="FFFFEB84"/>
        <color rgb="FF63BE7B"/>
      </colorScale>
    </cfRule>
  </conditionalFormatting>
  <conditionalFormatting sqref="N1:N1048576">
    <cfRule type="colorScale" priority="4">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onditionalFormatting>
  <conditionalFormatting sqref="O1:O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 Stats</vt:lpstr>
      <vt:lpstr>Pivot Summary</vt:lpstr>
      <vt:lpstr>All Trades</vt:lpstr>
      <vt:lpstr>ML</vt:lpstr>
      <vt:lpstr>PJ Options</vt:lpstr>
      <vt:lpstr>MS Options</vt:lpstr>
      <vt:lpstr>MS (D1)</vt:lpstr>
      <vt:lpstr>PJ (D1)</vt:lpstr>
      <vt:lpstr>MC Options</vt:lpstr>
      <vt:lpstr>PC Options</vt:lpstr>
      <vt:lpstr>MC D1</vt:lpstr>
      <vt:lpstr>PC D1</vt:lpstr>
      <vt:lpstr>Day Trades</vt:lpstr>
      <vt:lpstr>GB D1</vt:lpstr>
      <vt:lpstr>GB Options</vt:lpstr>
      <vt:lpstr>Post-Seasonals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McKinley Slade</dc:creator>
  <cp:lastModifiedBy>McKinley Slade</cp:lastModifiedBy>
  <dcterms:created xsi:type="dcterms:W3CDTF">2024-01-10T19:03:54Z</dcterms:created>
  <dcterms:modified xsi:type="dcterms:W3CDTF">2024-07-31T19:47:23Z</dcterms:modified>
</cp:coreProperties>
</file>