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CA68842B-B651-4536-B3A7-7B742B6B6A62}" xr6:coauthVersionLast="47" xr6:coauthVersionMax="47" xr10:uidLastSave="{00000000-0000-0000-0000-000000000000}"/>
  <bookViews>
    <workbookView xWindow="28755" yWindow="-16320" windowWidth="29040" windowHeight="1572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6" i="15" l="1"/>
  <c r="R713" i="15"/>
  <c r="R714" i="15"/>
  <c r="R700" i="15"/>
  <c r="R715" i="15"/>
  <c r="R716" i="15"/>
  <c r="R697" i="15"/>
  <c r="R717" i="15"/>
  <c r="R689" i="15"/>
  <c r="R718" i="15"/>
  <c r="R701" i="15"/>
  <c r="R719" i="15"/>
  <c r="R708" i="15"/>
  <c r="R705" i="15"/>
  <c r="R702" i="15"/>
  <c r="R698" i="15"/>
  <c r="R549" i="15"/>
  <c r="R720" i="15"/>
  <c r="R721" i="15"/>
  <c r="R722" i="15"/>
  <c r="R709" i="15"/>
  <c r="S706" i="15"/>
  <c r="S713" i="15"/>
  <c r="S714" i="15"/>
  <c r="S700" i="15"/>
  <c r="S715" i="15"/>
  <c r="S716" i="15"/>
  <c r="S697" i="15"/>
  <c r="S717" i="15"/>
  <c r="S689" i="15"/>
  <c r="S718" i="15"/>
  <c r="S701" i="15"/>
  <c r="S719" i="15"/>
  <c r="S708" i="15"/>
  <c r="S705" i="15"/>
  <c r="S702" i="15"/>
  <c r="S698" i="15"/>
  <c r="S549" i="15"/>
  <c r="S720" i="15"/>
  <c r="S721" i="15"/>
  <c r="S722" i="15"/>
  <c r="S709" i="15"/>
  <c r="Q685" i="28"/>
  <c r="Q686" i="28"/>
  <c r="Q693" i="28"/>
  <c r="R685" i="28"/>
  <c r="R686" i="28"/>
  <c r="R693" i="28"/>
  <c r="M684" i="15"/>
  <c r="N684" i="15"/>
  <c r="O684" i="15"/>
  <c r="P684" i="15" s="1"/>
  <c r="M685" i="15"/>
  <c r="N685" i="15"/>
  <c r="O685" i="15"/>
  <c r="P685" i="15"/>
  <c r="M691" i="15"/>
  <c r="N691" i="15"/>
  <c r="O691" i="15"/>
  <c r="P691" i="15" s="1"/>
  <c r="Q712" i="28" l="1"/>
  <c r="R712" i="28"/>
  <c r="O709" i="15"/>
  <c r="P709" i="15" s="1"/>
  <c r="N709" i="15"/>
  <c r="M709" i="15"/>
  <c r="Q711" i="28"/>
  <c r="R711" i="28"/>
  <c r="O707" i="15"/>
  <c r="P707" i="15" s="1"/>
  <c r="N707" i="15"/>
  <c r="M707" i="15"/>
  <c r="L707" i="15"/>
  <c r="Q710" i="28"/>
  <c r="R710" i="28"/>
  <c r="L718" i="15"/>
  <c r="O708" i="15"/>
  <c r="P708" i="15" s="1"/>
  <c r="N708" i="15"/>
  <c r="M708" i="15"/>
  <c r="J719" i="15"/>
  <c r="L722" i="15"/>
  <c r="M722" i="15"/>
  <c r="M721" i="15"/>
  <c r="M720" i="15"/>
  <c r="Q549" i="28"/>
  <c r="R549" i="28"/>
  <c r="O549" i="15"/>
  <c r="P549" i="15" s="1"/>
  <c r="N549" i="15"/>
  <c r="M549" i="15"/>
  <c r="L549" i="15"/>
  <c r="L709" i="28"/>
  <c r="Q709" i="28"/>
  <c r="R709" i="28"/>
  <c r="Q689" i="28"/>
  <c r="R689" i="28"/>
  <c r="N703" i="15"/>
  <c r="Q708" i="28"/>
  <c r="R708" i="28"/>
  <c r="O705" i="15"/>
  <c r="P705" i="15" s="1"/>
  <c r="N705" i="15"/>
  <c r="M705" i="15"/>
  <c r="Q707" i="28"/>
  <c r="R707" i="28"/>
  <c r="O704" i="15"/>
  <c r="P704" i="15" s="1"/>
  <c r="N704" i="15"/>
  <c r="M704" i="15"/>
  <c r="L704" i="15"/>
  <c r="J705" i="15"/>
  <c r="Q700" i="28"/>
  <c r="R700" i="28"/>
  <c r="Q706" i="28"/>
  <c r="R706" i="28"/>
  <c r="O701" i="15"/>
  <c r="P701" i="15" s="1"/>
  <c r="N701" i="15"/>
  <c r="M701" i="15"/>
  <c r="O698" i="15"/>
  <c r="P698" i="15" s="1"/>
  <c r="N698" i="15"/>
  <c r="M698" i="15"/>
  <c r="Q705" i="28"/>
  <c r="R705" i="28"/>
  <c r="O702" i="15"/>
  <c r="P702" i="15" s="1"/>
  <c r="N702" i="15"/>
  <c r="M702" i="15"/>
  <c r="L702" i="15"/>
  <c r="Q704" i="28"/>
  <c r="R704" i="28"/>
  <c r="O710" i="15"/>
  <c r="P710" i="15" s="1"/>
  <c r="N710" i="15"/>
  <c r="M710" i="15"/>
  <c r="L710" i="15"/>
  <c r="Q703" i="28"/>
  <c r="R703" i="28"/>
  <c r="O700" i="15"/>
  <c r="P700" i="15" s="1"/>
  <c r="N700" i="15"/>
  <c r="M700" i="15"/>
  <c r="L700" i="15"/>
  <c r="Q702" i="28"/>
  <c r="R702" i="28"/>
  <c r="O706" i="15"/>
  <c r="P706" i="15" s="1"/>
  <c r="N706" i="15"/>
  <c r="M706" i="15"/>
  <c r="Q701" i="28"/>
  <c r="R701" i="28"/>
  <c r="O699" i="15"/>
  <c r="P699" i="15" s="1"/>
  <c r="N699" i="15"/>
  <c r="M699" i="15"/>
  <c r="L699" i="15"/>
  <c r="Q699" i="28"/>
  <c r="R699" i="28"/>
  <c r="O694" i="15"/>
  <c r="P694" i="15" s="1"/>
  <c r="N694" i="15"/>
  <c r="M694" i="15"/>
  <c r="Q698" i="28"/>
  <c r="R698" i="28"/>
  <c r="O697" i="15"/>
  <c r="P697" i="15" s="1"/>
  <c r="N697" i="15"/>
  <c r="M697" i="15"/>
  <c r="Q697" i="28"/>
  <c r="R697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7" i="15"/>
  <c r="O695" i="15"/>
  <c r="P695" i="15" s="1"/>
  <c r="N695" i="15"/>
  <c r="M695" i="15"/>
  <c r="Q691" i="28" l="1"/>
  <c r="R691" i="28"/>
  <c r="N689" i="15"/>
  <c r="L689" i="15"/>
  <c r="J689" i="15"/>
  <c r="O689" i="15" s="1"/>
  <c r="P689" i="15" s="1"/>
  <c r="J717" i="15"/>
  <c r="J697" i="15"/>
  <c r="J716" i="15"/>
  <c r="Q688" i="28"/>
  <c r="R688" i="28"/>
  <c r="O688" i="15"/>
  <c r="P688" i="15" s="1"/>
  <c r="N688" i="15"/>
  <c r="M688" i="15"/>
  <c r="Q687" i="28"/>
  <c r="R687" i="28"/>
  <c r="M687" i="15"/>
  <c r="N687" i="15"/>
  <c r="O687" i="15"/>
  <c r="P687" i="15"/>
  <c r="O686" i="15"/>
  <c r="P686" i="15" s="1"/>
  <c r="N686" i="15"/>
  <c r="J686" i="15"/>
  <c r="J703" i="15" s="1"/>
  <c r="N690" i="28"/>
  <c r="O690" i="28" s="1"/>
  <c r="M690" i="28"/>
  <c r="L690" i="28"/>
  <c r="Q690" i="28"/>
  <c r="R690" i="28"/>
  <c r="Q692" i="28"/>
  <c r="R692" i="28"/>
  <c r="N690" i="15"/>
  <c r="M690" i="15"/>
  <c r="O690" i="15"/>
  <c r="P690" i="15" s="1"/>
  <c r="Q684" i="28"/>
  <c r="R684" i="28"/>
  <c r="N682" i="15"/>
  <c r="J682" i="15"/>
  <c r="P682" i="15" s="1"/>
  <c r="L682" i="15"/>
  <c r="O682" i="15"/>
  <c r="R683" i="28"/>
  <c r="Q683" i="28"/>
  <c r="O683" i="15"/>
  <c r="P683" i="15" s="1"/>
  <c r="N683" i="15"/>
  <c r="M683" i="15"/>
  <c r="L683" i="15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2" i="15"/>
  <c r="R683" i="15"/>
  <c r="R687" i="15"/>
  <c r="S692" i="15"/>
  <c r="S712" i="15"/>
  <c r="S683" i="15"/>
  <c r="S687" i="15"/>
  <c r="R711" i="15"/>
  <c r="S711" i="15"/>
  <c r="Q704" i="15"/>
  <c r="Q711" i="15" s="1"/>
  <c r="R704" i="15"/>
  <c r="S704" i="15"/>
  <c r="R678" i="28"/>
  <c r="R680" i="28"/>
  <c r="R681" i="28"/>
  <c r="R682" i="28"/>
  <c r="R679" i="28"/>
  <c r="Q678" i="28"/>
  <c r="Q680" i="28"/>
  <c r="Q681" i="28"/>
  <c r="Q682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7" i="15"/>
  <c r="S707" i="15"/>
  <c r="R699" i="15"/>
  <c r="S699" i="15"/>
  <c r="J679" i="15"/>
  <c r="P679" i="15" s="1"/>
  <c r="O679" i="15"/>
  <c r="L679" i="15"/>
  <c r="N679" i="15" s="1"/>
  <c r="R679" i="15"/>
  <c r="S679" i="15"/>
  <c r="R710" i="15"/>
  <c r="S710" i="15"/>
  <c r="R680" i="15"/>
  <c r="S680" i="15"/>
  <c r="R703" i="15"/>
  <c r="S703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N675" i="15"/>
  <c r="P675" i="15"/>
  <c r="L675" i="15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N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/>
  <c r="O626" i="15"/>
  <c r="P626" i="15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P630" i="15" s="1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P639" i="15" s="1"/>
  <c r="M639" i="15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M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M689" i="15" l="1"/>
  <c r="M682" i="15"/>
  <c r="Q683" i="15"/>
  <c r="Q687" i="15" s="1"/>
  <c r="O703" i="15"/>
  <c r="P703" i="15" s="1"/>
  <c r="M703" i="15"/>
  <c r="M686" i="15"/>
  <c r="N566" i="28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M679" i="15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O566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P666" i="15" l="1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P680" i="28" s="1"/>
  <c r="P681" i="28" s="1"/>
  <c r="P682" i="28" s="1"/>
  <c r="P683" i="28" s="1"/>
  <c r="P684" i="28" s="1"/>
  <c r="P685" i="28"/>
  <c r="P686" i="28"/>
  <c r="P687" i="28"/>
  <c r="P688" i="28"/>
  <c r="P689" i="28"/>
  <c r="P690" i="28"/>
  <c r="P691" i="28"/>
  <c r="P692" i="28"/>
  <c r="P693" i="28"/>
  <c r="P694" i="28"/>
  <c r="P695" i="28"/>
  <c r="P696" i="28"/>
  <c r="P697" i="28"/>
  <c r="P698" i="28"/>
  <c r="P699" i="28"/>
  <c r="P700" i="28"/>
  <c r="P701" i="28"/>
  <c r="P702" i="28"/>
  <c r="P703" i="28"/>
  <c r="P704" i="28"/>
  <c r="P705" i="28"/>
  <c r="P706" i="28"/>
  <c r="P707" i="28"/>
  <c r="P708" i="28"/>
  <c r="P709" i="28"/>
  <c r="P710" i="28"/>
  <c r="P711" i="28"/>
  <c r="P712" i="28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84" i="15"/>
  <c r="Q685" i="15"/>
  <c r="Q691" i="15"/>
  <c r="Q692" i="15"/>
  <c r="Q693" i="15"/>
  <c r="Q712" i="15"/>
  <c r="Q713" i="15"/>
  <c r="Q714" i="15"/>
  <c r="Q715" i="15"/>
  <c r="Q716" i="15"/>
  <c r="Q717" i="15"/>
  <c r="Q718" i="15"/>
  <c r="Q719" i="15"/>
  <c r="Q720" i="15"/>
  <c r="Q721" i="15"/>
  <c r="Q722" i="15"/>
  <c r="Q708" i="15"/>
  <c r="Q709" i="15"/>
  <c r="Q694" i="15"/>
  <c r="Q695" i="15"/>
  <c r="Q688" i="15"/>
  <c r="Q696" i="15"/>
  <c r="Q705" i="15"/>
  <c r="Q706" i="15"/>
  <c r="Q700" i="15"/>
  <c r="Q697" i="15"/>
  <c r="Q689" i="15"/>
  <c r="Q701" i="15"/>
  <c r="Q702" i="15"/>
  <c r="Q698" i="15"/>
</calcChain>
</file>

<file path=xl/sharedStrings.xml><?xml version="1.0" encoding="utf-8"?>
<sst xmlns="http://schemas.openxmlformats.org/spreadsheetml/2006/main" count="9979" uniqueCount="332">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</sst>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0" borderId="0" xfId="0" applyFill="1" applyBorder="1"/>
    <xf numFmtId="44" fontId="0" fillId="0" borderId="0" xfId="1" applyNumberFormat="1" applyFont="1"/>
    <xf numFmtId="0" fontId="0" fillId="0" borderId="0" xfId="0" applyBorder="1"/>
    <xf numFmtId="0" fontId="0" fillId="3" borderId="0" xfId="0" applyFill="1" applyBorder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45526</c:v>
                </c:pt>
                <c:pt idx="698">
                  <c:v>45527</c:v>
                </c:pt>
                <c:pt idx="699">
                  <c:v>45531</c:v>
                </c:pt>
                <c:pt idx="700">
                  <c:v>45531</c:v>
                </c:pt>
                <c:pt idx="701">
                  <c:v>45532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8">
                  <c:v>3837.0599999999995</c:v>
                </c:pt>
                <c:pt idx="699">
                  <c:v>-1466.5200000000004</c:v>
                </c:pt>
                <c:pt idx="700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12" totalsRowShown="0" dataDxfId="14" dataCellStyle="Currency">
  <autoFilter ref="A1:T712" xr:uid="{0321047A-259E-4994-BC3F-CB9C1AF5C84F}"/>
  <sortState xmlns:xlrd2="http://schemas.microsoft.com/office/spreadsheetml/2017/richdata2" ref="A2:T712">
    <sortCondition ref="F1:F712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22" totalsRowShown="0" dataDxfId="29" dataCellStyle="Currency">
  <autoFilter ref="B1:U722" xr:uid="{0321047A-259E-4994-BC3F-CB9C1AF5C84F}"/>
  <sortState xmlns:xlrd2="http://schemas.microsoft.com/office/spreadsheetml/2017/richdata2" ref="B2:U722">
    <sortCondition ref="G1:G722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12"/>
  <sheetViews>
    <sheetView tabSelected="1" workbookViewId="0">
      <pane ySplit="1" topLeftCell="A692" activePane="bottomLeft" state="frozen"/>
      <selection pane="bottomLeft" activeCell="H721" sqref="H721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>N549+P548</f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/>
      <c r="T549" s="5"/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>N550+P549</f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>N551+P550</f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>N552+P551</f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>N553+P552</f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>N554+P553</f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>N555+P554</f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>N556+P555</f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>N557+P556</f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>N558+P557</f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>N559+P558</f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>N560+P559</f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>N561+P560</f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>N562+P561</f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>N563+P562</f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>N564+P563</f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>N565+P564</f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>N566+P565</f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>N567+P566</f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>N568+P567</f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>N569+P568</f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>N570+P569</f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>N571+P570</f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>N572+P571</f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>N573+P572</f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>N574+P573</f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>N575+P574</f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>N576+P575</f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>N577+P576</f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>N578+P577</f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>N580+P579</f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>N581+P580</f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>N582+P581</f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>N583+P582</f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>N584+P583</f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>N585+P584</f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>N586+P585</f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>N587+P586</f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>N588+P587</f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>N589+P588</f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>N590+P589</f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>N591+P590</f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>N592+P591</f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>N593+P592</f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>N594+P593</f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>N595+P594</f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>N596+P595</f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>N597+P596</f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>N598+P597</f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>N599+P598</f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>N600+P599</f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>N601+P600</f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>N602+P601</f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>N603+P602</f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>N604+P603</f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>N605+P604</f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>N606+P605</f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>N607+P606</f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>N608+P607</f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>N609+P608</f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>N610+P609</f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>N611+P610</f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>N612+P611</f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>N613+P612</f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>N614+P613</f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>N615+P614</f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>N616+P615</f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>N617+P616</f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>N618+P617</f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>N619+P618</f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>N620+P619</f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>N621+P620</f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>N622+P621</f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>N623+P622</f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>N624+P623</f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>N625+P624</f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>N626+P625</f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>N627+P626</f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>N628+P627</f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>N629+P628</f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>N630+P629</f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>N631+P630</f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>N632+P631</f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>N633+P632</f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>N634+P633</f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>N635+P634</f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>N636+P635</f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>N637+P636</f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>N638+P637</f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>N639+P638</f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>N640+P639</f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>N641+P640</f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>N642+P641</f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>N644+P643</f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>N645+P644</f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>N646+P645</f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>N647+P646</f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>N648+P647</f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>N649+P648</f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>N650+P649</f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>N651+P650</f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>N652+P651</f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>N653+P652</f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>N654+P653</f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>N655+P654</f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>N656+P655</f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>N657+P656</f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>N658+P657</f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>N659+P658</f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>N660+P659</f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>N661+P660</f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>N662+P661</f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>N663+P662</f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>N664+P663</f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>N665+P664</f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>N666+P665</f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>N667+P666</f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>N668+P667</f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>N669+P668</f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>N670+P669</f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>N671+P670</f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>N672+P671</f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>N673+P672</f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>N674+P673</f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>N675+P674</f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>N676+P675</f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>N677+P676</f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>N678+P677</f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>N679+P678</f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5</v>
      </c>
      <c r="E680" s="11">
        <v>45505</v>
      </c>
      <c r="F680" s="7">
        <v>45510</v>
      </c>
      <c r="G680" t="s">
        <v>307</v>
      </c>
      <c r="H680">
        <v>200</v>
      </c>
      <c r="I680" s="5">
        <v>129001.68</v>
      </c>
      <c r="J680" s="13">
        <v>1</v>
      </c>
      <c r="K680" s="5">
        <v>142294.68</v>
      </c>
      <c r="L680" s="5">
        <v>645.00839999999994</v>
      </c>
      <c r="M680" s="5">
        <v>711.47339999999997</v>
      </c>
      <c r="N680" s="5">
        <v>13293</v>
      </c>
      <c r="O680" s="3">
        <v>0.10304516964430231</v>
      </c>
      <c r="P680" s="14">
        <f>N680+P679</f>
        <v>204776.48581368232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305</v>
      </c>
      <c r="C681" t="s">
        <v>12</v>
      </c>
      <c r="D681" t="s">
        <v>7</v>
      </c>
      <c r="E681" s="11">
        <v>45509</v>
      </c>
      <c r="F681" s="7">
        <v>45511</v>
      </c>
      <c r="G681" t="s">
        <v>82</v>
      </c>
      <c r="H681">
        <v>1</v>
      </c>
      <c r="I681" s="5">
        <v>260227.25</v>
      </c>
      <c r="J681" s="13">
        <v>50</v>
      </c>
      <c r="K681" s="5">
        <v>267897.75</v>
      </c>
      <c r="L681" s="5">
        <v>5204.5450000000001</v>
      </c>
      <c r="M681" s="5">
        <v>5357.9549999999999</v>
      </c>
      <c r="N681" s="5">
        <v>7670.5</v>
      </c>
      <c r="O681" s="3">
        <v>2.9476159779577273E-2</v>
      </c>
      <c r="P681" s="14">
        <f>N681+P680</f>
        <v>212446.98581368232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303</v>
      </c>
      <c r="C682" t="s">
        <v>16</v>
      </c>
      <c r="D682" t="s">
        <v>5</v>
      </c>
      <c r="E682" s="11">
        <v>45510</v>
      </c>
      <c r="F682" s="7">
        <v>45511</v>
      </c>
      <c r="G682" t="s">
        <v>310</v>
      </c>
      <c r="H682">
        <v>1850</v>
      </c>
      <c r="I682" s="5">
        <v>116777.55</v>
      </c>
      <c r="J682" s="13">
        <v>1</v>
      </c>
      <c r="K682" s="5">
        <v>122253.55</v>
      </c>
      <c r="L682" s="5">
        <v>63.123000000000005</v>
      </c>
      <c r="M682" s="5">
        <v>66.082999999999998</v>
      </c>
      <c r="N682" s="5">
        <v>-5476</v>
      </c>
      <c r="O682" s="3">
        <v>-4.6892574814251541E-2</v>
      </c>
      <c r="P682" s="14">
        <f>N682+P681</f>
        <v>206970.98581368232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97</v>
      </c>
      <c r="D683" t="s">
        <v>7</v>
      </c>
      <c r="E683" s="11">
        <v>45485</v>
      </c>
      <c r="F683" s="7">
        <v>45512</v>
      </c>
      <c r="G683" t="s">
        <v>277</v>
      </c>
      <c r="H683">
        <v>4</v>
      </c>
      <c r="I683" s="5">
        <v>5610</v>
      </c>
      <c r="J683" s="13">
        <v>100</v>
      </c>
      <c r="K683" s="5">
        <v>9620.61</v>
      </c>
      <c r="L683" s="5">
        <v>14.025</v>
      </c>
      <c r="M683" s="5">
        <v>24.051525000000002</v>
      </c>
      <c r="N683" s="5">
        <v>4010.6100000000006</v>
      </c>
      <c r="O683" s="3">
        <v>0.7149037433155081</v>
      </c>
      <c r="P683" s="14">
        <f>N683+P682</f>
        <v>210981.5958136823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98</v>
      </c>
      <c r="D684" t="s">
        <v>7</v>
      </c>
      <c r="E684" s="11">
        <v>45505</v>
      </c>
      <c r="F684" s="7">
        <v>45513</v>
      </c>
      <c r="G684" t="s">
        <v>309</v>
      </c>
      <c r="H684">
        <v>20</v>
      </c>
      <c r="I684" s="5">
        <v>3224.7800000000007</v>
      </c>
      <c r="J684" s="13">
        <v>100</v>
      </c>
      <c r="K684" s="5">
        <v>10727.78</v>
      </c>
      <c r="L684" s="5">
        <v>1.6123900000000004</v>
      </c>
      <c r="M684" s="5">
        <v>5.3638900000000005</v>
      </c>
      <c r="N684" s="5">
        <v>7503</v>
      </c>
      <c r="O684" s="3">
        <v>2.3266703465042573</v>
      </c>
      <c r="P684" s="14">
        <f>N684+P683</f>
        <v>218484.5958136823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102</v>
      </c>
      <c r="D685" t="s">
        <v>7</v>
      </c>
      <c r="E685" s="11">
        <v>45501</v>
      </c>
      <c r="F685" s="7">
        <v>45513</v>
      </c>
      <c r="G685" t="s">
        <v>10</v>
      </c>
      <c r="H685">
        <v>400</v>
      </c>
      <c r="I685" s="5">
        <v>5475</v>
      </c>
      <c r="J685" s="13">
        <v>100</v>
      </c>
      <c r="K685" s="21">
        <v>0</v>
      </c>
      <c r="L685" s="5">
        <v>0.136875</v>
      </c>
      <c r="M685" s="5">
        <v>0</v>
      </c>
      <c r="N685" s="5">
        <v>-5475</v>
      </c>
      <c r="O685" s="3">
        <v>-1</v>
      </c>
      <c r="P685" s="14">
        <f>N685+P684</f>
        <v>213009.5958136823</v>
      </c>
      <c r="Q685" s="21" t="str">
        <f>TEXT(Table13[[#This Row],[Closing Date]],"yyyy")</f>
        <v>2024</v>
      </c>
      <c r="R685" s="21" t="str">
        <f>TEXT(Table13[[#This Row],[Closing Date]],"mmmm")</f>
        <v>August</v>
      </c>
      <c r="S685" s="5"/>
      <c r="T685" s="5"/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45500</v>
      </c>
      <c r="F686" s="7">
        <v>45513</v>
      </c>
      <c r="G686" t="s">
        <v>10</v>
      </c>
      <c r="H686">
        <v>300</v>
      </c>
      <c r="I686" s="5">
        <v>3508</v>
      </c>
      <c r="J686" s="13">
        <v>100</v>
      </c>
      <c r="K686" s="21">
        <v>0</v>
      </c>
      <c r="L686" s="5">
        <v>0.11693333333333333</v>
      </c>
      <c r="M686" s="5">
        <v>0</v>
      </c>
      <c r="N686" s="5">
        <v>-3508</v>
      </c>
      <c r="O686" s="3">
        <v>-1</v>
      </c>
      <c r="P686" s="14">
        <f>N686+P685</f>
        <v>209501.5958136823</v>
      </c>
      <c r="Q686" s="21" t="str">
        <f>TEXT(Table13[[#This Row],[Closing Date]],"yyyy")</f>
        <v>2024</v>
      </c>
      <c r="R686" s="21" t="str">
        <f>TEXT(Table13[[#This Row],[Closing Date]],"mmmm")</f>
        <v>August</v>
      </c>
      <c r="S686" s="5"/>
      <c r="T686" s="5"/>
    </row>
    <row r="687" spans="1:20" x14ac:dyDescent="0.25">
      <c r="A687" t="s">
        <v>197</v>
      </c>
      <c r="B687" t="s">
        <v>302</v>
      </c>
      <c r="C687" t="s">
        <v>97</v>
      </c>
      <c r="D687" t="s">
        <v>7</v>
      </c>
      <c r="E687" s="11">
        <v>45503</v>
      </c>
      <c r="F687" s="7">
        <v>45518</v>
      </c>
      <c r="G687" t="s">
        <v>256</v>
      </c>
      <c r="H687">
        <v>15</v>
      </c>
      <c r="I687" s="5">
        <v>7316</v>
      </c>
      <c r="J687" s="13">
        <v>100</v>
      </c>
      <c r="K687" s="5">
        <v>5991.6</v>
      </c>
      <c r="L687" s="5">
        <v>4.8773333333333335</v>
      </c>
      <c r="M687" s="5">
        <v>3.9944000000000002</v>
      </c>
      <c r="N687" s="5">
        <v>-1324.3999999999996</v>
      </c>
      <c r="O687" s="3">
        <v>-0.18102788408966644</v>
      </c>
      <c r="P687" s="14">
        <f>N687+P686</f>
        <v>208177.19581368231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102</v>
      </c>
      <c r="D688" t="s">
        <v>7</v>
      </c>
      <c r="E688" s="11">
        <v>45459</v>
      </c>
      <c r="F688" s="7">
        <v>45518</v>
      </c>
      <c r="G688" t="s">
        <v>320</v>
      </c>
      <c r="H688">
        <v>15</v>
      </c>
      <c r="I688" s="5">
        <v>4810</v>
      </c>
      <c r="J688" s="13">
        <v>100</v>
      </c>
      <c r="K688" s="5">
        <v>5029.33</v>
      </c>
      <c r="L688" s="5">
        <v>3.206666666666667</v>
      </c>
      <c r="M688" s="5">
        <v>3.3528866666666666</v>
      </c>
      <c r="N688" s="5">
        <v>219.32999999999993</v>
      </c>
      <c r="O688" s="3">
        <v>4.5598752598752582E-2</v>
      </c>
      <c r="P688" s="14">
        <f>N688+P687</f>
        <v>208396.5258136823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201</v>
      </c>
      <c r="B689" t="s">
        <v>302</v>
      </c>
      <c r="C689" t="s">
        <v>12</v>
      </c>
      <c r="D689" t="s">
        <v>7</v>
      </c>
      <c r="E689" s="11">
        <v>45498</v>
      </c>
      <c r="F689" s="7">
        <v>45518</v>
      </c>
      <c r="G689" t="s">
        <v>82</v>
      </c>
      <c r="H689">
        <v>1</v>
      </c>
      <c r="I689" s="5">
        <v>272500</v>
      </c>
      <c r="J689" s="13">
        <v>50</v>
      </c>
      <c r="K689" s="5">
        <v>275779</v>
      </c>
      <c r="L689" s="5">
        <v>5450</v>
      </c>
      <c r="M689" s="5">
        <v>5515.58</v>
      </c>
      <c r="N689" s="5">
        <v>3279</v>
      </c>
      <c r="O689" s="3">
        <v>1.203302752293578E-2</v>
      </c>
      <c r="P689" s="14">
        <f>N689+P688</f>
        <v>211675.5258136823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99</v>
      </c>
      <c r="D690" t="s">
        <v>7</v>
      </c>
      <c r="E690" s="11">
        <v>45516</v>
      </c>
      <c r="F690" s="7">
        <v>45519</v>
      </c>
      <c r="G690" t="s">
        <v>136</v>
      </c>
      <c r="H690">
        <v>200</v>
      </c>
      <c r="I690" s="5">
        <v>2537.88</v>
      </c>
      <c r="J690" s="13">
        <v>100</v>
      </c>
      <c r="K690" s="5">
        <v>0</v>
      </c>
      <c r="L690" s="5">
        <f>Table13[[#This Row],[Open Value]]/Table13[[#This Row],[Shares]]/Table13[[#This Row],[Multiplier]]</f>
        <v>0.12689400000000001</v>
      </c>
      <c r="M690" s="5">
        <f>Table13[[#This Row],[Close Value]]/Table13[[#This Row],[Shares]]/Table13[[#This Row],[Multiplier]]</f>
        <v>0</v>
      </c>
      <c r="N690" s="5">
        <f>Table13[[#This Row],[Close Value]]-Table13[[#This Row],[Open Value]]</f>
        <v>-2537.88</v>
      </c>
      <c r="O690" s="3">
        <f>Table13[[#This Row],[PnL]]/Table13[[#This Row],[Open Value]]</f>
        <v>-1</v>
      </c>
      <c r="P690" s="14">
        <f>N690+P689</f>
        <v>209137.64581368229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201</v>
      </c>
      <c r="B691" t="s">
        <v>303</v>
      </c>
      <c r="C691" t="s">
        <v>16</v>
      </c>
      <c r="D691" t="s">
        <v>7</v>
      </c>
      <c r="E691" s="11">
        <v>45517</v>
      </c>
      <c r="F691" s="7">
        <v>45519</v>
      </c>
      <c r="G691" t="s">
        <v>231</v>
      </c>
      <c r="H691">
        <v>5000</v>
      </c>
      <c r="I691" s="5">
        <v>83500</v>
      </c>
      <c r="J691" s="13">
        <v>1</v>
      </c>
      <c r="K691" s="5">
        <v>77422.02</v>
      </c>
      <c r="L691" s="5">
        <v>16.7</v>
      </c>
      <c r="M691" s="5">
        <v>15.484404000000001</v>
      </c>
      <c r="N691" s="5">
        <v>-6077.9799999999959</v>
      </c>
      <c r="O691" s="3">
        <v>-7.2790179640718516E-2</v>
      </c>
      <c r="P691" s="14">
        <f>N691+P690</f>
        <v>203059.66581368231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45505</v>
      </c>
      <c r="F692" s="7">
        <v>45520</v>
      </c>
      <c r="G692" t="s">
        <v>35</v>
      </c>
      <c r="H692">
        <v>200</v>
      </c>
      <c r="I692" s="5">
        <v>4937.5600000000013</v>
      </c>
      <c r="J692" s="13">
        <v>100</v>
      </c>
      <c r="K692" s="5">
        <v>9004.7800000000007</v>
      </c>
      <c r="L692" s="5">
        <v>0.24687800000000007</v>
      </c>
      <c r="M692" s="5">
        <v>0.45023900000000006</v>
      </c>
      <c r="N692" s="5">
        <v>4067.2199999999993</v>
      </c>
      <c r="O692" s="3">
        <v>0.82373074960101711</v>
      </c>
      <c r="P692" s="14">
        <f>N692+P691</f>
        <v>207126.88581368231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45510</v>
      </c>
      <c r="F693" s="7">
        <v>45523</v>
      </c>
      <c r="G693" t="s">
        <v>266</v>
      </c>
      <c r="H693">
        <v>300</v>
      </c>
      <c r="I693" s="5">
        <v>2864.05</v>
      </c>
      <c r="J693" s="13">
        <v>100</v>
      </c>
      <c r="K693" s="21">
        <v>0</v>
      </c>
      <c r="L693" s="5">
        <v>9.5468333333333336E-2</v>
      </c>
      <c r="M693" s="5">
        <v>0</v>
      </c>
      <c r="N693" s="5">
        <v>-2864.05</v>
      </c>
      <c r="O693" s="3">
        <v>-1</v>
      </c>
      <c r="P693" s="14">
        <f>N693+P692</f>
        <v>204262.83581368232</v>
      </c>
      <c r="Q693" s="21" t="str">
        <f>TEXT(Table13[[#This Row],[Closing Date]],"yyyy")</f>
        <v>2024</v>
      </c>
      <c r="R693" s="21" t="str">
        <f>TEXT(Table13[[#This Row],[Closing Date]],"mmmm")</f>
        <v>August</v>
      </c>
      <c r="S693" s="5"/>
      <c r="T693" s="5"/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45505</v>
      </c>
      <c r="F694" s="7">
        <v>45524</v>
      </c>
      <c r="G694" t="s">
        <v>133</v>
      </c>
      <c r="H694">
        <v>20</v>
      </c>
      <c r="I694" s="5">
        <v>6492</v>
      </c>
      <c r="J694" s="13">
        <v>100</v>
      </c>
      <c r="K694" s="5">
        <v>10175.719999999999</v>
      </c>
      <c r="L694" s="5">
        <v>3.2460000000000004</v>
      </c>
      <c r="M694" s="5">
        <v>5.0878599999999992</v>
      </c>
      <c r="N694" s="5">
        <v>3683.7199999999993</v>
      </c>
      <c r="O694" s="3">
        <v>0.56742452248921738</v>
      </c>
      <c r="P694" s="14">
        <f>N694+P693</f>
        <v>207946.55581368232</v>
      </c>
      <c r="Q694" s="5" t="s">
        <v>324</v>
      </c>
      <c r="R694" s="5" t="s">
        <v>325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97</v>
      </c>
      <c r="D695" t="s">
        <v>7</v>
      </c>
      <c r="E695" s="11">
        <v>45492</v>
      </c>
      <c r="F695" s="7">
        <v>45524</v>
      </c>
      <c r="G695" t="s">
        <v>206</v>
      </c>
      <c r="H695">
        <v>3</v>
      </c>
      <c r="I695" s="5">
        <v>3600</v>
      </c>
      <c r="J695" s="13">
        <v>100</v>
      </c>
      <c r="K695" s="5">
        <v>1975.74</v>
      </c>
      <c r="L695" s="5">
        <v>12</v>
      </c>
      <c r="M695" s="5">
        <v>6.5858000000000008</v>
      </c>
      <c r="N695" s="5">
        <v>-1624.26</v>
      </c>
      <c r="O695" s="3">
        <v>-0.45118333333333333</v>
      </c>
      <c r="P695" s="14">
        <f>N695+P694</f>
        <v>206322.29581368231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102</v>
      </c>
      <c r="D696" t="s">
        <v>7</v>
      </c>
      <c r="E696" s="11">
        <v>45499</v>
      </c>
      <c r="F696" s="7">
        <v>45524</v>
      </c>
      <c r="G696" t="s">
        <v>206</v>
      </c>
      <c r="H696">
        <v>4</v>
      </c>
      <c r="I696" s="5">
        <v>2804</v>
      </c>
      <c r="J696" s="13">
        <v>100</v>
      </c>
      <c r="K696" s="5">
        <v>1473.16</v>
      </c>
      <c r="L696" s="5">
        <v>7.01</v>
      </c>
      <c r="M696" s="5">
        <v>3.6829000000000001</v>
      </c>
      <c r="N696" s="5">
        <v>-1330.84</v>
      </c>
      <c r="O696" s="3">
        <v>-0.47462196861626244</v>
      </c>
      <c r="P696" s="14">
        <f>N696+P695</f>
        <v>204991.45581368232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97</v>
      </c>
      <c r="D697" t="s">
        <v>7</v>
      </c>
      <c r="E697" s="11">
        <v>45488</v>
      </c>
      <c r="F697" s="7">
        <v>45524</v>
      </c>
      <c r="G697" t="s">
        <v>159</v>
      </c>
      <c r="H697">
        <v>2</v>
      </c>
      <c r="I697" s="5">
        <v>7004</v>
      </c>
      <c r="J697" s="13">
        <v>100</v>
      </c>
      <c r="K697" s="5">
        <v>4568.08</v>
      </c>
      <c r="L697" s="5">
        <v>35.020000000000003</v>
      </c>
      <c r="M697" s="5">
        <v>22.840399999999999</v>
      </c>
      <c r="N697" s="5">
        <v>-2435.92</v>
      </c>
      <c r="O697" s="3">
        <v>-0.3477898343803541</v>
      </c>
      <c r="P697" s="14">
        <f>N697+P696</f>
        <v>202555.53581368231</v>
      </c>
      <c r="Q697" s="5" t="str">
        <f>TEXT(Table13[[#This Row],[Closing Date]],"yyyy")</f>
        <v>2024</v>
      </c>
      <c r="R697" s="5" t="str">
        <f>TEXT(Table13[[#This Row],[Closing Date]],"mmmm")</f>
        <v>August</v>
      </c>
      <c r="S697" s="5" t="s">
        <v>240</v>
      </c>
      <c r="T697" s="5" t="s">
        <v>301</v>
      </c>
    </row>
    <row r="698" spans="1:20" x14ac:dyDescent="0.25">
      <c r="A698" t="s">
        <v>201</v>
      </c>
      <c r="B698" t="s">
        <v>303</v>
      </c>
      <c r="C698" t="s">
        <v>12</v>
      </c>
      <c r="D698" t="s">
        <v>7</v>
      </c>
      <c r="E698" s="11">
        <v>45519</v>
      </c>
      <c r="F698" s="7">
        <v>45524</v>
      </c>
      <c r="G698" t="s">
        <v>50</v>
      </c>
      <c r="H698">
        <v>12</v>
      </c>
      <c r="I698" s="5">
        <v>1228107</v>
      </c>
      <c r="J698" s="13">
        <v>1000</v>
      </c>
      <c r="K698" s="5">
        <v>1218333.3600000001</v>
      </c>
      <c r="L698" s="5">
        <v>102.34225000000001</v>
      </c>
      <c r="M698" s="5">
        <v>101.52778000000001</v>
      </c>
      <c r="N698" s="5">
        <v>-9773.6399999998976</v>
      </c>
      <c r="O698" s="3">
        <v>-7.9582967933574979E-3</v>
      </c>
      <c r="P698" s="14">
        <f>N698+P697</f>
        <v>192781.89581368241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197</v>
      </c>
      <c r="B699" t="s">
        <v>302</v>
      </c>
      <c r="C699" t="s">
        <v>102</v>
      </c>
      <c r="D699" t="s">
        <v>7</v>
      </c>
      <c r="E699" s="11">
        <v>45498</v>
      </c>
      <c r="F699" s="7">
        <v>45524</v>
      </c>
      <c r="G699" t="s">
        <v>37</v>
      </c>
      <c r="H699">
        <v>100</v>
      </c>
      <c r="I699" s="5">
        <v>7245</v>
      </c>
      <c r="J699" s="13">
        <v>100</v>
      </c>
      <c r="K699" s="5">
        <v>5154.8900000000003</v>
      </c>
      <c r="L699" s="5">
        <v>0.72450000000000003</v>
      </c>
      <c r="M699" s="5">
        <v>0.51548900000000009</v>
      </c>
      <c r="N699" s="5">
        <v>-2090.1099999999997</v>
      </c>
      <c r="O699" s="3">
        <v>-0.28848999309868872</v>
      </c>
      <c r="P699" s="14">
        <f>N699+P698</f>
        <v>190691.78581368242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303</v>
      </c>
      <c r="C700" t="s">
        <v>102</v>
      </c>
      <c r="D700" t="s">
        <v>7</v>
      </c>
      <c r="E700" s="11">
        <v>45324</v>
      </c>
      <c r="F700" s="7">
        <v>45524</v>
      </c>
      <c r="G700" t="s">
        <v>330</v>
      </c>
      <c r="H700">
        <v>50</v>
      </c>
      <c r="I700" s="5">
        <v>15032.5</v>
      </c>
      <c r="J700" s="13">
        <v>100</v>
      </c>
      <c r="K700" s="5">
        <v>0</v>
      </c>
      <c r="L700" s="5">
        <v>3.0065</v>
      </c>
      <c r="M700" s="5">
        <v>0</v>
      </c>
      <c r="N700" s="5">
        <v>-15032.5</v>
      </c>
      <c r="O700" s="3">
        <v>-1</v>
      </c>
      <c r="P700" s="14">
        <f>N700+P699</f>
        <v>175659.28581368242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203</v>
      </c>
    </row>
    <row r="701" spans="1:20" x14ac:dyDescent="0.25">
      <c r="A701" t="s">
        <v>197</v>
      </c>
      <c r="B701" t="s">
        <v>302</v>
      </c>
      <c r="C701" t="s">
        <v>97</v>
      </c>
      <c r="D701" t="s">
        <v>7</v>
      </c>
      <c r="E701" s="11">
        <v>45510</v>
      </c>
      <c r="F701" s="7">
        <v>45526</v>
      </c>
      <c r="G701" t="s">
        <v>41</v>
      </c>
      <c r="H701">
        <v>20</v>
      </c>
      <c r="I701" s="5">
        <v>7022.41</v>
      </c>
      <c r="J701" s="13">
        <v>100</v>
      </c>
      <c r="K701" s="5">
        <v>8817.73</v>
      </c>
      <c r="L701" s="5">
        <v>3.5112049999999999</v>
      </c>
      <c r="M701" s="5">
        <v>4.4088649999999996</v>
      </c>
      <c r="N701" s="5">
        <v>1795.3199999999997</v>
      </c>
      <c r="O701" s="3">
        <v>0.25565582186172547</v>
      </c>
      <c r="P701" s="14">
        <f>N701+P700</f>
        <v>177454.60581368243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301</v>
      </c>
    </row>
    <row r="702" spans="1:20" x14ac:dyDescent="0.25">
      <c r="A702" t="s">
        <v>197</v>
      </c>
      <c r="B702" t="s">
        <v>302</v>
      </c>
      <c r="C702" t="s">
        <v>102</v>
      </c>
      <c r="D702" t="s">
        <v>7</v>
      </c>
      <c r="E702" s="11">
        <v>45458</v>
      </c>
      <c r="F702" s="7">
        <v>45527</v>
      </c>
      <c r="G702" t="s">
        <v>156</v>
      </c>
      <c r="H702">
        <v>9</v>
      </c>
      <c r="I702" s="5">
        <v>3608</v>
      </c>
      <c r="J702" s="13">
        <v>100</v>
      </c>
      <c r="K702" s="5">
        <v>5987.54</v>
      </c>
      <c r="L702" s="5">
        <v>4.0088888888888894</v>
      </c>
      <c r="M702" s="5">
        <v>6.6528222222222224</v>
      </c>
      <c r="N702" s="5">
        <v>2379.54</v>
      </c>
      <c r="O702" s="3">
        <v>0.6595177383592018</v>
      </c>
      <c r="P702" s="14">
        <f>N702+P701</f>
        <v>179834.14581368244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45511</v>
      </c>
      <c r="F703" s="7">
        <v>45527</v>
      </c>
      <c r="G703" t="s">
        <v>133</v>
      </c>
      <c r="H703">
        <v>2</v>
      </c>
      <c r="I703" s="5">
        <v>8880.99</v>
      </c>
      <c r="J703" s="13">
        <v>100</v>
      </c>
      <c r="K703" s="5">
        <v>12718.05</v>
      </c>
      <c r="L703" s="5">
        <v>44.404949999999999</v>
      </c>
      <c r="M703" s="5">
        <v>63.590249999999997</v>
      </c>
      <c r="N703" s="5">
        <v>3837.0599999999995</v>
      </c>
      <c r="O703" s="3">
        <v>0.43205318325997433</v>
      </c>
      <c r="P703" s="14">
        <f>N703+P702</f>
        <v>183671.20581368243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201</v>
      </c>
      <c r="B704" t="s">
        <v>303</v>
      </c>
      <c r="C704" t="s">
        <v>12</v>
      </c>
      <c r="D704" t="s">
        <v>7</v>
      </c>
      <c r="E704" s="11">
        <v>45510</v>
      </c>
      <c r="F704" s="7">
        <v>45530</v>
      </c>
      <c r="G704" t="s">
        <v>90</v>
      </c>
      <c r="H704">
        <v>2</v>
      </c>
      <c r="I704" s="5">
        <v>720534.4</v>
      </c>
      <c r="J704" s="13">
        <v>5</v>
      </c>
      <c r="K704" s="5">
        <v>761410.6</v>
      </c>
      <c r="L704" s="5">
        <v>72053.440000000002</v>
      </c>
      <c r="M704" s="5">
        <v>76141.06</v>
      </c>
      <c r="N704" s="5">
        <v>40876.199999999953</v>
      </c>
      <c r="O704" s="3">
        <v>5.6730393441312379E-2</v>
      </c>
      <c r="P704" s="14">
        <f>N704+P703</f>
        <v>224547.40581368239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197</v>
      </c>
      <c r="B705" t="s">
        <v>305</v>
      </c>
      <c r="C705" t="s">
        <v>102</v>
      </c>
      <c r="D705" t="s">
        <v>7</v>
      </c>
      <c r="E705" s="11">
        <v>45407</v>
      </c>
      <c r="F705" s="7">
        <v>45531</v>
      </c>
      <c r="G705" t="s">
        <v>329</v>
      </c>
      <c r="H705">
        <v>50</v>
      </c>
      <c r="I705" s="5">
        <v>28032.5</v>
      </c>
      <c r="J705" s="13">
        <v>100</v>
      </c>
      <c r="K705" s="5">
        <v>42966.3</v>
      </c>
      <c r="L705" s="5">
        <v>5.6064999999999996</v>
      </c>
      <c r="M705" s="5">
        <v>8.5932600000000008</v>
      </c>
      <c r="N705" s="5">
        <v>14933.800000000003</v>
      </c>
      <c r="O705" s="3">
        <v>0.53273165076250795</v>
      </c>
      <c r="P705" s="14">
        <f>N705+P704</f>
        <v>239481.20581368241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203</v>
      </c>
    </row>
    <row r="706" spans="1:20" x14ac:dyDescent="0.25">
      <c r="A706" t="s">
        <v>197</v>
      </c>
      <c r="B706" t="s">
        <v>302</v>
      </c>
      <c r="C706" t="s">
        <v>99</v>
      </c>
      <c r="D706" t="s">
        <v>7</v>
      </c>
      <c r="E706" s="11">
        <v>45524</v>
      </c>
      <c r="F706" s="7">
        <v>45531</v>
      </c>
      <c r="G706" t="s">
        <v>133</v>
      </c>
      <c r="H706">
        <v>300</v>
      </c>
      <c r="I706" s="5">
        <v>5303.58</v>
      </c>
      <c r="J706" s="13">
        <v>100</v>
      </c>
      <c r="K706" s="5">
        <v>0</v>
      </c>
      <c r="L706" s="5">
        <v>0.176786</v>
      </c>
      <c r="M706" s="5">
        <v>0</v>
      </c>
      <c r="N706" s="5">
        <v>-5303.58</v>
      </c>
      <c r="O706" s="3">
        <v>-1</v>
      </c>
      <c r="P706" s="14">
        <f>N706+P705</f>
        <v>234177.62581368242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301</v>
      </c>
    </row>
    <row r="707" spans="1:20" x14ac:dyDescent="0.25">
      <c r="A707" t="s">
        <v>201</v>
      </c>
      <c r="B707" t="s">
        <v>303</v>
      </c>
      <c r="C707" t="s">
        <v>16</v>
      </c>
      <c r="D707" t="s">
        <v>7</v>
      </c>
      <c r="E707" s="11">
        <v>45511</v>
      </c>
      <c r="F707" s="7">
        <v>45532</v>
      </c>
      <c r="G707" t="s">
        <v>312</v>
      </c>
      <c r="H707">
        <v>1600</v>
      </c>
      <c r="I707" s="5">
        <v>32896</v>
      </c>
      <c r="J707" s="13">
        <v>1</v>
      </c>
      <c r="K707" s="5">
        <v>47816.84</v>
      </c>
      <c r="L707" s="5">
        <v>20.56</v>
      </c>
      <c r="M707" s="5">
        <v>29.885524999999998</v>
      </c>
      <c r="N707" s="5">
        <v>14920.839999999997</v>
      </c>
      <c r="O707" s="3">
        <v>0.45357611867704267</v>
      </c>
      <c r="P707" s="14">
        <f>N707+P706</f>
        <v>249098.46581368241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45530</v>
      </c>
      <c r="F708" s="7">
        <v>45532</v>
      </c>
      <c r="G708" t="s">
        <v>328</v>
      </c>
      <c r="H708">
        <v>900</v>
      </c>
      <c r="I708" s="5">
        <v>130334</v>
      </c>
      <c r="J708" s="13">
        <v>1</v>
      </c>
      <c r="K708" s="5">
        <v>120317.42</v>
      </c>
      <c r="L708" s="5">
        <v>144.81555555555556</v>
      </c>
      <c r="M708" s="5">
        <v>133.68602222222222</v>
      </c>
      <c r="N708" s="5">
        <v>-10016.580000000002</v>
      </c>
      <c r="O708" s="3">
        <v>-7.6853161876409851E-2</v>
      </c>
      <c r="P708" s="14">
        <f>N708+P707</f>
        <v>239081.8858136824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12</v>
      </c>
      <c r="D709" t="s">
        <v>7</v>
      </c>
      <c r="E709" s="11">
        <v>45498</v>
      </c>
      <c r="F709" s="7">
        <v>45532</v>
      </c>
      <c r="G709" t="s">
        <v>82</v>
      </c>
      <c r="H709">
        <v>1</v>
      </c>
      <c r="I709" s="5">
        <v>273025</v>
      </c>
      <c r="J709" s="13">
        <v>50</v>
      </c>
      <c r="K709" s="5">
        <v>275779</v>
      </c>
      <c r="L709" s="5">
        <f>Table13[[#This Row],[Open Value]]/Table13[[#This Row],[Multiplier]]</f>
        <v>5460.5</v>
      </c>
      <c r="M709" s="5">
        <v>5515.58</v>
      </c>
      <c r="N709" s="5">
        <v>2029</v>
      </c>
      <c r="O709" s="3">
        <v>7.4118721461187212E-3</v>
      </c>
      <c r="P709" s="14">
        <f>N709+P708</f>
        <v>241110.8858136824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16</v>
      </c>
      <c r="D710" t="s">
        <v>7</v>
      </c>
      <c r="E710" s="11">
        <v>45530</v>
      </c>
      <c r="F710" s="7">
        <v>45538</v>
      </c>
      <c r="G710" t="s">
        <v>327</v>
      </c>
      <c r="H710">
        <v>320</v>
      </c>
      <c r="I710" s="5">
        <v>110913.60000000001</v>
      </c>
      <c r="J710" s="13">
        <v>1</v>
      </c>
      <c r="K710" s="21">
        <v>105842.76</v>
      </c>
      <c r="L710" s="5">
        <v>346.60500000000002</v>
      </c>
      <c r="M710" s="5">
        <v>330.75862499999999</v>
      </c>
      <c r="N710" s="5">
        <v>-5070.8400000000111</v>
      </c>
      <c r="O710" s="3">
        <v>-4.571882979183807E-2</v>
      </c>
      <c r="P710" s="14">
        <f>N710+P709</f>
        <v>236040.04581368237</v>
      </c>
      <c r="Q710" s="21" t="str">
        <f>TEXT(Table13[[#This Row],[Closing Date]],"yyyy")</f>
        <v>2024</v>
      </c>
      <c r="R710" s="21" t="str">
        <f>TEXT(Table13[[#This Row],[Closing Date]],"mmmm")</f>
        <v>September</v>
      </c>
      <c r="S710" s="5"/>
      <c r="T710" s="5"/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45510</v>
      </c>
      <c r="F711" s="7">
        <v>45538</v>
      </c>
      <c r="G711" t="s">
        <v>153</v>
      </c>
      <c r="H711">
        <v>2500</v>
      </c>
      <c r="I711" s="5">
        <v>85401.5</v>
      </c>
      <c r="J711" s="13">
        <v>1</v>
      </c>
      <c r="K711" s="21">
        <v>88532.73</v>
      </c>
      <c r="L711" s="5">
        <v>34.160600000000002</v>
      </c>
      <c r="M711" s="5">
        <v>35.413091999999999</v>
      </c>
      <c r="N711" s="5">
        <v>3131.2299999999959</v>
      </c>
      <c r="O711" s="3">
        <v>3.6664812678934164E-2</v>
      </c>
      <c r="P711" s="14">
        <f>N711+P710</f>
        <v>239171.27581368235</v>
      </c>
      <c r="Q711" s="21" t="str">
        <f>TEXT(Table13[[#This Row],[Closing Date]],"yyyy")</f>
        <v>2024</v>
      </c>
      <c r="R711" s="21" t="str">
        <f>TEXT(Table13[[#This Row],[Closing Date]],"mmmm")</f>
        <v>September</v>
      </c>
      <c r="S711" s="5"/>
      <c r="T711" s="5"/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45526</v>
      </c>
      <c r="F712" s="7">
        <v>45538</v>
      </c>
      <c r="G712" t="s">
        <v>256</v>
      </c>
      <c r="H712">
        <v>1500</v>
      </c>
      <c r="I712" s="5">
        <v>157140</v>
      </c>
      <c r="J712" s="13">
        <v>1</v>
      </c>
      <c r="K712" s="21">
        <v>139016</v>
      </c>
      <c r="L712" s="5">
        <v>104.76</v>
      </c>
      <c r="M712" s="5">
        <v>92.677333333333337</v>
      </c>
      <c r="N712" s="5">
        <v>-18124</v>
      </c>
      <c r="O712" s="3">
        <v>-0.11533664248440881</v>
      </c>
      <c r="P712" s="14">
        <f>N712+P711</f>
        <v>221047.27581368235</v>
      </c>
      <c r="Q712" s="21" t="str">
        <f>TEXT(Table13[[#This Row],[Closing Date]],"yyyy")</f>
        <v>2024</v>
      </c>
      <c r="R712" s="21" t="str">
        <f>TEXT(Table13[[#This Row],[Closing Date]],"mmmm")</f>
        <v>September</v>
      </c>
      <c r="S712" s="5"/>
      <c r="T712" s="5"/>
    </row>
  </sheetData>
  <phoneticPr fontId="3" type="noConversion"/>
  <conditionalFormatting sqref="N1:N712 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22"/>
  <sheetViews>
    <sheetView workbookViewId="0">
      <pane ySplit="1" topLeftCell="A701" activePane="bottomLeft" state="frozen"/>
      <selection pane="bottomLeft" activeCell="K730" sqref="K730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21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>O549+Q548</f>
        <v>347986.45845814014</v>
      </c>
      <c r="R549" s="21" t="str">
        <f>TEXT(Table1[[#This Row],[Closing Date]],"yyyy")</f>
        <v>2024</v>
      </c>
      <c r="S549" s="21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>O550+Q549</f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>O551+Q550</f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>O552+Q551</f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>O553+Q552</f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>O554+Q553</f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>O555+Q554</f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>O556+Q555</f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>O557+Q556</f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>O558+Q557</f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>O559+Q558</f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>O560+Q559</f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>O561+Q560</f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>O562+Q561</f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>O563+Q562</f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>O564+Q563</f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>O565+Q564</f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>O566+Q565</f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>O567+Q566</f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>O568+Q567</f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>O569+Q568</f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>O570+Q569</f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>O571+Q570</f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>O572+Q571</f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>O573+Q572</f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>O574+Q573</f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>O575+Q574</f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>O576+Q575</f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>O577+Q576</f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>O578+Q577</f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>O580+Q579</f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>O581+Q580</f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>O582+Q581</f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>O583+Q582</f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>O584+Q583</f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>O585+Q584</f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>O586+Q585</f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>O587+Q586</f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>O588+Q587</f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>O589+Q588</f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>O590+Q589</f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>O591+Q590</f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>O592+Q591</f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>O593+Q592</f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>O594+Q593</f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>O595+Q594</f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>O596+Q595</f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>O597+Q596</f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>O598+Q597</f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>O599+Q598</f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>O600+Q599</f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>O601+Q600</f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>O602+Q601</f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>O603+Q602</f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>O604+Q603</f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>O605+Q604</f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>O606+Q605</f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>O607+Q606</f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>O608+Q607</f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>O609+Q608</f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>O610+Q609</f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>O611+Q610</f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>O612+Q611</f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>O613+Q612</f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>O614+Q613</f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>O615+Q614</f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>O616+Q615</f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>O617+Q616</f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>O618+Q617</f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>O619+Q618</f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>O620+Q619</f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>O621+Q620</f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>O622+Q621</f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>O623+Q622</f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>O624+Q623</f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>O625+Q624</f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>O626+Q625</f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>O627+Q626</f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>O628+Q627</f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>O629+Q628</f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>O630+Q629</f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>O631+Q630</f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>O632+Q631</f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>O633+Q632</f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>O634+Q633</f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>O635+Q634</f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>O636+Q635</f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>O637+Q636</f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>O638+Q637</f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>O639+Q638</f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>O640+Q639</f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>O641+Q640</f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>O642+Q641</f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>O644+Q643</f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>O645+Q644</f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>O646+Q645</f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>O647+Q646</f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>O648+Q647</f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>O649+Q648</f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>O650+Q649</f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>O651+Q650</f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>O652+Q651</f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>O653+Q652</f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>O654+Q653</f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>O655+Q654</f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>O656+Q655</f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>O657+Q656</f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>O658+Q657</f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>O659+Q658</f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>O660+Q659</f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>O661+Q660</f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>O662+Q661</f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>O663+Q662</f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21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21" t="str">
        <f>TEXT(Table1[[#This Row],[Closing Date]],"yyyy")</f>
        <v>2024</v>
      </c>
      <c r="S689" s="21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>O692+Q691</f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>O693+Q692</f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>O694+Q693</f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>O695+Q694</f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>O696+Q695</f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21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>O697+Q696</f>
        <v>-16435.099999999897</v>
      </c>
      <c r="R697" s="21" t="str">
        <f>TEXT(Table1[[#This Row],[Closing Date]],"yyyy")</f>
        <v>2024</v>
      </c>
      <c r="S697" s="21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s="22" t="s">
        <v>197</v>
      </c>
      <c r="C698" s="22" t="s">
        <v>303</v>
      </c>
      <c r="D698" s="22" t="s">
        <v>102</v>
      </c>
      <c r="E698" s="22" t="s">
        <v>7</v>
      </c>
      <c r="F698" s="24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21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>O698+Q697</f>
        <v>-31467.599999999897</v>
      </c>
      <c r="R698" s="21" t="str">
        <f>TEXT(Table1[[#This Row],[Closing Date]],"yyyy")</f>
        <v>2024</v>
      </c>
      <c r="S698" s="21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97</v>
      </c>
      <c r="E699" t="s">
        <v>7</v>
      </c>
      <c r="F699" s="11">
        <v>45510</v>
      </c>
      <c r="G699" s="7">
        <v>45526</v>
      </c>
      <c r="H699" t="s">
        <v>41</v>
      </c>
      <c r="I699">
        <v>20</v>
      </c>
      <c r="J699" s="5">
        <v>7022.41</v>
      </c>
      <c r="K699" s="13">
        <v>100</v>
      </c>
      <c r="L699" s="5">
        <f>4394.68+4423.05</f>
        <v>8817.73</v>
      </c>
      <c r="M699" s="5">
        <f>Table1[[#This Row],[Open Value]]/Table1[[#This Row],[Shares]]/Table1[[#This Row],[Multiplier]]</f>
        <v>3.5112049999999999</v>
      </c>
      <c r="N699" s="5">
        <f>Table1[[#This Row],[Close Value]]/Table1[[#This Row],[Shares]]/Table1[[#This Row],[Multiplier]]</f>
        <v>4.4088649999999996</v>
      </c>
      <c r="O699" s="5">
        <f>Table1[[#This Row],[Close Value]]-Table1[[#This Row],[Open Value]]</f>
        <v>1795.3199999999997</v>
      </c>
      <c r="P699" s="3">
        <f>Table1[[#This Row],[PnL]]/Table1[[#This Row],[Open Value]]</f>
        <v>0.25565582186172547</v>
      </c>
      <c r="Q699" s="14"/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45511</v>
      </c>
      <c r="G700" s="7">
        <v>45527</v>
      </c>
      <c r="H700" t="s">
        <v>133</v>
      </c>
      <c r="I700">
        <v>2</v>
      </c>
      <c r="J700" s="5">
        <v>8880.99</v>
      </c>
      <c r="K700" s="25">
        <v>100</v>
      </c>
      <c r="L700" s="21">
        <f>5879.04+6839.01</f>
        <v>12718.05</v>
      </c>
      <c r="M700" s="5">
        <f>J700/I700/K700</f>
        <v>44.404949999999999</v>
      </c>
      <c r="N700" s="5">
        <f>L700/I700/K700</f>
        <v>63.590249999999997</v>
      </c>
      <c r="O700" s="5">
        <f>L700-J700</f>
        <v>3837.0599999999995</v>
      </c>
      <c r="P700" s="3">
        <f>O700/J700</f>
        <v>0.43205318325997433</v>
      </c>
      <c r="Q700" s="14">
        <f>O700+Q699</f>
        <v>3837.0599999999995</v>
      </c>
      <c r="R700" s="21" t="str">
        <f>TEXT(Table1[[#This Row],[Closing Date]],"yyyy")</f>
        <v>2024</v>
      </c>
      <c r="S700" s="21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99</v>
      </c>
      <c r="E701" t="s">
        <v>7</v>
      </c>
      <c r="F701" s="11">
        <v>45524</v>
      </c>
      <c r="G701" s="7">
        <v>45531</v>
      </c>
      <c r="H701" t="s">
        <v>133</v>
      </c>
      <c r="I701">
        <v>300</v>
      </c>
      <c r="J701" s="5">
        <v>5303.58</v>
      </c>
      <c r="K701" s="13">
        <v>100</v>
      </c>
      <c r="L701" s="21">
        <v>0</v>
      </c>
      <c r="M701" s="5">
        <f>J701/I701/K701</f>
        <v>0.176786</v>
      </c>
      <c r="N701" s="5">
        <f>L701/I701/K701</f>
        <v>0</v>
      </c>
      <c r="O701" s="5">
        <f>L701-J701</f>
        <v>-5303.58</v>
      </c>
      <c r="P701" s="3">
        <f>O701/J701</f>
        <v>-1</v>
      </c>
      <c r="Q701" s="14">
        <f>O701+Q700</f>
        <v>-1466.5200000000004</v>
      </c>
      <c r="R701" s="21" t="str">
        <f>TEXT(Table1[[#This Row],[Closing Date]],"yyyy")</f>
        <v>2024</v>
      </c>
      <c r="S701" s="21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305</v>
      </c>
      <c r="D702" t="s">
        <v>102</v>
      </c>
      <c r="E702" t="s">
        <v>7</v>
      </c>
      <c r="F702" s="11">
        <v>45407</v>
      </c>
      <c r="G702" s="7">
        <v>45531</v>
      </c>
      <c r="H702" t="s">
        <v>329</v>
      </c>
      <c r="I702">
        <v>50</v>
      </c>
      <c r="J702" s="5">
        <v>28032.5</v>
      </c>
      <c r="K702" s="26">
        <v>100</v>
      </c>
      <c r="L702" s="21">
        <f>21483.15+11171.24+10311.91</f>
        <v>42966.3</v>
      </c>
      <c r="M702" s="5">
        <f>J702/I702/K702</f>
        <v>5.6064999999999996</v>
      </c>
      <c r="N702" s="5">
        <f>L702/I702/K702</f>
        <v>8.5932600000000008</v>
      </c>
      <c r="O702" s="5">
        <f>L702-J702</f>
        <v>14933.800000000003</v>
      </c>
      <c r="P702" s="3">
        <f>O702/J702</f>
        <v>0.53273165076250795</v>
      </c>
      <c r="Q702" s="14">
        <f>O702+Q701</f>
        <v>13467.280000000002</v>
      </c>
      <c r="R702" s="21" t="str">
        <f>TEXT(Table1[[#This Row],[Closing Date]],"yyyy")</f>
        <v>2024</v>
      </c>
      <c r="S702" s="21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201</v>
      </c>
      <c r="C703" t="s">
        <v>303</v>
      </c>
      <c r="D703" t="s">
        <v>12</v>
      </c>
      <c r="E703" t="s">
        <v>7</v>
      </c>
      <c r="F703" s="11">
        <v>45498</v>
      </c>
      <c r="G703" s="7">
        <v>45532</v>
      </c>
      <c r="H703" t="s">
        <v>82</v>
      </c>
      <c r="I703">
        <v>1</v>
      </c>
      <c r="J703" s="5">
        <f>J702+1250</f>
        <v>29282.5</v>
      </c>
      <c r="K703" s="26">
        <v>50</v>
      </c>
      <c r="L703" s="5">
        <v>275779</v>
      </c>
      <c r="M703" s="5">
        <f>Table1[[#This Row],[Open Value]]/Table1[[#This Row],[Shares]]/Table1[[#This Row],[Multiplier]]</f>
        <v>585.65</v>
      </c>
      <c r="N703" s="5">
        <f>Table1[[#This Row],[Close Value]]/Table1[[#This Row],[Shares]]/Table1[[#This Row],[Multiplier]]</f>
        <v>5515.58</v>
      </c>
      <c r="O703" s="5">
        <f>Table1[[#This Row],[Close Value]]-Table1[[#This Row],[Open Value]]</f>
        <v>246496.5</v>
      </c>
      <c r="P703" s="3">
        <f>Table1[[#This Row],[PnL]]/Table1[[#This Row],[Open Value]]</f>
        <v>8.4178775719286261</v>
      </c>
      <c r="Q703" s="14"/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201</v>
      </c>
      <c r="C704" s="17" t="s">
        <v>303</v>
      </c>
      <c r="D704" t="s">
        <v>16</v>
      </c>
      <c r="E704" t="s">
        <v>7</v>
      </c>
      <c r="F704" s="11">
        <v>45511</v>
      </c>
      <c r="G704" s="7">
        <v>45532</v>
      </c>
      <c r="H704" t="s">
        <v>312</v>
      </c>
      <c r="I704">
        <v>1600</v>
      </c>
      <c r="J704" s="5">
        <v>32896</v>
      </c>
      <c r="K704" s="26">
        <v>1</v>
      </c>
      <c r="L704" s="5">
        <f>29.77*600-10.5+29965.34</f>
        <v>47816.84</v>
      </c>
      <c r="M704" s="5">
        <f>Table1[[#This Row],[Open Value]]/Table1[[#This Row],[Shares]]/Table1[[#This Row],[Multiplier]]</f>
        <v>20.56</v>
      </c>
      <c r="N704" s="5">
        <f>Table1[[#This Row],[Close Value]]/Table1[[#This Row],[Shares]]/Table1[[#This Row],[Multiplier]]</f>
        <v>29.885524999999998</v>
      </c>
      <c r="O704" s="5">
        <f>Table1[[#This Row],[Close Value]]-Table1[[#This Row],[Open Value]]</f>
        <v>14920.839999999997</v>
      </c>
      <c r="P704" s="3">
        <f>Table1[[#This Row],[PnL]]/Table1[[#This Row],[Open Value]]</f>
        <v>0.45357611867704267</v>
      </c>
      <c r="Q704" s="14">
        <f>O704+Q703</f>
        <v>14920.839999999997</v>
      </c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t="s">
        <v>303</v>
      </c>
      <c r="D705" t="s">
        <v>16</v>
      </c>
      <c r="E705" t="s">
        <v>7</v>
      </c>
      <c r="F705" s="11">
        <v>45530</v>
      </c>
      <c r="G705" s="7">
        <v>45532</v>
      </c>
      <c r="H705" t="s">
        <v>328</v>
      </c>
      <c r="I705">
        <v>900</v>
      </c>
      <c r="J705" s="5">
        <f>126180+4154</f>
        <v>130334</v>
      </c>
      <c r="K705" s="26">
        <v>1</v>
      </c>
      <c r="L705" s="21">
        <v>120317.42</v>
      </c>
      <c r="M705" s="5">
        <f>J705/I705/K705</f>
        <v>144.81555555555556</v>
      </c>
      <c r="N705" s="5">
        <f>L705/I705/K705</f>
        <v>133.68602222222222</v>
      </c>
      <c r="O705" s="5">
        <f>L705-J705</f>
        <v>-10016.580000000002</v>
      </c>
      <c r="P705" s="3">
        <f>O705/J705</f>
        <v>-7.6853161876409851E-2</v>
      </c>
      <c r="Q705" s="14">
        <f>O705+Q704</f>
        <v>4904.2599999999948</v>
      </c>
      <c r="R705" s="21" t="str">
        <f>TEXT(Table1[[#This Row],[Closing Date]],"yyyy")</f>
        <v>2024</v>
      </c>
      <c r="S705" s="21" t="str">
        <f>TEXT(Table1[[#This Row],[Closing Date]],"mmmm")</f>
        <v>August</v>
      </c>
      <c r="T705" s="5"/>
      <c r="U705" s="5"/>
    </row>
    <row r="706" spans="1:21" x14ac:dyDescent="0.25">
      <c r="B706" t="s">
        <v>197</v>
      </c>
      <c r="C706" t="s">
        <v>302</v>
      </c>
      <c r="D706" t="s">
        <v>102</v>
      </c>
      <c r="E706" t="s">
        <v>7</v>
      </c>
      <c r="F706" s="11">
        <v>45458</v>
      </c>
      <c r="G706" s="7">
        <v>45534</v>
      </c>
      <c r="H706" t="s">
        <v>156</v>
      </c>
      <c r="I706">
        <v>9</v>
      </c>
      <c r="J706" s="5">
        <v>3608</v>
      </c>
      <c r="K706" s="25">
        <v>100</v>
      </c>
      <c r="L706" s="21">
        <v>5987.54</v>
      </c>
      <c r="M706" s="5">
        <f>J706/I706/K706</f>
        <v>4.0088888888888894</v>
      </c>
      <c r="N706" s="5">
        <f>L706/I706/K706</f>
        <v>6.6528222222222224</v>
      </c>
      <c r="O706" s="5">
        <f>L706-J706</f>
        <v>2379.54</v>
      </c>
      <c r="P706" s="3">
        <f>O706/J706</f>
        <v>0.6595177383592018</v>
      </c>
      <c r="Q706" s="14">
        <f>O706+Q705</f>
        <v>7283.7999999999947</v>
      </c>
      <c r="R706" s="21" t="str">
        <f>TEXT(Table1[[#This Row],[Closing Date]],"yyyy")</f>
        <v>2024</v>
      </c>
      <c r="S706" s="21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16</v>
      </c>
      <c r="E707" t="s">
        <v>7</v>
      </c>
      <c r="F707" s="11">
        <v>45510</v>
      </c>
      <c r="G707" s="7">
        <v>45538</v>
      </c>
      <c r="H707" t="s">
        <v>153</v>
      </c>
      <c r="I707">
        <v>2500</v>
      </c>
      <c r="J707" s="5">
        <f>43884.5+41517</f>
        <v>85401.5</v>
      </c>
      <c r="K707" s="13">
        <v>1</v>
      </c>
      <c r="L707" s="5">
        <f>50919.46+37613.27</f>
        <v>88532.73</v>
      </c>
      <c r="M707" s="5">
        <f>Table1[[#This Row],[Open Value]]/Table1[[#This Row],[Shares]]/Table1[[#This Row],[Multiplier]]</f>
        <v>34.160600000000002</v>
      </c>
      <c r="N707" s="5">
        <f>Table1[[#This Row],[Close Value]]/Table1[[#This Row],[Shares]]/Table1[[#This Row],[Multiplier]]</f>
        <v>35.413091999999999</v>
      </c>
      <c r="O707" s="5">
        <f>Table1[[#This Row],[Close Value]]-Table1[[#This Row],[Open Value]]</f>
        <v>3131.2299999999959</v>
      </c>
      <c r="P707" s="3">
        <f>Table1[[#This Row],[PnL]]/Table1[[#This Row],[Open Value]]</f>
        <v>3.6664812678934164E-2</v>
      </c>
      <c r="Q707" s="14"/>
      <c r="R707" s="5" t="str">
        <f>TEXT(Table1[[#This Row],[Closing Date]],"yyyy")</f>
        <v>2024</v>
      </c>
      <c r="S707" s="5" t="str">
        <f>TEXT(Table1[[#This Row],[Closing Date]],"mmmm")</f>
        <v>September</v>
      </c>
      <c r="T707" s="5"/>
      <c r="U707" s="5"/>
    </row>
    <row r="708" spans="1:21" x14ac:dyDescent="0.25">
      <c r="B708" t="s">
        <v>201</v>
      </c>
      <c r="C708" t="s">
        <v>303</v>
      </c>
      <c r="D708" t="s">
        <v>16</v>
      </c>
      <c r="E708" t="s">
        <v>7</v>
      </c>
      <c r="F708" s="11">
        <v>45530</v>
      </c>
      <c r="G708" s="7">
        <v>45538</v>
      </c>
      <c r="H708" t="s">
        <v>327</v>
      </c>
      <c r="I708">
        <v>320</v>
      </c>
      <c r="J708" s="5">
        <v>110913.60000000001</v>
      </c>
      <c r="K708" s="13">
        <v>1</v>
      </c>
      <c r="L708" s="21">
        <v>105842.76</v>
      </c>
      <c r="M708" s="5">
        <f>J708/I708/K708</f>
        <v>346.60500000000002</v>
      </c>
      <c r="N708" s="5">
        <f>L708/I708/K708</f>
        <v>330.75862499999999</v>
      </c>
      <c r="O708" s="5">
        <f>L708-J708</f>
        <v>-5070.8400000000111</v>
      </c>
      <c r="P708" s="3">
        <f>O708/J708</f>
        <v>-4.571882979183807E-2</v>
      </c>
      <c r="Q708" s="14">
        <f>O708+Q707</f>
        <v>-5070.8400000000111</v>
      </c>
      <c r="R708" s="21" t="str">
        <f>TEXT(Table1[[#This Row],[Closing Date]],"yyyy")</f>
        <v>2024</v>
      </c>
      <c r="S708" s="21" t="str">
        <f>TEXT(Table1[[#This Row],[Closing Date]],"mmmm")</f>
        <v>September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45526</v>
      </c>
      <c r="G709" s="7">
        <v>45538</v>
      </c>
      <c r="H709" s="20" t="s">
        <v>256</v>
      </c>
      <c r="I709">
        <v>1500</v>
      </c>
      <c r="J709" s="5">
        <v>157140</v>
      </c>
      <c r="K709" s="13">
        <v>1</v>
      </c>
      <c r="L709" s="21">
        <v>139016</v>
      </c>
      <c r="M709" s="5">
        <f>J709/I709/K709</f>
        <v>104.76</v>
      </c>
      <c r="N709" s="5">
        <f>L709/I709/K709</f>
        <v>92.677333333333337</v>
      </c>
      <c r="O709" s="5">
        <f>L709-J709</f>
        <v>-18124</v>
      </c>
      <c r="P709" s="3">
        <f>O709/J709</f>
        <v>-0.11533664248440881</v>
      </c>
      <c r="Q709" s="14">
        <f>O709+Q708</f>
        <v>-23194.840000000011</v>
      </c>
      <c r="R709" s="21" t="str">
        <f>TEXT(Table1[[#This Row],[Closing Date]],"yyyy")</f>
        <v>2024</v>
      </c>
      <c r="S709" s="21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12</v>
      </c>
      <c r="E710" t="s">
        <v>7</v>
      </c>
      <c r="F710" s="11">
        <v>45510</v>
      </c>
      <c r="G710" s="7">
        <v>45531</v>
      </c>
      <c r="H710" t="s">
        <v>90</v>
      </c>
      <c r="I710">
        <v>2</v>
      </c>
      <c r="J710" s="5">
        <v>720534.4</v>
      </c>
      <c r="K710" s="13">
        <v>5</v>
      </c>
      <c r="L710" s="5">
        <f>370612.8+390797.8</f>
        <v>761410.6</v>
      </c>
      <c r="M710" s="5">
        <f>Table1[[#This Row],[Open Value]]/Table1[[#This Row],[Shares]]/Table1[[#This Row],[Multiplier]]</f>
        <v>72053.440000000002</v>
      </c>
      <c r="N710" s="5">
        <f>Table1[[#This Row],[Close Value]]/Table1[[#This Row],[Shares]]/Table1[[#This Row],[Multiplier]]</f>
        <v>76141.06</v>
      </c>
      <c r="O710" s="5">
        <f>Table1[[#This Row],[Close Value]]-Table1[[#This Row],[Open Value]]</f>
        <v>40876.199999999953</v>
      </c>
      <c r="P710" s="3">
        <f>Table1[[#This Row],[PnL]]/Table1[[#This Row],[Open Value]]</f>
        <v>5.6730393441312379E-2</v>
      </c>
      <c r="Q710" s="14"/>
      <c r="R710" s="5" t="str">
        <f>TEXT(Table1[[#This Row],[Closing Date]],"yyyy")</f>
        <v>2024</v>
      </c>
      <c r="S710" s="5" t="str">
        <f>TEXT(Table1[[#This Row],[Closing Date]],"mmmm")</f>
        <v>August</v>
      </c>
      <c r="T710" s="5"/>
      <c r="U710" s="5"/>
    </row>
    <row r="711" spans="1:21" x14ac:dyDescent="0.25">
      <c r="A711" s="16">
        <v>45583</v>
      </c>
      <c r="B711" t="s">
        <v>197</v>
      </c>
      <c r="C711" t="s">
        <v>303</v>
      </c>
      <c r="D711" t="s">
        <v>102</v>
      </c>
      <c r="E711" t="s">
        <v>7</v>
      </c>
      <c r="F711" s="11">
        <v>45509</v>
      </c>
      <c r="H711" t="s">
        <v>313</v>
      </c>
      <c r="I711">
        <v>50</v>
      </c>
      <c r="J711" s="5">
        <v>4989</v>
      </c>
      <c r="K711" s="13">
        <v>100</v>
      </c>
      <c r="N711" s="5"/>
      <c r="Q711" s="14">
        <f>O711+Q710</f>
        <v>0</v>
      </c>
      <c r="R711" s="5" t="str">
        <f>TEXT(Table1[[#This Row],[Closing Date]],"yyyy")</f>
        <v>1900</v>
      </c>
      <c r="S711" s="5" t="str">
        <f>TEXT(Table1[[#This Row],[Closing Date]],"mmmm")</f>
        <v>January</v>
      </c>
      <c r="T711" s="5"/>
      <c r="U711" s="5"/>
    </row>
    <row r="712" spans="1:21" x14ac:dyDescent="0.25">
      <c r="A712" s="16">
        <v>45531</v>
      </c>
      <c r="B712" t="s">
        <v>197</v>
      </c>
      <c r="C712" t="s">
        <v>302</v>
      </c>
      <c r="D712" t="s">
        <v>97</v>
      </c>
      <c r="E712" t="s">
        <v>7</v>
      </c>
      <c r="F712" s="11">
        <v>45457</v>
      </c>
      <c r="H712" t="s">
        <v>96</v>
      </c>
      <c r="I712">
        <v>4</v>
      </c>
      <c r="J712" s="5">
        <v>3406</v>
      </c>
      <c r="K712" s="13">
        <v>100</v>
      </c>
      <c r="N712" s="5"/>
      <c r="Q712" s="14">
        <f>O712+Q711</f>
        <v>0</v>
      </c>
      <c r="R712" s="5" t="str">
        <f>TEXT(Table1[[#This Row],[Closing Date]],"yyyy")</f>
        <v>1900</v>
      </c>
      <c r="S712" s="5" t="str">
        <f>TEXT(Table1[[#This Row],[Closing Date]],"mmmm")</f>
        <v>January</v>
      </c>
      <c r="T712" s="5"/>
      <c r="U712" s="5"/>
    </row>
    <row r="713" spans="1:21" x14ac:dyDescent="0.25">
      <c r="B713" t="s">
        <v>197</v>
      </c>
      <c r="C713" s="17" t="s">
        <v>302</v>
      </c>
      <c r="D713" t="s">
        <v>97</v>
      </c>
      <c r="E713" t="s">
        <v>7</v>
      </c>
      <c r="F713" s="11">
        <v>45501</v>
      </c>
      <c r="H713" t="s">
        <v>52</v>
      </c>
      <c r="I713">
        <v>20</v>
      </c>
      <c r="J713" s="5">
        <v>3442</v>
      </c>
      <c r="K713" s="25">
        <v>100</v>
      </c>
      <c r="L713" s="21"/>
      <c r="N713" s="5"/>
      <c r="Q713" s="14">
        <f>O713+Q712</f>
        <v>0</v>
      </c>
      <c r="R713" s="21" t="str">
        <f>TEXT(Table1[[#This Row],[Closing Date]],"yyyy")</f>
        <v>1900</v>
      </c>
      <c r="S713" s="21" t="str">
        <f>TEXT(Table1[[#This Row],[Closing Date]],"mmmm")</f>
        <v>January</v>
      </c>
      <c r="T713" s="5"/>
      <c r="U713" s="5"/>
    </row>
    <row r="714" spans="1:21" x14ac:dyDescent="0.25">
      <c r="B714" t="s">
        <v>197</v>
      </c>
      <c r="C714" s="23" t="s">
        <v>306</v>
      </c>
      <c r="D714" t="s">
        <v>102</v>
      </c>
      <c r="E714" t="s">
        <v>7</v>
      </c>
      <c r="F714" s="11">
        <v>45509</v>
      </c>
      <c r="H714" t="s">
        <v>100</v>
      </c>
      <c r="I714">
        <v>10</v>
      </c>
      <c r="J714" s="5">
        <v>10007</v>
      </c>
      <c r="K714" s="25">
        <v>100</v>
      </c>
      <c r="L714" s="21"/>
      <c r="N714" s="5"/>
      <c r="Q714" s="14">
        <f>O714+Q713</f>
        <v>0</v>
      </c>
      <c r="R714" s="21" t="str">
        <f>TEXT(Table1[[#This Row],[Closing Date]],"yyyy")</f>
        <v>1900</v>
      </c>
      <c r="S714" s="21" t="str">
        <f>TEXT(Table1[[#This Row],[Closing Date]],"mmmm")</f>
        <v>January</v>
      </c>
      <c r="T714" s="5"/>
      <c r="U714" s="5"/>
    </row>
    <row r="715" spans="1:21" x14ac:dyDescent="0.25">
      <c r="B715" t="s">
        <v>197</v>
      </c>
      <c r="C715" t="s">
        <v>302</v>
      </c>
      <c r="D715" t="s">
        <v>99</v>
      </c>
      <c r="E715" t="s">
        <v>7</v>
      </c>
      <c r="F715" s="11">
        <v>45516</v>
      </c>
      <c r="H715" t="s">
        <v>322</v>
      </c>
      <c r="I715">
        <v>40</v>
      </c>
      <c r="J715" s="5">
        <v>2187.4699999999998</v>
      </c>
      <c r="K715" s="13">
        <v>100</v>
      </c>
      <c r="L715" s="21"/>
      <c r="N715" s="5"/>
      <c r="Q715" s="14">
        <f>O715+Q714</f>
        <v>0</v>
      </c>
      <c r="R715" s="21" t="str">
        <f>TEXT(Table1[[#This Row],[Closing Date]],"yyyy")</f>
        <v>1900</v>
      </c>
      <c r="S715" s="21" t="str">
        <f>TEXT(Table1[[#This Row],[Closing Date]],"mmmm")</f>
        <v>January</v>
      </c>
      <c r="T715" s="5"/>
      <c r="U715" s="5"/>
    </row>
    <row r="716" spans="1:21" x14ac:dyDescent="0.25">
      <c r="B716" t="s">
        <v>201</v>
      </c>
      <c r="C716" t="s">
        <v>303</v>
      </c>
      <c r="D716" t="s">
        <v>12</v>
      </c>
      <c r="E716" t="s">
        <v>7</v>
      </c>
      <c r="F716" s="11">
        <v>45519</v>
      </c>
      <c r="H716" t="s">
        <v>92</v>
      </c>
      <c r="I716">
        <v>2</v>
      </c>
      <c r="J716" s="5">
        <f>506220+765</f>
        <v>506985</v>
      </c>
      <c r="K716" s="13">
        <v>1000</v>
      </c>
      <c r="L716" s="21"/>
      <c r="N716" s="5"/>
      <c r="Q716" s="14">
        <f>O716+Q715</f>
        <v>0</v>
      </c>
      <c r="R716" s="21" t="str">
        <f>TEXT(Table1[[#This Row],[Closing Date]],"yyyy")</f>
        <v>1900</v>
      </c>
      <c r="S716" s="21" t="str">
        <f>TEXT(Table1[[#This Row],[Closing Date]],"mmmm")</f>
        <v>January</v>
      </c>
      <c r="T716" s="5"/>
      <c r="U716" s="5"/>
    </row>
    <row r="717" spans="1:21" x14ac:dyDescent="0.25">
      <c r="B717" s="18" t="s">
        <v>201</v>
      </c>
      <c r="C717" s="17" t="s">
        <v>303</v>
      </c>
      <c r="D717" s="17" t="s">
        <v>16</v>
      </c>
      <c r="E717" s="17" t="s">
        <v>7</v>
      </c>
      <c r="F717" s="19">
        <v>45519</v>
      </c>
      <c r="H717" t="s">
        <v>323</v>
      </c>
      <c r="I717">
        <v>5000</v>
      </c>
      <c r="J717" s="5">
        <f>155950+523</f>
        <v>156473</v>
      </c>
      <c r="K717" s="13">
        <v>1</v>
      </c>
      <c r="L717" s="21"/>
      <c r="N717" s="5"/>
      <c r="Q717" s="14">
        <f>O717+Q716</f>
        <v>0</v>
      </c>
      <c r="R717" s="21" t="str">
        <f>TEXT(Table1[[#This Row],[Closing Date]],"yyyy")</f>
        <v>1900</v>
      </c>
      <c r="S717" s="21" t="str">
        <f>TEXT(Table1[[#This Row],[Closing Date]],"mmmm")</f>
        <v>January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45524</v>
      </c>
      <c r="H718" t="s">
        <v>136</v>
      </c>
      <c r="I718">
        <v>100</v>
      </c>
      <c r="J718" s="5">
        <v>5469.94</v>
      </c>
      <c r="K718" s="13">
        <v>100</v>
      </c>
      <c r="L718" s="21">
        <f>2690.91</f>
        <v>2690.91</v>
      </c>
      <c r="N718" s="5"/>
      <c r="Q718" s="14">
        <f>O718+Q717</f>
        <v>0</v>
      </c>
      <c r="R718" s="21" t="str">
        <f>TEXT(Table1[[#This Row],[Closing Date]],"yyyy")</f>
        <v>1900</v>
      </c>
      <c r="S718" s="21" t="str">
        <f>TEXT(Table1[[#This Row],[Closing Date]],"mmmm")</f>
        <v>January</v>
      </c>
      <c r="T718" s="5"/>
      <c r="U718" s="5"/>
    </row>
    <row r="719" spans="1:21" x14ac:dyDescent="0.25">
      <c r="A719" s="16">
        <v>45562</v>
      </c>
      <c r="B719" t="s">
        <v>201</v>
      </c>
      <c r="C719" s="22" t="s">
        <v>305</v>
      </c>
      <c r="D719" t="s">
        <v>12</v>
      </c>
      <c r="E719" t="s">
        <v>7</v>
      </c>
      <c r="F719" s="11">
        <v>45525</v>
      </c>
      <c r="H719" t="s">
        <v>326</v>
      </c>
      <c r="I719">
        <v>80</v>
      </c>
      <c r="J719" s="5">
        <f>157187-23545</f>
        <v>133642</v>
      </c>
      <c r="K719" s="13">
        <v>100</v>
      </c>
      <c r="L719" s="21"/>
      <c r="N719" s="5"/>
      <c r="Q719" s="14">
        <f>O719+Q718</f>
        <v>0</v>
      </c>
      <c r="R719" s="21" t="str">
        <f>TEXT(Table1[[#This Row],[Closing Date]],"yyyy")</f>
        <v>1900</v>
      </c>
      <c r="S719" s="21" t="str">
        <f>TEXT(Table1[[#This Row],[Closing Date]],"mmmm")</f>
        <v>January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11">
        <v>45534</v>
      </c>
      <c r="H720" t="s">
        <v>206</v>
      </c>
      <c r="I720">
        <v>50</v>
      </c>
      <c r="J720" s="5">
        <v>4022.34</v>
      </c>
      <c r="K720" s="13">
        <v>100</v>
      </c>
      <c r="L720" s="21"/>
      <c r="M720" s="5">
        <f>J720/I720/K720</f>
        <v>0.80446799999999996</v>
      </c>
      <c r="N720" s="5"/>
      <c r="Q720" s="14">
        <f>O720+Q719</f>
        <v>0</v>
      </c>
      <c r="R720" s="21" t="str">
        <f>TEXT(Table1[[#This Row],[Closing Date]],"yyyy")</f>
        <v>1900</v>
      </c>
      <c r="S720" s="21" t="str">
        <f>TEXT(Table1[[#This Row],[Closing Date]],"mmmm")</f>
        <v>January</v>
      </c>
      <c r="T720" s="5"/>
      <c r="U720" s="5"/>
    </row>
    <row r="721" spans="2:21" x14ac:dyDescent="0.25">
      <c r="B721" t="s">
        <v>197</v>
      </c>
      <c r="C721" s="22" t="s">
        <v>303</v>
      </c>
      <c r="D721" s="22" t="s">
        <v>102</v>
      </c>
      <c r="E721" s="22" t="s">
        <v>7</v>
      </c>
      <c r="F721" s="11">
        <v>45539</v>
      </c>
      <c r="H721" s="20" t="s">
        <v>37</v>
      </c>
      <c r="I721">
        <v>6</v>
      </c>
      <c r="J721" s="5">
        <v>5104.13</v>
      </c>
      <c r="K721" s="13">
        <v>100</v>
      </c>
      <c r="L721" s="21"/>
      <c r="M721" s="5">
        <f>J721/I721/K721</f>
        <v>8.5068833333333345</v>
      </c>
      <c r="N721" s="5"/>
      <c r="Q721" s="14">
        <f>O721+Q720</f>
        <v>0</v>
      </c>
      <c r="R721" s="21" t="str">
        <f>TEXT(Table1[[#This Row],[Closing Date]],"yyyy")</f>
        <v>1900</v>
      </c>
      <c r="S721" s="21" t="str">
        <f>TEXT(Table1[[#This Row],[Closing Date]],"mmmm")</f>
        <v>January</v>
      </c>
      <c r="T721" s="5"/>
      <c r="U721" s="5"/>
    </row>
    <row r="722" spans="2:21" x14ac:dyDescent="0.25">
      <c r="B722" t="s">
        <v>201</v>
      </c>
      <c r="C722" t="s">
        <v>303</v>
      </c>
      <c r="D722" t="s">
        <v>16</v>
      </c>
      <c r="E722" t="s">
        <v>7</v>
      </c>
      <c r="F722" s="11">
        <v>45539</v>
      </c>
      <c r="H722" s="20" t="s">
        <v>312</v>
      </c>
      <c r="I722">
        <v>3500</v>
      </c>
      <c r="J722" s="5">
        <v>103250</v>
      </c>
      <c r="K722" s="13">
        <v>1</v>
      </c>
      <c r="L722" s="21">
        <f>35500-23.65</f>
        <v>35476.35</v>
      </c>
      <c r="M722" s="5">
        <f>J722/I722/K722</f>
        <v>29.5</v>
      </c>
      <c r="N722" s="5"/>
      <c r="Q722" s="14">
        <f>O722+Q721</f>
        <v>0</v>
      </c>
      <c r="R722" s="21" t="str">
        <f>TEXT(Table1[[#This Row],[Closing Date]],"yyyy")</f>
        <v>1900</v>
      </c>
      <c r="S722" s="21" t="str">
        <f>TEXT(Table1[[#This Row],[Closing Date]],"mmmm")</f>
        <v>January</v>
      </c>
      <c r="T722" s="5"/>
      <c r="U722" s="5"/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P702:P1048576 O683:P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2024-09-04T20:45:19Z</dcterms:modified>
</cp:coreProperties>
</file>