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2D598E62-70DE-457F-BE60-84517861C9A0}" xr6:coauthVersionLast="47" xr6:coauthVersionMax="47" xr10:uidLastSave="{00000000-0000-0000-0000-000000000000}"/>
  <bookViews>
    <workbookView xWindow="28755" yWindow="-16320" windowWidth="29040" windowHeight="15720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8" i="15" l="1"/>
  <c r="R696" i="15"/>
  <c r="R697" i="15"/>
  <c r="R698" i="15"/>
  <c r="R699" i="15"/>
  <c r="R700" i="15"/>
  <c r="R701" i="15"/>
  <c r="S696" i="15"/>
  <c r="S697" i="15"/>
  <c r="S698" i="15"/>
  <c r="S699" i="15"/>
  <c r="S700" i="15"/>
  <c r="S701" i="15"/>
  <c r="R695" i="15"/>
  <c r="S695" i="15"/>
  <c r="R694" i="15"/>
  <c r="S694" i="15"/>
  <c r="L685" i="15"/>
  <c r="L692" i="15"/>
  <c r="R690" i="15"/>
  <c r="R691" i="15"/>
  <c r="R692" i="15"/>
  <c r="R693" i="15"/>
  <c r="S690" i="15"/>
  <c r="S691" i="15"/>
  <c r="S692" i="15"/>
  <c r="S693" i="15"/>
  <c r="R689" i="15"/>
  <c r="S689" i="15"/>
  <c r="Q688" i="15"/>
  <c r="Q689" i="15" s="1"/>
  <c r="Q690" i="15" s="1"/>
  <c r="Q691" i="15" s="1"/>
  <c r="Q692" i="15" s="1"/>
  <c r="Q693" i="15" s="1"/>
  <c r="Q694" i="15" s="1"/>
  <c r="Q695" i="15" s="1"/>
  <c r="Q696" i="15" s="1"/>
  <c r="Q697" i="15" s="1"/>
  <c r="Q698" i="15" s="1"/>
  <c r="Q699" i="15" s="1"/>
  <c r="Q700" i="15" s="1"/>
  <c r="Q701" i="15" s="1"/>
  <c r="R688" i="15"/>
  <c r="S688" i="15"/>
  <c r="R677" i="28"/>
  <c r="R678" i="28"/>
  <c r="R679" i="28"/>
  <c r="R680" i="28"/>
  <c r="R681" i="28"/>
  <c r="Q677" i="28"/>
  <c r="Q678" i="28"/>
  <c r="Q679" i="28"/>
  <c r="Q680" i="28"/>
  <c r="Q681" i="28"/>
  <c r="M681" i="28"/>
  <c r="L681" i="28"/>
  <c r="I681" i="28"/>
  <c r="N680" i="15"/>
  <c r="J680" i="15"/>
  <c r="P680" i="15" s="1"/>
  <c r="N679" i="15"/>
  <c r="M679" i="15"/>
  <c r="O679" i="15"/>
  <c r="P679" i="15" s="1"/>
  <c r="R680" i="15"/>
  <c r="S680" i="15"/>
  <c r="R687" i="15"/>
  <c r="S687" i="15"/>
  <c r="R686" i="15"/>
  <c r="S686" i="15"/>
  <c r="J678" i="15"/>
  <c r="P678" i="15" s="1"/>
  <c r="O678" i="15"/>
  <c r="L678" i="15"/>
  <c r="N678" i="15" s="1"/>
  <c r="R678" i="15"/>
  <c r="S678" i="15"/>
  <c r="R685" i="15"/>
  <c r="S685" i="15"/>
  <c r="R679" i="15"/>
  <c r="S679" i="15"/>
  <c r="R684" i="15"/>
  <c r="S684" i="15"/>
  <c r="R683" i="15"/>
  <c r="S683" i="15"/>
  <c r="R676" i="28"/>
  <c r="Q676" i="28"/>
  <c r="M676" i="28"/>
  <c r="I676" i="28"/>
  <c r="O676" i="28" s="1"/>
  <c r="L677" i="28"/>
  <c r="K677" i="28"/>
  <c r="N677" i="28" s="1"/>
  <c r="R675" i="28"/>
  <c r="Q675" i="28"/>
  <c r="M675" i="28"/>
  <c r="I675" i="28"/>
  <c r="O675" i="28" s="1"/>
  <c r="R674" i="28"/>
  <c r="Q674" i="28"/>
  <c r="O674" i="28"/>
  <c r="L674" i="28"/>
  <c r="K674" i="28"/>
  <c r="M674" i="28" s="1"/>
  <c r="R673" i="28"/>
  <c r="Q673" i="28"/>
  <c r="M673" i="28"/>
  <c r="I673" i="28"/>
  <c r="O673" i="28" s="1"/>
  <c r="R672" i="28"/>
  <c r="Q672" i="28"/>
  <c r="N672" i="28"/>
  <c r="O672" i="28" s="1"/>
  <c r="M672" i="28"/>
  <c r="L672" i="28"/>
  <c r="R671" i="28"/>
  <c r="Q671" i="28"/>
  <c r="N671" i="28"/>
  <c r="M671" i="28"/>
  <c r="L671" i="28"/>
  <c r="R670" i="28"/>
  <c r="Q670" i="28"/>
  <c r="N670" i="28"/>
  <c r="I670" i="28"/>
  <c r="L670" i="28" s="1"/>
  <c r="R669" i="28"/>
  <c r="Q669" i="28"/>
  <c r="O669" i="28"/>
  <c r="L669" i="28"/>
  <c r="K669" i="28"/>
  <c r="M669" i="28" s="1"/>
  <c r="R668" i="28"/>
  <c r="Q668" i="28"/>
  <c r="O668" i="28"/>
  <c r="L668" i="28"/>
  <c r="K668" i="28"/>
  <c r="M668" i="28" s="1"/>
  <c r="R667" i="28"/>
  <c r="Q667" i="28"/>
  <c r="I667" i="28"/>
  <c r="O667" i="28" s="1"/>
  <c r="R666" i="28"/>
  <c r="Q666" i="28"/>
  <c r="O666" i="28"/>
  <c r="L666" i="28"/>
  <c r="K666" i="28"/>
  <c r="M666" i="28" s="1"/>
  <c r="R665" i="28"/>
  <c r="Q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O663" i="28"/>
  <c r="L663" i="28"/>
  <c r="K663" i="28"/>
  <c r="M663" i="28" s="1"/>
  <c r="R662" i="28"/>
  <c r="Q662" i="28"/>
  <c r="I662" i="28"/>
  <c r="L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O658" i="28"/>
  <c r="L658" i="28"/>
  <c r="K658" i="28"/>
  <c r="M658" i="28" s="1"/>
  <c r="R657" i="28"/>
  <c r="Q657" i="28"/>
  <c r="N657" i="28"/>
  <c r="K657" i="28" s="1"/>
  <c r="M657" i="28" s="1"/>
  <c r="L657" i="28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O651" i="28"/>
  <c r="L651" i="28"/>
  <c r="K651" i="28"/>
  <c r="M651" i="28" s="1"/>
  <c r="R650" i="28"/>
  <c r="Q650" i="28"/>
  <c r="N650" i="28"/>
  <c r="I650" i="28"/>
  <c r="K650" i="28" s="1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O639" i="28"/>
  <c r="L639" i="28"/>
  <c r="K639" i="28"/>
  <c r="M639" i="28" s="1"/>
  <c r="R638" i="28"/>
  <c r="Q638" i="28"/>
  <c r="N638" i="28"/>
  <c r="I638" i="28"/>
  <c r="L638" i="28" s="1"/>
  <c r="R637" i="28"/>
  <c r="Q637" i="28"/>
  <c r="O637" i="28"/>
  <c r="L637" i="28"/>
  <c r="K637" i="28"/>
  <c r="M637" i="28" s="1"/>
  <c r="R636" i="28"/>
  <c r="Q636" i="28"/>
  <c r="M636" i="28"/>
  <c r="L636" i="28"/>
  <c r="R635" i="28"/>
  <c r="Q635" i="28"/>
  <c r="N635" i="28"/>
  <c r="O635" i="28" s="1"/>
  <c r="L635" i="28"/>
  <c r="R634" i="28"/>
  <c r="Q634" i="28"/>
  <c r="N634" i="28"/>
  <c r="K634" i="28" s="1"/>
  <c r="M634" i="28" s="1"/>
  <c r="L634" i="28"/>
  <c r="R633" i="28"/>
  <c r="Q633" i="28"/>
  <c r="M633" i="28"/>
  <c r="L633" i="28"/>
  <c r="R632" i="28"/>
  <c r="Q632" i="28"/>
  <c r="M632" i="28"/>
  <c r="L632" i="28"/>
  <c r="R631" i="28"/>
  <c r="Q631" i="28"/>
  <c r="R630" i="28"/>
  <c r="Q630" i="28"/>
  <c r="O630" i="28"/>
  <c r="L630" i="28"/>
  <c r="K630" i="28"/>
  <c r="M630" i="28" s="1"/>
  <c r="R629" i="28"/>
  <c r="Q629" i="28"/>
  <c r="N629" i="28"/>
  <c r="I629" i="28"/>
  <c r="K629" i="28" s="1"/>
  <c r="M629" i="28" s="1"/>
  <c r="R628" i="28"/>
  <c r="Q628" i="28"/>
  <c r="M628" i="28"/>
  <c r="L628" i="28"/>
  <c r="R627" i="28"/>
  <c r="Q627" i="28"/>
  <c r="M627" i="28"/>
  <c r="L627" i="28"/>
  <c r="R626" i="28"/>
  <c r="Q626" i="28"/>
  <c r="M626" i="28"/>
  <c r="L626" i="28"/>
  <c r="R625" i="28"/>
  <c r="Q625" i="28"/>
  <c r="N625" i="28"/>
  <c r="I625" i="28"/>
  <c r="R624" i="28"/>
  <c r="Q624" i="28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O621" i="28"/>
  <c r="L621" i="28"/>
  <c r="K621" i="28"/>
  <c r="M621" i="28" s="1"/>
  <c r="R620" i="28"/>
  <c r="Q620" i="28"/>
  <c r="M620" i="28"/>
  <c r="L620" i="28"/>
  <c r="R619" i="28"/>
  <c r="Q619" i="28"/>
  <c r="N619" i="28"/>
  <c r="O619" i="28" s="1"/>
  <c r="M619" i="28"/>
  <c r="L619" i="28"/>
  <c r="R618" i="28"/>
  <c r="Q618" i="28"/>
  <c r="N618" i="28"/>
  <c r="M618" i="28"/>
  <c r="L618" i="28"/>
  <c r="R617" i="28"/>
  <c r="Q617" i="28"/>
  <c r="O617" i="28"/>
  <c r="L617" i="28"/>
  <c r="K617" i="28"/>
  <c r="M617" i="28" s="1"/>
  <c r="R616" i="28"/>
  <c r="Q616" i="28"/>
  <c r="M616" i="28"/>
  <c r="L616" i="28"/>
  <c r="R615" i="28"/>
  <c r="Q615" i="28"/>
  <c r="M615" i="28"/>
  <c r="L615" i="28"/>
  <c r="R614" i="28"/>
  <c r="Q614" i="28"/>
  <c r="M614" i="28"/>
  <c r="L614" i="28"/>
  <c r="R613" i="28"/>
  <c r="Q613" i="28"/>
  <c r="N613" i="28"/>
  <c r="I613" i="28"/>
  <c r="L613" i="28" s="1"/>
  <c r="R612" i="28"/>
  <c r="Q612" i="28"/>
  <c r="O612" i="28"/>
  <c r="L612" i="28"/>
  <c r="K612" i="28"/>
  <c r="M612" i="28" s="1"/>
  <c r="R611" i="28"/>
  <c r="Q611" i="28"/>
  <c r="O611" i="28"/>
  <c r="L611" i="28"/>
  <c r="K611" i="28"/>
  <c r="M611" i="28" s="1"/>
  <c r="R610" i="28"/>
  <c r="Q610" i="28"/>
  <c r="M610" i="28"/>
  <c r="L610" i="28"/>
  <c r="R609" i="28"/>
  <c r="Q609" i="28"/>
  <c r="O609" i="28"/>
  <c r="L609" i="28"/>
  <c r="K609" i="28"/>
  <c r="M609" i="28" s="1"/>
  <c r="R608" i="28"/>
  <c r="Q608" i="28"/>
  <c r="R607" i="28"/>
  <c r="Q607" i="28"/>
  <c r="N607" i="28"/>
  <c r="I607" i="28"/>
  <c r="R606" i="28"/>
  <c r="Q606" i="28"/>
  <c r="R605" i="28"/>
  <c r="Q605" i="28"/>
  <c r="R604" i="28"/>
  <c r="Q604" i="28"/>
  <c r="R603" i="28"/>
  <c r="Q603" i="28"/>
  <c r="R602" i="28"/>
  <c r="Q602" i="28"/>
  <c r="O602" i="28"/>
  <c r="L602" i="28"/>
  <c r="K602" i="28"/>
  <c r="M602" i="28" s="1"/>
  <c r="R601" i="28"/>
  <c r="Q601" i="28"/>
  <c r="L601" i="28"/>
  <c r="K601" i="28"/>
  <c r="N601" i="28" s="1"/>
  <c r="R600" i="28"/>
  <c r="Q600" i="28"/>
  <c r="R599" i="28"/>
  <c r="Q599" i="28"/>
  <c r="N599" i="28"/>
  <c r="O599" i="28" s="1"/>
  <c r="M599" i="28"/>
  <c r="L599" i="28"/>
  <c r="R598" i="28"/>
  <c r="Q598" i="28"/>
  <c r="R597" i="28"/>
  <c r="Q597" i="28"/>
  <c r="R596" i="28"/>
  <c r="Q596" i="28"/>
  <c r="R595" i="28"/>
  <c r="Q595" i="28"/>
  <c r="R594" i="28"/>
  <c r="Q594" i="28"/>
  <c r="R593" i="28"/>
  <c r="Q593" i="28"/>
  <c r="N593" i="28"/>
  <c r="O593" i="28" s="1"/>
  <c r="M593" i="28"/>
  <c r="L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R584" i="28"/>
  <c r="Q584" i="28"/>
  <c r="N584" i="28"/>
  <c r="O584" i="28" s="1"/>
  <c r="M584" i="28"/>
  <c r="L584" i="28"/>
  <c r="R583" i="28"/>
  <c r="Q583" i="28"/>
  <c r="R582" i="28"/>
  <c r="Q582" i="28"/>
  <c r="N582" i="28"/>
  <c r="M582" i="28"/>
  <c r="L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R570" i="28"/>
  <c r="Q570" i="28"/>
  <c r="L570" i="28"/>
  <c r="K570" i="28"/>
  <c r="N570" i="28" s="1"/>
  <c r="R569" i="28"/>
  <c r="Q569" i="28"/>
  <c r="R568" i="28"/>
  <c r="Q568" i="28"/>
  <c r="R567" i="28"/>
  <c r="Q567" i="28"/>
  <c r="R566" i="28"/>
  <c r="Q566" i="28"/>
  <c r="R565" i="28"/>
  <c r="Q565" i="28"/>
  <c r="N565" i="28"/>
  <c r="L565" i="28"/>
  <c r="K565" i="28"/>
  <c r="M565" i="28" s="1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9" i="28"/>
  <c r="Q549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L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L682" i="15"/>
  <c r="O682" i="15"/>
  <c r="R682" i="15"/>
  <c r="S682" i="15"/>
  <c r="N676" i="15"/>
  <c r="J676" i="15"/>
  <c r="P676" i="15" s="1"/>
  <c r="R676" i="15"/>
  <c r="S676" i="15"/>
  <c r="O681" i="15"/>
  <c r="L681" i="15"/>
  <c r="R681" i="15"/>
  <c r="S681" i="15"/>
  <c r="M677" i="15"/>
  <c r="L677" i="15"/>
  <c r="O677" i="15" s="1"/>
  <c r="P677" i="15" s="1"/>
  <c r="R677" i="15"/>
  <c r="S677" i="15"/>
  <c r="O671" i="15"/>
  <c r="P671" i="15" s="1"/>
  <c r="M671" i="15"/>
  <c r="N671" i="15"/>
  <c r="R671" i="15"/>
  <c r="S671" i="15"/>
  <c r="N675" i="15"/>
  <c r="J675" i="15"/>
  <c r="P675" i="15" s="1"/>
  <c r="M674" i="15"/>
  <c r="N674" i="15"/>
  <c r="P674" i="15"/>
  <c r="L674" i="15"/>
  <c r="N673" i="15"/>
  <c r="J673" i="15"/>
  <c r="P673" i="15" s="1"/>
  <c r="R673" i="15"/>
  <c r="R674" i="15"/>
  <c r="R675" i="15"/>
  <c r="S673" i="15"/>
  <c r="S674" i="15"/>
  <c r="S675" i="15"/>
  <c r="O672" i="15"/>
  <c r="P672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49" i="15"/>
  <c r="S549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L565" i="15"/>
  <c r="O565" i="15" s="1"/>
  <c r="P565" i="15" s="1"/>
  <c r="M565" i="15"/>
  <c r="R565" i="15"/>
  <c r="S565" i="15"/>
  <c r="R566" i="15"/>
  <c r="S566" i="15"/>
  <c r="R567" i="15"/>
  <c r="S567" i="15"/>
  <c r="R568" i="15"/>
  <c r="S568" i="15"/>
  <c r="R569" i="15"/>
  <c r="S569" i="15"/>
  <c r="L570" i="15"/>
  <c r="O570" i="15" s="1"/>
  <c r="P570" i="15" s="1"/>
  <c r="M570" i="15"/>
  <c r="N570" i="15"/>
  <c r="R570" i="15"/>
  <c r="S570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M582" i="15"/>
  <c r="N582" i="15"/>
  <c r="O582" i="15"/>
  <c r="P582" i="15" s="1"/>
  <c r="R582" i="15"/>
  <c r="S582" i="15"/>
  <c r="R583" i="15"/>
  <c r="S583" i="15"/>
  <c r="M584" i="15"/>
  <c r="N584" i="15"/>
  <c r="O584" i="15"/>
  <c r="P584" i="15" s="1"/>
  <c r="R584" i="15"/>
  <c r="S584" i="15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M593" i="15"/>
  <c r="N593" i="15"/>
  <c r="O593" i="15"/>
  <c r="P593" i="15" s="1"/>
  <c r="R593" i="15"/>
  <c r="S593" i="15"/>
  <c r="R594" i="15"/>
  <c r="S594" i="15"/>
  <c r="R595" i="15"/>
  <c r="S595" i="15"/>
  <c r="R596" i="15"/>
  <c r="S596" i="15"/>
  <c r="R597" i="15"/>
  <c r="S597" i="15"/>
  <c r="R598" i="15"/>
  <c r="S598" i="15"/>
  <c r="M599" i="15"/>
  <c r="N599" i="15"/>
  <c r="O599" i="15"/>
  <c r="P599" i="15" s="1"/>
  <c r="R599" i="15"/>
  <c r="S599" i="15"/>
  <c r="R600" i="15"/>
  <c r="S600" i="15"/>
  <c r="L601" i="15"/>
  <c r="M601" i="15"/>
  <c r="R601" i="15"/>
  <c r="S601" i="15"/>
  <c r="L602" i="15"/>
  <c r="N602" i="15" s="1"/>
  <c r="M602" i="15"/>
  <c r="P602" i="15"/>
  <c r="R602" i="15"/>
  <c r="S602" i="15"/>
  <c r="R603" i="15"/>
  <c r="S603" i="15"/>
  <c r="R604" i="15"/>
  <c r="S604" i="15"/>
  <c r="R605" i="15"/>
  <c r="S605" i="15"/>
  <c r="R606" i="15"/>
  <c r="S606" i="15"/>
  <c r="J607" i="15"/>
  <c r="O607" i="15"/>
  <c r="R607" i="15"/>
  <c r="S607" i="15"/>
  <c r="R608" i="15"/>
  <c r="S608" i="15"/>
  <c r="L609" i="15"/>
  <c r="N609" i="15" s="1"/>
  <c r="M609" i="15"/>
  <c r="P609" i="15"/>
  <c r="R609" i="15"/>
  <c r="S609" i="15"/>
  <c r="M610" i="15"/>
  <c r="N610" i="15"/>
  <c r="R610" i="15"/>
  <c r="S610" i="15"/>
  <c r="L611" i="15"/>
  <c r="N611" i="15" s="1"/>
  <c r="M611" i="15"/>
  <c r="P611" i="15"/>
  <c r="R611" i="15"/>
  <c r="S611" i="15"/>
  <c r="L612" i="15"/>
  <c r="N612" i="15" s="1"/>
  <c r="M612" i="15"/>
  <c r="P612" i="15"/>
  <c r="R612" i="15"/>
  <c r="S612" i="15"/>
  <c r="J613" i="15"/>
  <c r="M613" i="15" s="1"/>
  <c r="O613" i="15"/>
  <c r="R613" i="15"/>
  <c r="S613" i="15"/>
  <c r="M614" i="15"/>
  <c r="N614" i="15"/>
  <c r="R614" i="15"/>
  <c r="S614" i="15"/>
  <c r="M615" i="15"/>
  <c r="N615" i="15"/>
  <c r="R615" i="15"/>
  <c r="S615" i="15"/>
  <c r="M616" i="15"/>
  <c r="N616" i="15"/>
  <c r="R616" i="15"/>
  <c r="S616" i="15"/>
  <c r="L617" i="15"/>
  <c r="N617" i="15" s="1"/>
  <c r="M617" i="15"/>
  <c r="P617" i="15"/>
  <c r="R617" i="15"/>
  <c r="S617" i="15"/>
  <c r="M618" i="15"/>
  <c r="N618" i="15"/>
  <c r="O618" i="15"/>
  <c r="P618" i="15" s="1"/>
  <c r="R618" i="15"/>
  <c r="S618" i="15"/>
  <c r="M619" i="15"/>
  <c r="N619" i="15"/>
  <c r="O619" i="15"/>
  <c r="P619" i="15" s="1"/>
  <c r="R619" i="15"/>
  <c r="S619" i="15"/>
  <c r="M620" i="15"/>
  <c r="N620" i="15"/>
  <c r="R620" i="15"/>
  <c r="S620" i="15"/>
  <c r="L621" i="15"/>
  <c r="N621" i="15" s="1"/>
  <c r="M621" i="15"/>
  <c r="P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R624" i="15"/>
  <c r="S624" i="15"/>
  <c r="J625" i="15"/>
  <c r="M625" i="15"/>
  <c r="O625" i="15"/>
  <c r="P625" i="15"/>
  <c r="R625" i="15"/>
  <c r="S625" i="15"/>
  <c r="M626" i="15"/>
  <c r="N626" i="15"/>
  <c r="R626" i="15"/>
  <c r="S626" i="15"/>
  <c r="M627" i="15"/>
  <c r="N627" i="15"/>
  <c r="R627" i="15"/>
  <c r="S627" i="15"/>
  <c r="M628" i="15"/>
  <c r="N628" i="15"/>
  <c r="R628" i="15"/>
  <c r="S628" i="15"/>
  <c r="J629" i="15"/>
  <c r="M629" i="15" s="1"/>
  <c r="O629" i="15"/>
  <c r="P629" i="15" s="1"/>
  <c r="R629" i="15"/>
  <c r="S629" i="15"/>
  <c r="L630" i="15"/>
  <c r="N630" i="15" s="1"/>
  <c r="M630" i="15"/>
  <c r="P630" i="15"/>
  <c r="R630" i="15"/>
  <c r="S630" i="15"/>
  <c r="R631" i="15"/>
  <c r="S631" i="15"/>
  <c r="M632" i="15"/>
  <c r="N632" i="15"/>
  <c r="R632" i="15"/>
  <c r="S632" i="15"/>
  <c r="M633" i="15"/>
  <c r="N633" i="15"/>
  <c r="R633" i="15"/>
  <c r="S633" i="15"/>
  <c r="M634" i="15"/>
  <c r="O634" i="15"/>
  <c r="P634" i="15" s="1"/>
  <c r="R634" i="15"/>
  <c r="S634" i="15"/>
  <c r="M635" i="15"/>
  <c r="O635" i="15"/>
  <c r="P635" i="15" s="1"/>
  <c r="R635" i="15"/>
  <c r="S635" i="15"/>
  <c r="M636" i="15"/>
  <c r="N636" i="15"/>
  <c r="R636" i="15"/>
  <c r="S636" i="15"/>
  <c r="L637" i="15"/>
  <c r="N637" i="15" s="1"/>
  <c r="M637" i="15"/>
  <c r="P637" i="15"/>
  <c r="R637" i="15"/>
  <c r="S637" i="15"/>
  <c r="J638" i="15"/>
  <c r="P638" i="15" s="1"/>
  <c r="M638" i="15"/>
  <c r="O638" i="15"/>
  <c r="R638" i="15"/>
  <c r="S638" i="15"/>
  <c r="L639" i="15"/>
  <c r="N639" i="15" s="1"/>
  <c r="M639" i="15"/>
  <c r="P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J650" i="15"/>
  <c r="M650" i="15" s="1"/>
  <c r="O650" i="15"/>
  <c r="R650" i="15"/>
  <c r="S650" i="15"/>
  <c r="L651" i="15"/>
  <c r="N651" i="15" s="1"/>
  <c r="M651" i="15"/>
  <c r="P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M657" i="15"/>
  <c r="O657" i="15"/>
  <c r="P657" i="15" s="1"/>
  <c r="R657" i="15"/>
  <c r="S657" i="15"/>
  <c r="L658" i="15"/>
  <c r="N658" i="15" s="1"/>
  <c r="M658" i="15"/>
  <c r="P658" i="15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J662" i="15"/>
  <c r="O662" i="15" s="1"/>
  <c r="M662" i="15"/>
  <c r="R662" i="15"/>
  <c r="S662" i="15"/>
  <c r="L663" i="15"/>
  <c r="N663" i="15" s="1"/>
  <c r="M663" i="15"/>
  <c r="P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R665" i="15"/>
  <c r="S665" i="15"/>
  <c r="L666" i="15"/>
  <c r="N666" i="15" s="1"/>
  <c r="M666" i="15"/>
  <c r="P666" i="15"/>
  <c r="R666" i="15"/>
  <c r="S666" i="15"/>
  <c r="J667" i="15"/>
  <c r="P667" i="15" s="1"/>
  <c r="R667" i="15"/>
  <c r="S667" i="15"/>
  <c r="L668" i="15"/>
  <c r="N668" i="15" s="1"/>
  <c r="M668" i="15"/>
  <c r="P668" i="15"/>
  <c r="R668" i="15"/>
  <c r="S668" i="15"/>
  <c r="L669" i="15"/>
  <c r="N669" i="15" s="1"/>
  <c r="M669" i="15"/>
  <c r="P669" i="15"/>
  <c r="R669" i="15"/>
  <c r="S669" i="15"/>
  <c r="J670" i="15"/>
  <c r="M670" i="15"/>
  <c r="O670" i="15"/>
  <c r="R670" i="15"/>
  <c r="S670" i="15"/>
  <c r="M672" i="15"/>
  <c r="N672" i="15"/>
  <c r="R672" i="15"/>
  <c r="S672" i="15"/>
  <c r="L638" i="15" l="1"/>
  <c r="N638" i="15" s="1"/>
  <c r="N677" i="15"/>
  <c r="L613" i="15"/>
  <c r="N613" i="15" s="1"/>
  <c r="N473" i="15"/>
  <c r="P670" i="15"/>
  <c r="P650" i="15"/>
  <c r="P607" i="15"/>
  <c r="M667" i="15"/>
  <c r="L667" i="15"/>
  <c r="N667" i="15" s="1"/>
  <c r="N565" i="15"/>
  <c r="O542" i="15"/>
  <c r="P542" i="15" s="1"/>
  <c r="M381" i="15"/>
  <c r="O531" i="15"/>
  <c r="P531" i="15" s="1"/>
  <c r="L670" i="15"/>
  <c r="N670" i="15" s="1"/>
  <c r="L657" i="15"/>
  <c r="N657" i="15" s="1"/>
  <c r="P613" i="15"/>
  <c r="O519" i="15"/>
  <c r="P519" i="15" s="1"/>
  <c r="L607" i="15"/>
  <c r="N607" i="15" s="1"/>
  <c r="M680" i="15"/>
  <c r="O638" i="28"/>
  <c r="M677" i="28"/>
  <c r="K625" i="28"/>
  <c r="M625" i="28" s="1"/>
  <c r="N542" i="28"/>
  <c r="O542" i="28" s="1"/>
  <c r="M473" i="28"/>
  <c r="M678" i="15"/>
  <c r="O607" i="28"/>
  <c r="K613" i="28"/>
  <c r="M613" i="28" s="1"/>
  <c r="O650" i="28"/>
  <c r="N665" i="28"/>
  <c r="O665" i="28" s="1"/>
  <c r="K638" i="28"/>
  <c r="M638" i="28" s="1"/>
  <c r="N662" i="28"/>
  <c r="K662" i="28" s="1"/>
  <c r="M662" i="28" s="1"/>
  <c r="O662" i="28" s="1"/>
  <c r="K667" i="28"/>
  <c r="M667" i="28" s="1"/>
  <c r="L667" i="28"/>
  <c r="L675" i="28"/>
  <c r="O570" i="28"/>
  <c r="O519" i="28"/>
  <c r="O601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P549" i="28" s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O381" i="28"/>
  <c r="O531" i="28"/>
  <c r="L625" i="28"/>
  <c r="L629" i="28"/>
  <c r="L673" i="28"/>
  <c r="O677" i="28"/>
  <c r="L519" i="28"/>
  <c r="O613" i="28"/>
  <c r="K670" i="28"/>
  <c r="M670" i="28" s="1"/>
  <c r="L531" i="28"/>
  <c r="O625" i="28"/>
  <c r="O629" i="28"/>
  <c r="O449" i="28"/>
  <c r="O657" i="28"/>
  <c r="O582" i="28"/>
  <c r="M601" i="28"/>
  <c r="O670" i="28"/>
  <c r="O618" i="28"/>
  <c r="K607" i="28"/>
  <c r="M607" i="28" s="1"/>
  <c r="O634" i="28"/>
  <c r="L607" i="28"/>
  <c r="L676" i="28"/>
  <c r="M570" i="28"/>
  <c r="K635" i="28"/>
  <c r="M635" i="28" s="1"/>
  <c r="O671" i="28"/>
  <c r="L650" i="28"/>
  <c r="O510" i="28"/>
  <c r="O473" i="28"/>
  <c r="O565" i="28"/>
  <c r="M676" i="15"/>
  <c r="M673" i="15"/>
  <c r="M675" i="15"/>
  <c r="L634" i="15"/>
  <c r="N634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Q549" i="15" s="1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L635" i="15"/>
  <c r="N635" i="15" s="1"/>
  <c r="L625" i="15"/>
  <c r="N625" i="15" s="1"/>
  <c r="N601" i="15"/>
  <c r="O601" i="15"/>
  <c r="P510" i="15"/>
  <c r="L650" i="15"/>
  <c r="N650" i="15" s="1"/>
  <c r="P449" i="15"/>
  <c r="L629" i="15"/>
  <c r="N629" i="15" s="1"/>
  <c r="L662" i="15"/>
  <c r="N662" i="15" s="1"/>
  <c r="P662" i="15" s="1"/>
  <c r="M607" i="15"/>
  <c r="O665" i="15"/>
  <c r="P665" i="15" l="1"/>
  <c r="P601" i="15"/>
  <c r="Q601" i="15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P676" i="28" l="1"/>
  <c r="P677" i="28" s="1"/>
  <c r="P678" i="28" s="1"/>
  <c r="P679" i="28" s="1"/>
  <c r="P680" i="28" s="1"/>
  <c r="P681" i="28" s="1"/>
</calcChain>
</file>

<file path=xl/sharedStrings.xml><?xml version="1.0" encoding="utf-8"?>
<sst xmlns="http://schemas.openxmlformats.org/spreadsheetml/2006/main" count="9677" uniqueCount="322">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</sst>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0" fillId="3" borderId="3" xfId="0" applyFont="1" applyFill="1" applyBorder="1"/>
    <xf numFmtId="44" fontId="0" fillId="0" borderId="0" xfId="1" applyNumberFormat="1" applyFont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2" fontId="0" fillId="3" borderId="3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200682.47845814005</c:v>
                </c:pt>
                <c:pt idx="629">
                  <c:v>214143.98845814005</c:v>
                </c:pt>
                <c:pt idx="630">
                  <c:v>215758.98845814005</c:v>
                </c:pt>
                <c:pt idx="631">
                  <c:v>216214.98845814005</c:v>
                </c:pt>
                <c:pt idx="632">
                  <c:v>211715.46326376649</c:v>
                </c:pt>
                <c:pt idx="633">
                  <c:v>206918.89160139399</c:v>
                </c:pt>
                <c:pt idx="634">
                  <c:v>207263.52160139399</c:v>
                </c:pt>
                <c:pt idx="635">
                  <c:v>204956.05160139399</c:v>
                </c:pt>
                <c:pt idx="636">
                  <c:v>209954.961601394</c:v>
                </c:pt>
                <c:pt idx="637">
                  <c:v>212441.38160139401</c:v>
                </c:pt>
                <c:pt idx="638">
                  <c:v>202549.88160139401</c:v>
                </c:pt>
                <c:pt idx="639">
                  <c:v>197336.13160139401</c:v>
                </c:pt>
                <c:pt idx="640">
                  <c:v>177958.85160139401</c:v>
                </c:pt>
                <c:pt idx="641">
                  <c:v>172934.57160139401</c:v>
                </c:pt>
                <c:pt idx="642">
                  <c:v>170924.57160139401</c:v>
                </c:pt>
                <c:pt idx="643">
                  <c:v>170385.61160139402</c:v>
                </c:pt>
                <c:pt idx="644">
                  <c:v>170392.93160139403</c:v>
                </c:pt>
                <c:pt idx="645">
                  <c:v>167831.15160139403</c:v>
                </c:pt>
                <c:pt idx="646">
                  <c:v>171059.18160139403</c:v>
                </c:pt>
                <c:pt idx="647">
                  <c:v>187900.60160139401</c:v>
                </c:pt>
                <c:pt idx="648">
                  <c:v>190723.08160139402</c:v>
                </c:pt>
                <c:pt idx="649">
                  <c:v>184448.34160139403</c:v>
                </c:pt>
                <c:pt idx="650">
                  <c:v>198511.26160139404</c:v>
                </c:pt>
                <c:pt idx="651">
                  <c:v>207738.85160139404</c:v>
                </c:pt>
                <c:pt idx="652">
                  <c:v>202778.13160139404</c:v>
                </c:pt>
                <c:pt idx="653">
                  <c:v>197790.70160139404</c:v>
                </c:pt>
                <c:pt idx="654">
                  <c:v>191254.95160139404</c:v>
                </c:pt>
                <c:pt idx="655">
                  <c:v>199266.71160139405</c:v>
                </c:pt>
                <c:pt idx="656">
                  <c:v>201407.39160139405</c:v>
                </c:pt>
                <c:pt idx="657">
                  <c:v>203436.69160139404</c:v>
                </c:pt>
                <c:pt idx="658">
                  <c:v>212895.25160139403</c:v>
                </c:pt>
                <c:pt idx="659">
                  <c:v>203091.85160139404</c:v>
                </c:pt>
                <c:pt idx="660">
                  <c:v>186711.22581368216</c:v>
                </c:pt>
                <c:pt idx="661">
                  <c:v>181484.87581368216</c:v>
                </c:pt>
                <c:pt idx="662">
                  <c:v>175442.97581368216</c:v>
                </c:pt>
                <c:pt idx="663">
                  <c:v>196191.63581368217</c:v>
                </c:pt>
                <c:pt idx="664">
                  <c:v>186316.51581368217</c:v>
                </c:pt>
                <c:pt idx="665">
                  <c:v>175232.51581368217</c:v>
                </c:pt>
                <c:pt idx="666">
                  <c:v>179902.77581368218</c:v>
                </c:pt>
                <c:pt idx="667">
                  <c:v>193922.70581368217</c:v>
                </c:pt>
                <c:pt idx="668">
                  <c:v>192131.30581368218</c:v>
                </c:pt>
                <c:pt idx="669">
                  <c:v>156017.7958136822</c:v>
                </c:pt>
                <c:pt idx="670">
                  <c:v>157050.8558136822</c:v>
                </c:pt>
                <c:pt idx="671">
                  <c:v>148049.8558136822</c:v>
                </c:pt>
                <c:pt idx="672">
                  <c:v>142883.8558136822</c:v>
                </c:pt>
                <c:pt idx="673">
                  <c:v>137757.8558136822</c:v>
                </c:pt>
                <c:pt idx="674">
                  <c:v>131407.8558136822</c:v>
                </c:pt>
                <c:pt idx="675">
                  <c:v>156796.36581368221</c:v>
                </c:pt>
                <c:pt idx="676">
                  <c:v>170089.36581368221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45511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200682.47845814005</c:v>
                </c:pt>
                <c:pt idx="629">
                  <c:v>214143.98845814005</c:v>
                </c:pt>
                <c:pt idx="630">
                  <c:v>215758.98845814005</c:v>
                </c:pt>
                <c:pt idx="631">
                  <c:v>216214.98845814005</c:v>
                </c:pt>
                <c:pt idx="632">
                  <c:v>211715.46326376649</c:v>
                </c:pt>
                <c:pt idx="633">
                  <c:v>206918.89160139399</c:v>
                </c:pt>
                <c:pt idx="634">
                  <c:v>207263.52160139399</c:v>
                </c:pt>
                <c:pt idx="635">
                  <c:v>204956.05160139399</c:v>
                </c:pt>
                <c:pt idx="636">
                  <c:v>209954.961601394</c:v>
                </c:pt>
                <c:pt idx="637">
                  <c:v>212441.38160139401</c:v>
                </c:pt>
                <c:pt idx="638">
                  <c:v>202549.88160139401</c:v>
                </c:pt>
                <c:pt idx="639">
                  <c:v>197336.13160139401</c:v>
                </c:pt>
                <c:pt idx="640">
                  <c:v>177958.85160139401</c:v>
                </c:pt>
                <c:pt idx="641">
                  <c:v>172934.57160139401</c:v>
                </c:pt>
                <c:pt idx="642">
                  <c:v>170924.57160139401</c:v>
                </c:pt>
                <c:pt idx="643">
                  <c:v>170385.61160139402</c:v>
                </c:pt>
                <c:pt idx="644">
                  <c:v>170392.93160139403</c:v>
                </c:pt>
                <c:pt idx="645">
                  <c:v>167831.15160139403</c:v>
                </c:pt>
                <c:pt idx="646">
                  <c:v>171059.18160139403</c:v>
                </c:pt>
                <c:pt idx="647">
                  <c:v>187900.60160139401</c:v>
                </c:pt>
                <c:pt idx="648">
                  <c:v>190723.08160139402</c:v>
                </c:pt>
                <c:pt idx="649">
                  <c:v>184448.34160139403</c:v>
                </c:pt>
                <c:pt idx="650">
                  <c:v>198511.26160139404</c:v>
                </c:pt>
                <c:pt idx="651">
                  <c:v>207738.85160139404</c:v>
                </c:pt>
                <c:pt idx="652">
                  <c:v>202778.13160139404</c:v>
                </c:pt>
                <c:pt idx="653">
                  <c:v>197790.70160139404</c:v>
                </c:pt>
                <c:pt idx="654">
                  <c:v>191254.95160139404</c:v>
                </c:pt>
                <c:pt idx="655">
                  <c:v>199266.71160139405</c:v>
                </c:pt>
                <c:pt idx="656">
                  <c:v>201407.39160139405</c:v>
                </c:pt>
                <c:pt idx="657">
                  <c:v>203436.69160139404</c:v>
                </c:pt>
                <c:pt idx="658">
                  <c:v>212895.25160139403</c:v>
                </c:pt>
                <c:pt idx="659">
                  <c:v>203091.85160139404</c:v>
                </c:pt>
                <c:pt idx="660">
                  <c:v>186711.22581368216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681" totalsRowShown="0" dataDxfId="29" dataCellStyle="Currency">
  <autoFilter ref="A1:T681" xr:uid="{0321047A-259E-4994-BC3F-CB9C1AF5C84F}"/>
  <sortState xmlns:xlrd2="http://schemas.microsoft.com/office/spreadsheetml/2017/richdata2" ref="A2:T677">
    <sortCondition ref="F1:F677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28" dataCellStyle="Currency"/>
    <tableColumn id="5" xr3:uid="{C5870440-06DE-41B2-AEEC-2D38CA6E405E}" name="Closing Date" dataDxfId="27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26" dataCellStyle="Currency"/>
    <tableColumn id="20" xr3:uid="{0CFDE31F-AE41-47D7-8763-F64C5DB23FC7}" name="Multiplier" dataDxfId="25" dataCellStyle="Currency"/>
    <tableColumn id="11" xr3:uid="{F6554748-03B1-40B5-9C7A-CB6A98A9A2E2}" name="Close Value" dataDxfId="24" dataCellStyle="Currency"/>
    <tableColumn id="9" xr3:uid="{B390A274-83E4-47DF-940A-C3B96ECD4F57}" name="Price" dataDxfId="23" dataCellStyle="Currency"/>
    <tableColumn id="12" xr3:uid="{E3050D62-4B36-46D9-80DD-4DFAD51C24FE}" name="Close Price" dataDxfId="22" dataCellStyle="Currency"/>
    <tableColumn id="13" xr3:uid="{B671D135-740F-4980-BF51-2F8C012A140E}" name="PnL" dataDxfId="21" dataCellStyle="Currency"/>
    <tableColumn id="14" xr3:uid="{B0AA16D6-19FD-462C-A120-4BFC09F58F8D}" name="PnL %" dataDxfId="20" dataCellStyle="Percent"/>
    <tableColumn id="15" xr3:uid="{C890DF47-021A-41ED-A979-7B1A016A8191}" name="Rolling PnL" dataDxfId="19">
      <calculatedColumnFormula>N2+P1</calculatedColumnFormula>
    </tableColumn>
    <tableColumn id="18" xr3:uid="{B584EE24-F384-4617-908D-997737B2B78E}" name="Year" dataDxfId="18" dataCellStyle="Currency">
      <calculatedColumnFormula>TEXT(Table13[[#This Row],[Closing Date]],"yyyy")</calculatedColumnFormula>
    </tableColumn>
    <tableColumn id="19" xr3:uid="{9D69110D-43A4-4475-88BC-C5ACA1132B9F}" name="Month" dataDxfId="17" dataCellStyle="Currency">
      <calculatedColumnFormula>TEXT(Table13[[#This Row],[Closing Date]],"mmmm")</calculatedColumnFormula>
    </tableColumn>
    <tableColumn id="16" xr3:uid="{C54D3AB8-EA31-47B0-A3B0-525345E4BD97}" name="ONH" dataDxfId="16" dataCellStyle="Currency"/>
    <tableColumn id="10" xr3:uid="{F20181C0-C72D-4E9C-808F-EF961E6C7558}" name="Account" dataDxfId="15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01" totalsRowShown="0" dataDxfId="14" dataCellStyle="Currency">
  <autoFilter ref="B1:U701" xr:uid="{0321047A-259E-4994-BC3F-CB9C1AF5C84F}"/>
  <sortState xmlns:xlrd2="http://schemas.microsoft.com/office/spreadsheetml/2017/richdata2" ref="B2:U687">
    <sortCondition ref="G1:G687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13" dataCellStyle="Currency"/>
    <tableColumn id="5" xr3:uid="{59CB2B49-D9AD-4172-BAE6-E0A2644B4F93}" name="Closing Date" dataDxfId="12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11" dataCellStyle="Currency"/>
    <tableColumn id="20" xr3:uid="{52228CF8-C92E-4177-970C-3AA0CF8370AC}" name="Multiplier" dataDxfId="10" dataCellStyle="Currency"/>
    <tableColumn id="11" xr3:uid="{5011ECDA-3B09-4088-8968-B5868A11A7A8}" name="Close Value" dataDxfId="9" dataCellStyle="Currency"/>
    <tableColumn id="9" xr3:uid="{E6076FC7-23E1-4B1E-A462-3959C3E1ACD5}" name="Price" dataDxfId="8" dataCellStyle="Currency"/>
    <tableColumn id="12" xr3:uid="{4DF03376-5DC8-4023-A9CA-7A5B870DC3C1}" name="Close Price" dataDxfId="7" dataCellStyle="Currency"/>
    <tableColumn id="13" xr3:uid="{9DAB774C-EA79-4F9F-BFDF-D150D5D567B4}" name="PnL" dataDxfId="6" dataCellStyle="Currency"/>
    <tableColumn id="14" xr3:uid="{1DD246CF-E95F-47D3-9C5E-2BD1A53CDBE2}" name="PnL %" dataDxfId="5" dataCellStyle="Percent"/>
    <tableColumn id="15" xr3:uid="{7EE8F9A3-1681-4DBC-B6E2-018EDEFBAFBA}" name="Rolling PnL" dataDxfId="4">
      <calculatedColumnFormula>O2+Q1</calculatedColumnFormula>
    </tableColumn>
    <tableColumn id="18" xr3:uid="{2A2A4645-9CA6-4F56-92D4-F4E60B2D28F9}" name="Year" dataDxfId="3" dataCellStyle="Currency">
      <calculatedColumnFormula>TEXT(Table1[[#This Row],[Closing Date]],"yyyy")</calculatedColumnFormula>
    </tableColumn>
    <tableColumn id="19" xr3:uid="{57C91844-55C6-4FDE-86B2-D3BEB61A54BE}" name="Month" dataDxfId="2" dataCellStyle="Currency">
      <calculatedColumnFormula>TEXT(Table1[[#This Row],[Closing Date]],"mmmm")</calculatedColumnFormula>
    </tableColumn>
    <tableColumn id="16" xr3:uid="{D48C620A-A514-4FE5-8A5C-971B574A96B4}" name="ONH" dataDxfId="1" dataCellStyle="Currency"/>
    <tableColumn id="10" xr3:uid="{E7BCFBBC-C95D-444A-BD1E-CCA8A1CC739D}" name="Accoun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681"/>
  <sheetViews>
    <sheetView tabSelected="1" workbookViewId="0">
      <pane ySplit="1" topLeftCell="A658" activePane="bottomLeft" state="frozen"/>
      <selection pane="bottomLeft" activeCell="F686" sqref="F686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9.4257812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 t="shared" ref="P3:P66" si="0"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 t="shared" si="0"/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 t="shared" si="0"/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 t="shared" si="0"/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 t="shared" si="0"/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 t="shared" si="0"/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 t="shared" si="0"/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 t="shared" si="0"/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 t="shared" si="0"/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 t="shared" si="0"/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 t="shared" si="0"/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 t="shared" si="0"/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 t="shared" si="0"/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 t="shared" si="0"/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 t="shared" si="0"/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 t="shared" si="0"/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 t="shared" si="0"/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 t="shared" si="0"/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 t="shared" si="0"/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 t="shared" si="0"/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 t="shared" si="0"/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 t="shared" si="0"/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 t="shared" si="0"/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 t="shared" si="0"/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 t="shared" si="0"/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 t="shared" si="0"/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 t="shared" si="0"/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 t="shared" si="0"/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 t="shared" si="0"/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 t="shared" si="0"/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 t="shared" si="0"/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 t="shared" si="0"/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 t="shared" si="0"/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 t="shared" si="0"/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 t="shared" si="0"/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 t="shared" si="0"/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 t="shared" si="0"/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 t="shared" si="0"/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 t="shared" si="0"/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 t="shared" si="0"/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 t="shared" si="0"/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 t="shared" si="0"/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 t="shared" si="0"/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 t="shared" si="0"/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 t="shared" si="0"/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 t="shared" si="0"/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 t="shared" si="0"/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 t="shared" si="0"/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 t="shared" si="0"/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 t="shared" si="0"/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 t="shared" si="0"/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 t="shared" si="0"/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 t="shared" si="0"/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 t="shared" si="0"/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 t="shared" si="0"/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 t="shared" si="0"/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 t="shared" si="0"/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 t="shared" si="0"/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 t="shared" si="0"/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 t="shared" si="0"/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 t="shared" si="0"/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 t="shared" si="0"/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 t="shared" si="0"/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 t="shared" si="0"/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 t="shared" ref="P67:P130" si="1"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 t="shared" si="1"/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 t="shared" si="1"/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 t="shared" si="1"/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 t="shared" si="1"/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 t="shared" si="1"/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 t="shared" si="1"/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 t="shared" si="1"/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 t="shared" si="1"/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 t="shared" si="1"/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 t="shared" si="1"/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 t="shared" si="1"/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 t="shared" si="1"/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 t="shared" si="1"/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 t="shared" si="1"/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 t="shared" si="1"/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 t="shared" si="1"/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 t="shared" si="1"/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 t="shared" si="1"/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 t="shared" si="1"/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 t="shared" si="1"/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 t="shared" si="1"/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 t="shared" si="1"/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 t="shared" si="1"/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 t="shared" si="1"/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 t="shared" si="1"/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 t="shared" si="1"/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 t="shared" si="1"/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 t="shared" si="1"/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 t="shared" si="1"/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 t="shared" si="1"/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 t="shared" si="1"/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 t="shared" si="1"/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 t="shared" si="1"/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 t="shared" si="1"/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 t="shared" si="1"/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 t="shared" si="1"/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 t="shared" si="1"/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 t="shared" si="1"/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 t="shared" si="1"/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 t="shared" si="1"/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 t="shared" si="1"/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 t="shared" si="1"/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 t="shared" si="1"/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 t="shared" si="1"/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 t="shared" si="1"/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 t="shared" si="1"/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 t="shared" si="1"/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 t="shared" si="1"/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 t="shared" si="1"/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 t="shared" si="1"/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 t="shared" si="1"/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 t="shared" si="1"/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 t="shared" si="1"/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 t="shared" si="1"/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 t="shared" si="1"/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 t="shared" si="1"/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 t="shared" si="1"/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 t="shared" si="1"/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 t="shared" si="1"/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 t="shared" si="1"/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 t="shared" si="1"/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 t="shared" si="1"/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 t="shared" si="1"/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 t="shared" ref="P131:P194" si="2"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 t="shared" si="2"/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 t="shared" si="2"/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 t="shared" si="2"/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 t="shared" si="2"/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 t="shared" si="2"/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 t="shared" si="2"/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 t="shared" si="2"/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 t="shared" si="2"/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 t="shared" si="2"/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 t="shared" si="2"/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 t="shared" si="2"/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 t="shared" si="2"/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 t="shared" si="2"/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 t="shared" si="2"/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 t="shared" si="2"/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 t="shared" si="2"/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 t="shared" si="2"/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 t="shared" si="2"/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 t="shared" si="2"/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 t="shared" si="2"/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 t="shared" si="2"/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 t="shared" si="2"/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 t="shared" si="2"/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 t="shared" si="2"/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 t="shared" si="2"/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 t="shared" si="2"/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 t="shared" si="2"/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 t="shared" si="2"/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 t="shared" si="2"/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 t="shared" si="2"/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 t="shared" si="2"/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 t="shared" si="2"/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 t="shared" si="2"/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 t="shared" si="2"/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 t="shared" si="2"/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 t="shared" si="2"/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 t="shared" si="2"/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 t="shared" si="2"/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 t="shared" si="2"/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 t="shared" si="2"/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 t="shared" si="2"/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 t="shared" si="2"/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 t="shared" si="2"/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 t="shared" si="2"/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 t="shared" si="2"/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 t="shared" si="2"/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 t="shared" si="2"/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 t="shared" si="2"/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 t="shared" si="2"/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 t="shared" si="2"/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 t="shared" si="2"/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 t="shared" si="2"/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 t="shared" si="2"/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 t="shared" si="2"/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 t="shared" si="2"/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 t="shared" si="2"/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 t="shared" si="2"/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 t="shared" si="2"/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 t="shared" si="2"/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 t="shared" si="2"/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 t="shared" si="2"/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 t="shared" si="2"/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 t="shared" si="2"/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 t="shared" ref="P195:P258" si="3"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 t="shared" si="3"/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 t="shared" si="3"/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 t="shared" si="3"/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 t="shared" si="3"/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 t="shared" si="3"/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 t="shared" si="3"/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 t="shared" si="3"/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 t="shared" si="3"/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 t="shared" si="3"/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 t="shared" si="3"/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 t="shared" si="3"/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 t="shared" si="3"/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 t="shared" si="3"/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 t="shared" si="3"/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 t="shared" si="3"/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 t="shared" si="3"/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 t="shared" si="3"/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 t="shared" si="3"/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 t="shared" si="3"/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 t="shared" si="3"/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 t="shared" si="3"/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 t="shared" si="3"/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 t="shared" si="3"/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 t="shared" si="3"/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 t="shared" si="3"/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 t="shared" si="3"/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 t="shared" si="3"/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 t="shared" si="3"/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 t="shared" si="3"/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 t="shared" si="3"/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 t="shared" si="3"/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 t="shared" si="3"/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 t="shared" si="3"/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 t="shared" si="3"/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 t="shared" si="3"/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 t="shared" si="3"/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 t="shared" si="3"/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 t="shared" si="3"/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 t="shared" si="3"/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 t="shared" si="3"/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 t="shared" si="3"/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 t="shared" si="3"/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 t="shared" si="3"/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 t="shared" si="3"/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 t="shared" si="3"/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 t="shared" si="3"/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 t="shared" si="3"/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 t="shared" si="3"/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 t="shared" si="3"/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 t="shared" si="3"/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 t="shared" si="3"/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 t="shared" si="3"/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 t="shared" si="3"/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 t="shared" si="3"/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 t="shared" si="3"/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 t="shared" si="3"/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 t="shared" si="3"/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 t="shared" si="3"/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 t="shared" si="3"/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 t="shared" si="3"/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 t="shared" si="3"/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 t="shared" si="3"/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 t="shared" si="3"/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 t="shared" ref="P259:P322" si="4"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 t="shared" si="4"/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 t="shared" si="4"/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 t="shared" si="4"/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 t="shared" si="4"/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 t="shared" si="4"/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 t="shared" si="4"/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 t="shared" si="4"/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 t="shared" si="4"/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 t="shared" si="4"/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 t="shared" si="4"/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 t="shared" si="4"/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 t="shared" si="4"/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 t="shared" si="4"/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 t="shared" si="4"/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 t="shared" si="4"/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 t="shared" si="4"/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 t="shared" si="4"/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 t="shared" si="4"/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 t="shared" si="4"/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 t="shared" si="4"/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 t="shared" si="4"/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 t="shared" si="4"/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 t="shared" si="4"/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 t="shared" si="4"/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 t="shared" si="4"/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 t="shared" si="4"/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 t="shared" si="4"/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 t="shared" si="4"/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 t="shared" si="4"/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 t="shared" si="4"/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 t="shared" si="4"/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 t="shared" si="4"/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 t="shared" si="4"/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 t="shared" si="4"/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 t="shared" si="4"/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 t="shared" si="4"/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 t="shared" si="4"/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 t="shared" si="4"/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 t="shared" si="4"/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 t="shared" si="4"/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 t="shared" si="4"/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 t="shared" si="4"/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 t="shared" si="4"/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 t="shared" si="4"/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 t="shared" si="4"/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 t="shared" si="4"/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 t="shared" si="4"/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 t="shared" si="4"/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 t="shared" si="4"/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 t="shared" si="4"/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 t="shared" si="4"/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 t="shared" si="4"/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 t="shared" si="4"/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 t="shared" si="4"/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 t="shared" si="4"/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 t="shared" si="4"/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 t="shared" si="4"/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 t="shared" si="4"/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 t="shared" si="4"/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 t="shared" si="4"/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 t="shared" si="4"/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 t="shared" si="4"/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 t="shared" si="4"/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 t="shared" ref="P323:P386" si="5"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 t="shared" si="5"/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 t="shared" si="5"/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 t="shared" si="5"/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 t="shared" si="5"/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 t="shared" si="5"/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 t="shared" si="5"/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 t="shared" si="5"/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 t="shared" si="5"/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 t="shared" si="5"/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 t="shared" si="5"/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 t="shared" si="5"/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 t="shared" si="5"/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 t="shared" si="5"/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 t="shared" si="5"/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 t="shared" si="5"/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 t="shared" si="5"/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 t="shared" si="5"/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 t="shared" si="5"/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 t="shared" si="5"/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 t="shared" si="5"/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 t="shared" si="5"/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 t="shared" si="5"/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 t="shared" si="5"/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 t="shared" si="5"/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 t="shared" si="5"/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 t="shared" si="5"/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 t="shared" si="5"/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 t="shared" si="5"/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 t="shared" si="5"/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 t="shared" si="5"/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 t="shared" si="5"/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 t="shared" si="5"/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 t="shared" si="5"/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 t="shared" si="5"/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 t="shared" si="5"/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 t="shared" si="5"/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 t="shared" si="5"/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 t="shared" si="5"/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 t="shared" si="5"/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 t="shared" si="5"/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 t="shared" si="5"/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 t="shared" si="5"/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 t="shared" si="5"/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 t="shared" si="5"/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 t="shared" si="5"/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 t="shared" si="5"/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 t="shared" si="5"/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 t="shared" si="5"/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 t="shared" si="5"/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 t="shared" si="5"/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 t="shared" si="5"/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 t="shared" si="5"/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 t="shared" si="5"/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 t="shared" si="5"/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 t="shared" si="5"/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 t="shared" si="5"/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 t="shared" si="5"/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 t="shared" si="5"/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 t="shared" si="5"/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 t="shared" si="5"/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 t="shared" si="5"/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 t="shared" si="5"/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 t="shared" si="5"/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 t="shared" ref="P387:P450" si="6"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 t="shared" si="6"/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 t="shared" si="6"/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 t="shared" si="6"/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 t="shared" si="6"/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 t="shared" si="6"/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 t="shared" si="6"/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 t="shared" si="6"/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 t="shared" si="6"/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 t="shared" si="6"/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 t="shared" si="6"/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 t="shared" si="6"/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 t="shared" si="6"/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 t="shared" si="6"/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 t="shared" si="6"/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 t="shared" si="6"/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 t="shared" si="6"/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 t="shared" si="6"/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 t="shared" si="6"/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 t="shared" si="6"/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 t="shared" si="6"/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 t="shared" si="6"/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 t="shared" si="6"/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 t="shared" si="6"/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 t="shared" si="6"/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 t="shared" si="6"/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 t="shared" si="6"/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 t="shared" si="6"/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 t="shared" si="6"/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 t="shared" si="6"/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 t="shared" si="6"/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 t="shared" si="6"/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 t="shared" si="6"/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 t="shared" si="6"/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 t="shared" si="6"/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 t="shared" si="6"/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 t="shared" si="6"/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 t="shared" si="6"/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 t="shared" si="6"/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 t="shared" si="6"/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 t="shared" si="6"/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 t="shared" si="6"/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 t="shared" si="6"/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 t="shared" si="6"/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 t="shared" si="6"/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 t="shared" si="6"/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 t="shared" si="6"/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 t="shared" si="6"/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 t="shared" si="6"/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 t="shared" si="6"/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 t="shared" si="6"/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 t="shared" si="6"/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 t="shared" si="6"/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 t="shared" si="6"/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 t="shared" si="6"/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 t="shared" si="6"/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 t="shared" si="6"/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 t="shared" si="6"/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 t="shared" si="6"/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 t="shared" si="6"/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 t="shared" si="6"/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 t="shared" si="6"/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 t="shared" si="6"/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197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 t="shared" si="6"/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 t="shared" ref="P451:P514" si="7"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 t="shared" si="7"/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 t="shared" si="7"/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 t="shared" si="7"/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 t="shared" si="7"/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 t="shared" si="7"/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 t="shared" si="7"/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 t="shared" si="7"/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 t="shared" si="7"/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 t="shared" si="7"/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 t="shared" si="7"/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 t="shared" si="7"/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 t="shared" si="7"/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 t="shared" si="7"/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 t="shared" si="7"/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 t="shared" si="7"/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 t="shared" si="7"/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 t="shared" si="7"/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 t="shared" si="7"/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 t="shared" si="7"/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 t="shared" si="7"/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 t="shared" si="7"/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 t="shared" si="7"/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 t="shared" si="7"/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 t="shared" si="7"/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 t="shared" si="7"/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 t="shared" si="7"/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 t="shared" si="7"/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 t="shared" si="7"/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 t="shared" si="7"/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 t="shared" si="7"/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 t="shared" si="7"/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 t="shared" si="7"/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 t="shared" si="7"/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 t="shared" si="7"/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 t="shared" si="7"/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 t="shared" si="7"/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 t="shared" si="7"/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 t="shared" si="7"/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 t="shared" si="7"/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 t="shared" si="7"/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 t="shared" si="7"/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 t="shared" si="7"/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 t="shared" si="7"/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 t="shared" si="7"/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 t="shared" si="7"/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 t="shared" si="7"/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 t="shared" si="7"/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 t="shared" si="7"/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 t="shared" si="7"/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 t="shared" si="7"/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 t="shared" si="7"/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 t="shared" si="7"/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 t="shared" si="7"/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 t="shared" si="7"/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 t="shared" si="7"/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 t="shared" si="7"/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 t="shared" si="7"/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 t="shared" si="7"/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 t="shared" si="7"/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 t="shared" si="7"/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 t="shared" si="7"/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 t="shared" si="7"/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 t="shared" si="7"/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 t="shared" ref="P515:P578" si="8"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 t="shared" si="8"/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 t="shared" si="8"/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 t="shared" si="8"/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 t="shared" si="8"/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 t="shared" si="8"/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 t="shared" si="8"/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 t="shared" si="8"/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 t="shared" si="8"/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 t="shared" si="8"/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 t="shared" si="8"/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 t="shared" si="8"/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 t="shared" si="8"/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5"/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 t="shared" si="8"/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 t="shared" si="8"/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 t="shared" si="8"/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 t="shared" si="8"/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5"/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 t="shared" si="8"/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 t="shared" si="8"/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 t="shared" si="8"/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 t="shared" si="8"/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 t="shared" si="8"/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 t="shared" si="8"/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 t="shared" si="8"/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 t="shared" si="8"/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 t="shared" si="8"/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 t="shared" si="8"/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302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 t="shared" si="8"/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 t="shared" si="8"/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 t="shared" si="8"/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 t="shared" si="8"/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 t="shared" si="8"/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 t="shared" si="8"/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 t="shared" si="8"/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5"/>
      <c r="F549" s="7">
        <v>45400</v>
      </c>
      <c r="G549" t="s">
        <v>11</v>
      </c>
      <c r="H549">
        <v>150</v>
      </c>
      <c r="I549" s="5">
        <v>128626.5</v>
      </c>
      <c r="K549" s="5">
        <v>122797.47</v>
      </c>
      <c r="L549" s="5">
        <v>857.51</v>
      </c>
      <c r="M549" s="5">
        <v>818.64980000000003</v>
      </c>
      <c r="N549" s="5">
        <v>-5829.0299999999988</v>
      </c>
      <c r="O549" s="3">
        <v>-4.5317489008874522E-2</v>
      </c>
      <c r="P549" s="9">
        <f t="shared" si="8"/>
        <v>291896.42845814012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301</v>
      </c>
    </row>
    <row r="550" spans="1:20" x14ac:dyDescent="0.25">
      <c r="A550" t="s">
        <v>201</v>
      </c>
      <c r="B550" t="s">
        <v>306</v>
      </c>
      <c r="C550" t="s">
        <v>12</v>
      </c>
      <c r="D550" t="s">
        <v>7</v>
      </c>
      <c r="E550" s="5"/>
      <c r="F550" s="7">
        <v>45400</v>
      </c>
      <c r="G550" t="s">
        <v>85</v>
      </c>
      <c r="H550">
        <v>10</v>
      </c>
      <c r="I550" s="5">
        <v>64052</v>
      </c>
      <c r="K550" s="5">
        <v>59905.3</v>
      </c>
      <c r="L550" s="5">
        <v>64052</v>
      </c>
      <c r="M550" s="5">
        <v>5.9905300000000006</v>
      </c>
      <c r="N550" s="5">
        <v>-4146.6999999999971</v>
      </c>
      <c r="O550" s="3">
        <v>-6.4739586585898914E-2</v>
      </c>
      <c r="P550" s="9">
        <f t="shared" si="8"/>
        <v>287749.7284581401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303</v>
      </c>
      <c r="C551" t="s">
        <v>12</v>
      </c>
      <c r="D551" t="s">
        <v>7</v>
      </c>
      <c r="E551" s="5"/>
      <c r="F551" s="7">
        <v>45401</v>
      </c>
      <c r="G551" t="s">
        <v>44</v>
      </c>
      <c r="H551">
        <v>2</v>
      </c>
      <c r="I551" s="5">
        <v>394006.04</v>
      </c>
      <c r="K551" s="5">
        <v>376525</v>
      </c>
      <c r="L551" s="5">
        <v>39400.603999999999</v>
      </c>
      <c r="M551" s="5">
        <v>3765.25</v>
      </c>
      <c r="N551" s="5">
        <v>-17481.039999999979</v>
      </c>
      <c r="O551" s="3">
        <v>-4.4367441676782367E-2</v>
      </c>
      <c r="P551" s="9">
        <f t="shared" si="8"/>
        <v>270268.68845814012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302</v>
      </c>
      <c r="C552" t="s">
        <v>12</v>
      </c>
      <c r="D552" t="s">
        <v>7</v>
      </c>
      <c r="E552" s="5"/>
      <c r="F552" s="7">
        <v>45404</v>
      </c>
      <c r="G552" t="s">
        <v>89</v>
      </c>
      <c r="H552">
        <v>4</v>
      </c>
      <c r="I552" s="5">
        <v>415923.8</v>
      </c>
      <c r="K552" s="5">
        <v>415890.8</v>
      </c>
      <c r="L552" s="5">
        <v>2079.6190000000001</v>
      </c>
      <c r="M552" s="5">
        <v>2079.4539999999997</v>
      </c>
      <c r="N552" s="5">
        <v>-33</v>
      </c>
      <c r="O552" s="3">
        <v>-7.9341456295600301E-5</v>
      </c>
      <c r="P552" s="9">
        <f t="shared" si="8"/>
        <v>270235.68845814012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16</v>
      </c>
      <c r="D553" t="s">
        <v>7</v>
      </c>
      <c r="E553" s="5"/>
      <c r="F553" s="7">
        <v>45405</v>
      </c>
      <c r="G553" t="s">
        <v>182</v>
      </c>
      <c r="H553">
        <v>10000</v>
      </c>
      <c r="I553" s="5">
        <v>206728.24</v>
      </c>
      <c r="K553" s="5">
        <v>218874.94</v>
      </c>
      <c r="L553" s="5">
        <v>20.672823999999999</v>
      </c>
      <c r="M553" s="5">
        <v>21.887494</v>
      </c>
      <c r="N553" s="5">
        <v>12146.700000000012</v>
      </c>
      <c r="O553" s="3">
        <v>5.8756849088445834E-2</v>
      </c>
      <c r="P553" s="9">
        <f t="shared" si="8"/>
        <v>282382.38845814014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303</v>
      </c>
      <c r="C554" t="s">
        <v>16</v>
      </c>
      <c r="D554" t="s">
        <v>7</v>
      </c>
      <c r="E554" s="5"/>
      <c r="F554" s="7">
        <v>45407</v>
      </c>
      <c r="G554" t="s">
        <v>263</v>
      </c>
      <c r="H554">
        <v>5000</v>
      </c>
      <c r="I554" s="5">
        <v>64872.5</v>
      </c>
      <c r="K554" s="5">
        <v>61623.68</v>
      </c>
      <c r="L554" s="5">
        <v>12.974500000000001</v>
      </c>
      <c r="M554" s="5">
        <v>12.324736</v>
      </c>
      <c r="N554" s="5">
        <v>-3248.8199999999997</v>
      </c>
      <c r="O554" s="3">
        <v>-5.0080080157231491E-2</v>
      </c>
      <c r="P554" s="9">
        <f t="shared" si="8"/>
        <v>279133.56845814013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259</v>
      </c>
      <c r="H555">
        <v>3200</v>
      </c>
      <c r="I555" s="5">
        <v>79821.53</v>
      </c>
      <c r="K555" s="5">
        <v>91182.74</v>
      </c>
      <c r="L555" s="5">
        <v>24.944228124999999</v>
      </c>
      <c r="M555" s="5">
        <v>28.49460625</v>
      </c>
      <c r="N555" s="5">
        <v>11361.210000000006</v>
      </c>
      <c r="O555" s="3">
        <v>0.14233265135358852</v>
      </c>
      <c r="P555" s="9">
        <f t="shared" si="8"/>
        <v>290494.77845814015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45408</v>
      </c>
      <c r="G556" t="s">
        <v>260</v>
      </c>
      <c r="H556">
        <v>1400</v>
      </c>
      <c r="I556" s="5">
        <v>115675</v>
      </c>
      <c r="K556" s="5">
        <v>111118.24</v>
      </c>
      <c r="L556" s="5">
        <v>82.625</v>
      </c>
      <c r="M556" s="5">
        <v>79.370171428571439</v>
      </c>
      <c r="N556" s="5">
        <v>-4726</v>
      </c>
      <c r="O556" s="3">
        <v>-4.0855846120596499E-2</v>
      </c>
      <c r="P556" s="9">
        <f t="shared" si="8"/>
        <v>285768.77845814015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256</v>
      </c>
      <c r="H557">
        <v>1000</v>
      </c>
      <c r="I557" s="5">
        <v>110109.87</v>
      </c>
      <c r="K557" s="5">
        <v>109954.87</v>
      </c>
      <c r="L557" s="5">
        <v>110.10987</v>
      </c>
      <c r="M557" s="5">
        <v>109.95487</v>
      </c>
      <c r="N557" s="5">
        <v>-155</v>
      </c>
      <c r="O557" s="3">
        <v>-4.2920766321856527E-2</v>
      </c>
      <c r="P557" s="9">
        <f t="shared" si="8"/>
        <v>285613.77845814015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306</v>
      </c>
      <c r="C558" t="s">
        <v>12</v>
      </c>
      <c r="D558" t="s">
        <v>7</v>
      </c>
      <c r="E558" s="5"/>
      <c r="F558" s="7">
        <v>45408</v>
      </c>
      <c r="G558" t="s">
        <v>86</v>
      </c>
      <c r="H558">
        <v>60</v>
      </c>
      <c r="I558" s="5">
        <v>281760</v>
      </c>
      <c r="K558" s="5">
        <v>273265.8</v>
      </c>
      <c r="L558" s="5">
        <v>4.6959999999999997</v>
      </c>
      <c r="M558" s="5">
        <v>4.55443</v>
      </c>
      <c r="N558" s="5">
        <v>-8494.2000000000116</v>
      </c>
      <c r="O558" s="3">
        <v>-3.0146933560477044E-2</v>
      </c>
      <c r="P558" s="9">
        <f t="shared" si="8"/>
        <v>277119.57845814014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197</v>
      </c>
      <c r="B559" t="s">
        <v>302</v>
      </c>
      <c r="C559" t="s">
        <v>102</v>
      </c>
      <c r="D559" t="s">
        <v>7</v>
      </c>
      <c r="E559" s="7">
        <v>45404</v>
      </c>
      <c r="F559" s="7">
        <v>45411</v>
      </c>
      <c r="G559" t="s">
        <v>15</v>
      </c>
      <c r="H559">
        <v>30</v>
      </c>
      <c r="I559" s="5">
        <v>6410.98</v>
      </c>
      <c r="J559" s="13">
        <v>100</v>
      </c>
      <c r="K559" s="5">
        <v>15997.11</v>
      </c>
      <c r="L559" s="5">
        <v>2.1369933333333333</v>
      </c>
      <c r="M559" s="5">
        <v>5.3323700000000001</v>
      </c>
      <c r="N559" s="5">
        <v>9586.130000000001</v>
      </c>
      <c r="O559" s="3">
        <v>1.4952674942052542</v>
      </c>
      <c r="P559" s="9">
        <f t="shared" si="8"/>
        <v>286705.70845814014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201</v>
      </c>
      <c r="B560" t="s">
        <v>303</v>
      </c>
      <c r="C560" t="s">
        <v>16</v>
      </c>
      <c r="D560" t="s">
        <v>7</v>
      </c>
      <c r="E560" s="5"/>
      <c r="F560" s="7">
        <v>45413</v>
      </c>
      <c r="G560" t="s">
        <v>160</v>
      </c>
      <c r="H560">
        <v>2300</v>
      </c>
      <c r="I560" s="5">
        <v>171361.5</v>
      </c>
      <c r="K560" s="5">
        <v>171206.5</v>
      </c>
      <c r="L560" s="5">
        <v>74.504999999999995</v>
      </c>
      <c r="M560" s="5">
        <v>74.437608695652173</v>
      </c>
      <c r="N560" s="5">
        <v>-5306.1000000000058</v>
      </c>
      <c r="O560" s="3">
        <v>-2.7579123665467449E-2</v>
      </c>
      <c r="P560" s="9">
        <f t="shared" si="8"/>
        <v>281399.60845814017</v>
      </c>
      <c r="Q560" s="5" t="str">
        <f>TEXT(Table13[[#This Row],[Closing Date]],"yyyy")</f>
        <v>2024</v>
      </c>
      <c r="R560" s="5" t="str">
        <f>TEXT(Table13[[#This Row],[Closing Date]],"mmmm")</f>
        <v>May</v>
      </c>
      <c r="S560" s="5" t="s">
        <v>240</v>
      </c>
      <c r="T560" s="5" t="s">
        <v>301</v>
      </c>
    </row>
    <row r="561" spans="1:20" x14ac:dyDescent="0.25">
      <c r="A561" t="s">
        <v>197</v>
      </c>
      <c r="B561" t="s">
        <v>303</v>
      </c>
      <c r="C561" t="s">
        <v>102</v>
      </c>
      <c r="D561" t="s">
        <v>7</v>
      </c>
      <c r="E561" s="5"/>
      <c r="F561" s="7">
        <v>45413</v>
      </c>
      <c r="G561" t="s">
        <v>155</v>
      </c>
      <c r="H561">
        <v>9</v>
      </c>
      <c r="I561" s="5">
        <v>4756.5</v>
      </c>
      <c r="J561" s="13">
        <v>100</v>
      </c>
      <c r="K561" s="5">
        <v>6867.5</v>
      </c>
      <c r="L561" s="5">
        <v>5.2850000000000001</v>
      </c>
      <c r="M561" s="5">
        <v>7.6305555555555555</v>
      </c>
      <c r="N561" s="5">
        <v>2111</v>
      </c>
      <c r="O561" s="3">
        <v>0.44381372858194046</v>
      </c>
      <c r="P561" s="9">
        <f t="shared" si="8"/>
        <v>283510.60845814017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201</v>
      </c>
      <c r="B562" t="s">
        <v>303</v>
      </c>
      <c r="C562" t="s">
        <v>12</v>
      </c>
      <c r="D562" t="s">
        <v>7</v>
      </c>
      <c r="E562" s="5"/>
      <c r="F562" s="7">
        <v>45414</v>
      </c>
      <c r="G562" t="s">
        <v>269</v>
      </c>
      <c r="H562">
        <v>10</v>
      </c>
      <c r="I562" s="5">
        <v>352986.2</v>
      </c>
      <c r="K562" s="5">
        <v>367993.8</v>
      </c>
      <c r="L562" s="5">
        <v>17649.310000000001</v>
      </c>
      <c r="M562" s="5">
        <v>36.799379999999999</v>
      </c>
      <c r="N562" s="5">
        <v>15007.599999999977</v>
      </c>
      <c r="O562" s="3">
        <v>4.2516109694939845E-2</v>
      </c>
      <c r="P562" s="9">
        <f t="shared" si="8"/>
        <v>298518.20845814014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197</v>
      </c>
      <c r="B563" t="s">
        <v>303</v>
      </c>
      <c r="C563" t="s">
        <v>102</v>
      </c>
      <c r="D563" t="s">
        <v>7</v>
      </c>
      <c r="E563" s="5"/>
      <c r="F563" s="7">
        <v>45415</v>
      </c>
      <c r="G563" t="s">
        <v>139</v>
      </c>
      <c r="H563">
        <v>10</v>
      </c>
      <c r="I563" s="5">
        <v>1997.0000000000002</v>
      </c>
      <c r="J563" s="13">
        <v>100</v>
      </c>
      <c r="K563" s="5">
        <v>0</v>
      </c>
      <c r="L563" s="5">
        <v>1.9970000000000001</v>
      </c>
      <c r="M563" s="5">
        <v>0</v>
      </c>
      <c r="N563" s="5">
        <v>-1997.0000000000002</v>
      </c>
      <c r="O563" s="3">
        <v>-1</v>
      </c>
      <c r="P563" s="9">
        <f t="shared" si="8"/>
        <v>296521.20845814014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201</v>
      </c>
      <c r="B564" t="s">
        <v>303</v>
      </c>
      <c r="C564" t="s">
        <v>16</v>
      </c>
      <c r="D564" t="s">
        <v>7</v>
      </c>
      <c r="E564" s="5"/>
      <c r="F564" s="7">
        <v>45419</v>
      </c>
      <c r="G564" t="s">
        <v>138</v>
      </c>
      <c r="H564">
        <v>530</v>
      </c>
      <c r="I564" s="5">
        <v>109606.65</v>
      </c>
      <c r="K564" s="5">
        <v>104637.90000000001</v>
      </c>
      <c r="L564" s="5">
        <v>206.80499999999998</v>
      </c>
      <c r="M564" s="5">
        <v>197.43</v>
      </c>
      <c r="N564" s="5">
        <v>-4968.7499999999854</v>
      </c>
      <c r="O564" s="3">
        <v>-4.5332559657648382E-2</v>
      </c>
      <c r="P564" s="9">
        <f t="shared" si="8"/>
        <v>291552.45845814014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197</v>
      </c>
      <c r="B565" t="s">
        <v>305</v>
      </c>
      <c r="C565" t="s">
        <v>102</v>
      </c>
      <c r="D565" t="s">
        <v>7</v>
      </c>
      <c r="E565" s="11">
        <v>45314</v>
      </c>
      <c r="F565" s="7">
        <v>45419</v>
      </c>
      <c r="G565" t="s">
        <v>292</v>
      </c>
      <c r="H565">
        <v>10</v>
      </c>
      <c r="I565" s="5">
        <v>25006.5</v>
      </c>
      <c r="J565" s="13">
        <v>100</v>
      </c>
      <c r="K565" s="5">
        <f>15997.27+16398.57+13230.59+11498.61</f>
        <v>57125.04</v>
      </c>
      <c r="L565" s="5">
        <f>Table13[[#This Row],[Open Value]]/Table13[[#This Row],[Shares]]/Table13[[#This Row],[Multiplier]]</f>
        <v>25.006500000000003</v>
      </c>
      <c r="M565" s="5">
        <f>Table13[[#This Row],[Close Value]]/Table13[[#This Row],[Shares]]/Table13[[#This Row],[Multiplier]]</f>
        <v>57.125039999999998</v>
      </c>
      <c r="N565" s="5">
        <f>Table13[[#This Row],[Close Value]]-Table13[[#This Row],[Open Value]]</f>
        <v>32118.54</v>
      </c>
      <c r="O565" s="3">
        <f>Table13[[#This Row],[PnL]]/Table13[[#This Row],[Open Value]]</f>
        <v>1.2844076540099574</v>
      </c>
      <c r="P565" s="9">
        <f t="shared" si="8"/>
        <v>323670.99845814012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203</v>
      </c>
    </row>
    <row r="566" spans="1:20" x14ac:dyDescent="0.25">
      <c r="A566" t="s">
        <v>197</v>
      </c>
      <c r="B566" t="s">
        <v>302</v>
      </c>
      <c r="C566" t="s">
        <v>98</v>
      </c>
      <c r="D566" t="s">
        <v>7</v>
      </c>
      <c r="E566" s="11">
        <v>45412</v>
      </c>
      <c r="F566" s="7">
        <v>45422</v>
      </c>
      <c r="G566" t="s">
        <v>266</v>
      </c>
      <c r="H566">
        <v>100</v>
      </c>
      <c r="I566" s="5">
        <v>8110.0000000000009</v>
      </c>
      <c r="J566" s="13">
        <v>100</v>
      </c>
      <c r="K566" s="5">
        <v>800</v>
      </c>
      <c r="L566" s="5">
        <v>0.81100000000000005</v>
      </c>
      <c r="M566" s="5">
        <v>0.08</v>
      </c>
      <c r="N566" s="5">
        <v>-7310.0000000000009</v>
      </c>
      <c r="O566" s="3">
        <v>-0.90135635018495686</v>
      </c>
      <c r="P566" s="9">
        <f t="shared" si="8"/>
        <v>316360.99845814012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301</v>
      </c>
    </row>
    <row r="567" spans="1:20" x14ac:dyDescent="0.25">
      <c r="A567" t="s">
        <v>201</v>
      </c>
      <c r="B567" t="s">
        <v>303</v>
      </c>
      <c r="C567" t="s">
        <v>16</v>
      </c>
      <c r="D567" t="s">
        <v>7</v>
      </c>
      <c r="E567" s="5"/>
      <c r="F567" s="7">
        <v>45422</v>
      </c>
      <c r="G567" t="s">
        <v>266</v>
      </c>
      <c r="H567">
        <v>10000</v>
      </c>
      <c r="I567" s="5">
        <v>430000</v>
      </c>
      <c r="K567" s="5">
        <v>453604.79</v>
      </c>
      <c r="L567" s="5">
        <v>43</v>
      </c>
      <c r="M567" s="5">
        <v>45.360478999999998</v>
      </c>
      <c r="N567" s="5">
        <v>-14030</v>
      </c>
      <c r="O567" s="3">
        <v>-5.4894860465116227E-2</v>
      </c>
      <c r="P567" s="9">
        <f t="shared" si="8"/>
        <v>302330.99845814012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45423</v>
      </c>
      <c r="G568" t="s">
        <v>272</v>
      </c>
      <c r="H568">
        <v>2700</v>
      </c>
      <c r="I568" s="5">
        <v>72913.5</v>
      </c>
      <c r="K568" s="5">
        <v>61986.05</v>
      </c>
      <c r="L568" s="5">
        <v>27.004999999999999</v>
      </c>
      <c r="M568" s="5">
        <v>22.957796296296298</v>
      </c>
      <c r="N568" s="5">
        <v>-10927.449999999997</v>
      </c>
      <c r="O568" s="3">
        <v>-0.14986868001124617</v>
      </c>
      <c r="P568" s="9">
        <f t="shared" si="8"/>
        <v>291403.54845814011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12</v>
      </c>
      <c r="D569" t="s">
        <v>7</v>
      </c>
      <c r="E569" s="5"/>
      <c r="F569" s="7">
        <v>45425</v>
      </c>
      <c r="G569" t="s">
        <v>88</v>
      </c>
      <c r="H569">
        <v>15</v>
      </c>
      <c r="I569" s="5">
        <v>335624</v>
      </c>
      <c r="K569" s="5">
        <v>315499</v>
      </c>
      <c r="L569" s="5">
        <v>19.977619047619047</v>
      </c>
      <c r="M569" s="5">
        <v>21.03326666666667</v>
      </c>
      <c r="N569" s="5">
        <v>-20123</v>
      </c>
      <c r="O569" s="3">
        <v>-5.99569756632422E-2</v>
      </c>
      <c r="P569" s="9">
        <f t="shared" si="8"/>
        <v>271280.54845814011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197</v>
      </c>
      <c r="B570" t="s">
        <v>306</v>
      </c>
      <c r="C570" t="s">
        <v>197</v>
      </c>
      <c r="D570" t="s">
        <v>7</v>
      </c>
      <c r="E570" s="11">
        <v>45330</v>
      </c>
      <c r="F570" s="7">
        <v>45426</v>
      </c>
      <c r="G570" t="s">
        <v>298</v>
      </c>
      <c r="H570">
        <v>210</v>
      </c>
      <c r="I570" s="5">
        <v>28878</v>
      </c>
      <c r="J570" s="13">
        <v>100</v>
      </c>
      <c r="K570" s="5">
        <f>16773.87+19483.59+30312.01</f>
        <v>66569.47</v>
      </c>
      <c r="L570" s="5">
        <f>Table13[[#This Row],[Open Value]]/Table13[[#This Row],[Shares]]/Table13[[#This Row],[Multiplier]]</f>
        <v>1.375142857142857</v>
      </c>
      <c r="M570" s="5">
        <f>Table13[[#This Row],[Close Value]]/Table13[[#This Row],[Shares]]/Table13[[#This Row],[Multiplier]]</f>
        <v>3.1699747619047622</v>
      </c>
      <c r="N570" s="5">
        <f>Table13[[#This Row],[Close Value]]-Table13[[#This Row],[Open Value]]</f>
        <v>37691.47</v>
      </c>
      <c r="O570" s="3">
        <f>Table13[[#This Row],[PnL]]/Table13[[#This Row],[Open Value]]</f>
        <v>1.3051966895214351</v>
      </c>
      <c r="P570" s="9">
        <f t="shared" si="8"/>
        <v>308972.01845814008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203</v>
      </c>
    </row>
    <row r="571" spans="1:20" x14ac:dyDescent="0.25">
      <c r="A571" t="s">
        <v>201</v>
      </c>
      <c r="B571" t="s">
        <v>305</v>
      </c>
      <c r="C571" t="s">
        <v>16</v>
      </c>
      <c r="D571" t="s">
        <v>7</v>
      </c>
      <c r="E571" s="5"/>
      <c r="F571" s="7">
        <v>45428</v>
      </c>
      <c r="G571" t="s">
        <v>52</v>
      </c>
      <c r="H571">
        <v>5000</v>
      </c>
      <c r="I571" s="5">
        <v>134805.20000000001</v>
      </c>
      <c r="K571" s="5">
        <v>134895.20000000001</v>
      </c>
      <c r="L571" s="5">
        <v>26.961040000000001</v>
      </c>
      <c r="M571" s="5">
        <v>26.979040000000001</v>
      </c>
      <c r="N571" s="5">
        <v>90</v>
      </c>
      <c r="O571" s="3">
        <v>6.6763003207591398E-4</v>
      </c>
      <c r="P571" s="9">
        <f t="shared" si="8"/>
        <v>309062.01845814008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301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273</v>
      </c>
      <c r="H572">
        <v>2800</v>
      </c>
      <c r="I572" s="5">
        <v>32298</v>
      </c>
      <c r="K572" s="5">
        <v>27200.78</v>
      </c>
      <c r="L572" s="5">
        <v>11.535</v>
      </c>
      <c r="M572" s="5">
        <v>9.7145642857142853</v>
      </c>
      <c r="N572" s="5">
        <v>-5097.2200000000012</v>
      </c>
      <c r="O572" s="3">
        <v>-0.15781844077032636</v>
      </c>
      <c r="P572" s="9">
        <f t="shared" si="8"/>
        <v>303964.79845814011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303</v>
      </c>
      <c r="C573" t="s">
        <v>16</v>
      </c>
      <c r="D573" t="s">
        <v>7</v>
      </c>
      <c r="E573" s="5"/>
      <c r="F573" s="7">
        <v>45429</v>
      </c>
      <c r="G573" t="s">
        <v>155</v>
      </c>
      <c r="H573">
        <v>610</v>
      </c>
      <c r="I573" s="5">
        <v>185504.05</v>
      </c>
      <c r="K573" s="5">
        <v>197936.24</v>
      </c>
      <c r="L573" s="5">
        <v>304.10499999999996</v>
      </c>
      <c r="M573" s="5">
        <v>942.55352380952377</v>
      </c>
      <c r="N573" s="5">
        <v>12432.190000000002</v>
      </c>
      <c r="O573" s="3">
        <v>6.7018428977696193E-2</v>
      </c>
      <c r="P573" s="9">
        <f t="shared" si="8"/>
        <v>316396.98845814011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305</v>
      </c>
      <c r="C574" t="s">
        <v>16</v>
      </c>
      <c r="D574" t="s">
        <v>7</v>
      </c>
      <c r="E574" s="5"/>
      <c r="F574" s="7">
        <v>45429</v>
      </c>
      <c r="G574" t="s">
        <v>37</v>
      </c>
      <c r="H574">
        <v>820</v>
      </c>
      <c r="I574" s="5">
        <v>145729.4</v>
      </c>
      <c r="K574" s="5">
        <v>140579.98000000001</v>
      </c>
      <c r="L574" s="5">
        <v>177.71878048780488</v>
      </c>
      <c r="M574" s="5">
        <v>171.43900000000002</v>
      </c>
      <c r="N574" s="5">
        <v>-5149.4199999999837</v>
      </c>
      <c r="O574" s="3">
        <v>-3.5335491671550034E-2</v>
      </c>
      <c r="P574" s="9">
        <f t="shared" si="8"/>
        <v>311247.56845814013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45430</v>
      </c>
      <c r="G575" t="s">
        <v>142</v>
      </c>
      <c r="H575">
        <v>800</v>
      </c>
      <c r="I575" s="5">
        <v>98573.94</v>
      </c>
      <c r="K575" s="5">
        <v>93249.78</v>
      </c>
      <c r="L575" s="5">
        <v>123.21742500000001</v>
      </c>
      <c r="M575" s="5">
        <v>116.562225</v>
      </c>
      <c r="N575" s="5">
        <v>-5324.1600000000035</v>
      </c>
      <c r="O575" s="3">
        <v>-5.4011841263522625E-2</v>
      </c>
      <c r="P575" s="9">
        <f t="shared" si="8"/>
        <v>305923.4084581401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45432</v>
      </c>
      <c r="G576" t="s">
        <v>96</v>
      </c>
      <c r="H576">
        <v>1300</v>
      </c>
      <c r="I576" s="5">
        <v>240506.5</v>
      </c>
      <c r="K576" s="5">
        <v>233279.78</v>
      </c>
      <c r="L576" s="5">
        <v>185.005</v>
      </c>
      <c r="M576" s="5">
        <v>179.44598461538462</v>
      </c>
      <c r="N576" s="5">
        <v>-7226.7200000000012</v>
      </c>
      <c r="O576" s="3">
        <v>-3.0047919702793899E-2</v>
      </c>
      <c r="P576" s="9">
        <f t="shared" si="8"/>
        <v>298696.68845814012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303</v>
      </c>
      <c r="C577" t="s">
        <v>16</v>
      </c>
      <c r="D577" t="s">
        <v>7</v>
      </c>
      <c r="E577" s="5"/>
      <c r="F577" s="7">
        <v>45432</v>
      </c>
      <c r="G577" t="s">
        <v>146</v>
      </c>
      <c r="H577">
        <v>2500</v>
      </c>
      <c r="I577" s="5">
        <v>209862.5</v>
      </c>
      <c r="K577" s="5">
        <v>199162.76</v>
      </c>
      <c r="L577" s="5">
        <v>83.944999999999993</v>
      </c>
      <c r="M577" s="5">
        <v>79.665103999999999</v>
      </c>
      <c r="N577" s="5">
        <v>-10699.739999999991</v>
      </c>
      <c r="O577" s="3">
        <v>-5.0984525582226416E-2</v>
      </c>
      <c r="P577" s="9">
        <f t="shared" si="8"/>
        <v>287996.94845814013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23</v>
      </c>
      <c r="H578">
        <v>3500</v>
      </c>
      <c r="I578" s="5">
        <v>77717.5</v>
      </c>
      <c r="K578" s="5">
        <v>72920.5</v>
      </c>
      <c r="L578" s="5">
        <v>22.204999999999998</v>
      </c>
      <c r="M578" s="5">
        <v>20.834428571428571</v>
      </c>
      <c r="N578" s="5">
        <v>-4797</v>
      </c>
      <c r="O578" s="3">
        <v>-6.1723550036992952E-2</v>
      </c>
      <c r="P578" s="9">
        <f t="shared" si="8"/>
        <v>283199.94845814013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72</v>
      </c>
      <c r="H579">
        <v>100</v>
      </c>
      <c r="I579" s="5">
        <v>89990.200000000012</v>
      </c>
      <c r="K579" s="5">
        <v>83797.650000000009</v>
      </c>
      <c r="L579" s="5">
        <v>899.90200000000016</v>
      </c>
      <c r="M579" s="5">
        <v>837.9765000000001</v>
      </c>
      <c r="N579" s="5">
        <v>-6192.5500000000029</v>
      </c>
      <c r="O579" s="3">
        <v>-6.8813604148007246E-2</v>
      </c>
      <c r="P579" s="9">
        <f t="shared" ref="P579:P642" si="9">N579+P578</f>
        <v>277007.39845814015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12</v>
      </c>
      <c r="D580" t="s">
        <v>7</v>
      </c>
      <c r="E580" s="5"/>
      <c r="F580" s="7">
        <v>45433</v>
      </c>
      <c r="G580" t="s">
        <v>270</v>
      </c>
      <c r="H580">
        <v>5</v>
      </c>
      <c r="I580" s="5">
        <v>157514.85</v>
      </c>
      <c r="K580" s="5">
        <v>174985.15</v>
      </c>
      <c r="L580" s="5">
        <v>630.05939999999998</v>
      </c>
      <c r="M580" s="5">
        <v>34.997030000000002</v>
      </c>
      <c r="N580" s="5">
        <v>17470.299999999988</v>
      </c>
      <c r="O580" s="3">
        <v>0.11091208225764103</v>
      </c>
      <c r="P580" s="9">
        <f t="shared" si="9"/>
        <v>294477.69845814013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16</v>
      </c>
      <c r="D581" t="s">
        <v>7</v>
      </c>
      <c r="E581" s="5"/>
      <c r="F581" s="7">
        <v>45433</v>
      </c>
      <c r="G581" t="s">
        <v>274</v>
      </c>
      <c r="H581">
        <v>5000</v>
      </c>
      <c r="I581" s="5">
        <v>204145</v>
      </c>
      <c r="K581" s="5">
        <v>196498.3</v>
      </c>
      <c r="L581" s="5">
        <v>40.829000000000001</v>
      </c>
      <c r="M581" s="5">
        <v>39.299659999999996</v>
      </c>
      <c r="N581" s="5">
        <v>-7646.7000000000116</v>
      </c>
      <c r="O581" s="3">
        <v>-3.7457199539543032E-2</v>
      </c>
      <c r="P581" s="9">
        <f t="shared" si="9"/>
        <v>286830.99845814012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305</v>
      </c>
      <c r="C582" t="s">
        <v>16</v>
      </c>
      <c r="D582" t="s">
        <v>7</v>
      </c>
      <c r="E582" s="11">
        <v>45427</v>
      </c>
      <c r="F582" s="7">
        <v>45434</v>
      </c>
      <c r="G582" t="s">
        <v>300</v>
      </c>
      <c r="H582">
        <v>1200</v>
      </c>
      <c r="I582" s="5">
        <v>141911.88</v>
      </c>
      <c r="J582" s="13">
        <v>1</v>
      </c>
      <c r="K582" s="5">
        <v>137973.35999999999</v>
      </c>
      <c r="L582" s="5">
        <f>Table13[[#This Row],[Open Value]]/Table13[[#This Row],[Shares]]/Table13[[#This Row],[Multiplier]]</f>
        <v>118.2599</v>
      </c>
      <c r="M582" s="5">
        <f>Table13[[#This Row],[Close Value]]/Table13[[#This Row],[Shares]]/Table13[[#This Row],[Multiplier]]</f>
        <v>114.97779999999999</v>
      </c>
      <c r="N582" s="5">
        <f>Table13[[#This Row],[Close Value]]-Table13[[#This Row],[Open Value]]</f>
        <v>-3938.5200000000186</v>
      </c>
      <c r="O582" s="3">
        <f>Table13[[#This Row],[PnL]]/Table13[[#This Row],[Open Value]]</f>
        <v>-2.7753279006662575E-2</v>
      </c>
      <c r="P582" s="9">
        <f t="shared" si="9"/>
        <v>282892.4784581401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203</v>
      </c>
    </row>
    <row r="583" spans="1:20" x14ac:dyDescent="0.25">
      <c r="A583" t="s">
        <v>197</v>
      </c>
      <c r="B583" t="s">
        <v>306</v>
      </c>
      <c r="C583" t="s">
        <v>102</v>
      </c>
      <c r="D583" t="s">
        <v>7</v>
      </c>
      <c r="E583" s="5"/>
      <c r="F583" s="7">
        <v>45435</v>
      </c>
      <c r="G583" t="s">
        <v>136</v>
      </c>
      <c r="H583">
        <v>5</v>
      </c>
      <c r="I583" s="5">
        <v>8698.48</v>
      </c>
      <c r="J583" s="13">
        <v>100</v>
      </c>
      <c r="K583" s="5">
        <v>6487</v>
      </c>
      <c r="L583" s="5">
        <v>17.39696</v>
      </c>
      <c r="M583" s="5">
        <v>12.974</v>
      </c>
      <c r="N583" s="5">
        <v>-2211.4799999999996</v>
      </c>
      <c r="O583" s="3">
        <v>-0.25423752195785931</v>
      </c>
      <c r="P583" s="9">
        <f t="shared" si="9"/>
        <v>280680.99845814012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301</v>
      </c>
    </row>
    <row r="584" spans="1:20" x14ac:dyDescent="0.25">
      <c r="A584" t="s">
        <v>197</v>
      </c>
      <c r="B584" t="s">
        <v>302</v>
      </c>
      <c r="C584" t="s">
        <v>102</v>
      </c>
      <c r="D584" t="s">
        <v>7</v>
      </c>
      <c r="E584" s="11">
        <v>45371</v>
      </c>
      <c r="F584" s="7">
        <v>45435</v>
      </c>
      <c r="G584" t="s">
        <v>209</v>
      </c>
      <c r="H584">
        <v>100</v>
      </c>
      <c r="I584" s="5">
        <v>9992.23</v>
      </c>
      <c r="J584" s="13">
        <v>100</v>
      </c>
      <c r="K584" s="5">
        <v>0</v>
      </c>
      <c r="L584" s="5">
        <f>Table13[[#This Row],[Open Value]]/Table13[[#This Row],[Shares]]/Table13[[#This Row],[Multiplier]]</f>
        <v>0.99922299999999997</v>
      </c>
      <c r="M584" s="5">
        <f>Table13[[#This Row],[Close Value]]/Table13[[#This Row],[Shares]]/Table13[[#This Row],[Multiplier]]</f>
        <v>0</v>
      </c>
      <c r="N584" s="5">
        <f>79.57-1870.97</f>
        <v>-1791.4</v>
      </c>
      <c r="O584" s="3">
        <f>Table13[[#This Row],[PnL]]/Table13[[#This Row],[Open Value]]</f>
        <v>-0.17927930001611253</v>
      </c>
      <c r="P584" s="9">
        <f t="shared" si="9"/>
        <v>278889.5984581401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/>
      <c r="T584" s="5"/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45432</v>
      </c>
      <c r="F585" s="7">
        <v>45436</v>
      </c>
      <c r="G585" t="s">
        <v>37</v>
      </c>
      <c r="H585">
        <v>10</v>
      </c>
      <c r="I585" s="5">
        <v>2607</v>
      </c>
      <c r="J585" s="13">
        <v>100</v>
      </c>
      <c r="K585" s="5">
        <v>5535.96</v>
      </c>
      <c r="L585" s="5">
        <v>2.6069999999999998</v>
      </c>
      <c r="M585" s="5">
        <v>7.9085142857142854</v>
      </c>
      <c r="N585" s="5">
        <v>2928.96</v>
      </c>
      <c r="O585" s="3">
        <v>2.0335689626828866</v>
      </c>
      <c r="P585" s="9">
        <f t="shared" si="9"/>
        <v>281818.55845814012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201</v>
      </c>
      <c r="B586" t="s">
        <v>303</v>
      </c>
      <c r="C586" t="s">
        <v>12</v>
      </c>
      <c r="D586" t="s">
        <v>7</v>
      </c>
      <c r="E586" s="5"/>
      <c r="F586" s="7">
        <v>45440</v>
      </c>
      <c r="G586" t="s">
        <v>85</v>
      </c>
      <c r="H586">
        <v>13</v>
      </c>
      <c r="I586" s="5">
        <v>84173.51</v>
      </c>
      <c r="K586" s="5">
        <v>88161</v>
      </c>
      <c r="L586" s="5">
        <v>64748.853846153841</v>
      </c>
      <c r="M586" s="5">
        <v>6.7816153846153844</v>
      </c>
      <c r="N586" s="5">
        <v>3987.4900000000052</v>
      </c>
      <c r="O586" s="3">
        <v>4.7372267118241898E-2</v>
      </c>
      <c r="P586" s="9">
        <f t="shared" si="9"/>
        <v>285806.04845814011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271</v>
      </c>
      <c r="H587">
        <v>350</v>
      </c>
      <c r="I587" s="5">
        <v>100234</v>
      </c>
      <c r="K587" s="5">
        <v>111571.65</v>
      </c>
      <c r="L587" s="5">
        <v>0.25569897959183674</v>
      </c>
      <c r="M587" s="5">
        <v>0.31877614285714284</v>
      </c>
      <c r="N587" s="5">
        <v>11337.649999999994</v>
      </c>
      <c r="O587" s="3">
        <v>0.11311181834507247</v>
      </c>
      <c r="P587" s="9">
        <f t="shared" si="9"/>
        <v>297143.69845814013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16</v>
      </c>
      <c r="D588" t="s">
        <v>7</v>
      </c>
      <c r="E588" s="5"/>
      <c r="F588" s="7">
        <v>45440</v>
      </c>
      <c r="G588" t="s">
        <v>218</v>
      </c>
      <c r="H588">
        <v>3800</v>
      </c>
      <c r="I588" s="5">
        <v>70699</v>
      </c>
      <c r="K588" s="5">
        <v>63360.93</v>
      </c>
      <c r="L588" s="5">
        <v>18.605</v>
      </c>
      <c r="M588" s="5">
        <v>16.67392894736842</v>
      </c>
      <c r="N588" s="5">
        <v>-7338.07</v>
      </c>
      <c r="O588" s="3">
        <v>-0.10379312295789191</v>
      </c>
      <c r="P588" s="9">
        <f t="shared" si="9"/>
        <v>289805.62845814013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23</v>
      </c>
      <c r="H589">
        <v>2700</v>
      </c>
      <c r="I589" s="5">
        <v>61030.689999999995</v>
      </c>
      <c r="K589" s="5">
        <v>55792.92</v>
      </c>
      <c r="L589" s="5">
        <v>22.603959259259259</v>
      </c>
      <c r="M589" s="5">
        <v>20.664044444444443</v>
      </c>
      <c r="N589" s="5">
        <v>-5237.7699999999968</v>
      </c>
      <c r="O589" s="3">
        <v>-8.5821903701236171E-2</v>
      </c>
      <c r="P589" s="9">
        <f t="shared" si="9"/>
        <v>284567.85845814011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12</v>
      </c>
      <c r="D590" t="s">
        <v>7</v>
      </c>
      <c r="E590" s="5"/>
      <c r="F590" s="7">
        <v>45440</v>
      </c>
      <c r="G590" t="s">
        <v>271</v>
      </c>
      <c r="H590">
        <v>300</v>
      </c>
      <c r="I590" s="5">
        <v>116851</v>
      </c>
      <c r="K590" s="5">
        <v>106275.2</v>
      </c>
      <c r="L590" s="5">
        <v>3895.0333333333333</v>
      </c>
      <c r="M590" s="5">
        <v>0.35425066666666666</v>
      </c>
      <c r="N590" s="5">
        <v>-10575.800000000003</v>
      </c>
      <c r="O590" s="3">
        <v>-9.050671367810291E-2</v>
      </c>
      <c r="P590" s="9">
        <f t="shared" si="9"/>
        <v>273992.05845814012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45442</v>
      </c>
      <c r="G591" t="s">
        <v>13</v>
      </c>
      <c r="H591">
        <v>7</v>
      </c>
      <c r="I591" s="5">
        <v>539086.59</v>
      </c>
      <c r="K591" s="5">
        <v>529533.40999999992</v>
      </c>
      <c r="L591" s="5">
        <v>77.01236999999999</v>
      </c>
      <c r="M591" s="5">
        <v>75.647629999999978</v>
      </c>
      <c r="N591" s="5">
        <v>-9553.1800000000512</v>
      </c>
      <c r="O591" s="3">
        <v>-1.7721049228844762E-2</v>
      </c>
      <c r="P591" s="9">
        <f t="shared" si="9"/>
        <v>264438.87845814007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16</v>
      </c>
      <c r="D592" t="s">
        <v>7</v>
      </c>
      <c r="E592" s="5"/>
      <c r="F592" s="7">
        <v>45442</v>
      </c>
      <c r="G592" t="s">
        <v>146</v>
      </c>
      <c r="H592">
        <v>1500</v>
      </c>
      <c r="I592" s="5">
        <v>125954</v>
      </c>
      <c r="K592" s="5">
        <v>116454.26</v>
      </c>
      <c r="L592" s="5">
        <v>83.969333333333338</v>
      </c>
      <c r="M592" s="5">
        <v>77.636173333333332</v>
      </c>
      <c r="N592" s="5">
        <v>-9499.7400000000052</v>
      </c>
      <c r="O592" s="3">
        <v>-7.5422297029074145E-2</v>
      </c>
      <c r="P592" s="9">
        <f t="shared" si="9"/>
        <v>254939.13845814008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305</v>
      </c>
      <c r="C593" t="s">
        <v>16</v>
      </c>
      <c r="D593" t="s">
        <v>7</v>
      </c>
      <c r="E593" s="11">
        <v>45432</v>
      </c>
      <c r="F593" s="7">
        <v>45443</v>
      </c>
      <c r="G593" t="s">
        <v>96</v>
      </c>
      <c r="H593">
        <v>650</v>
      </c>
      <c r="I593" s="5">
        <v>121296.37</v>
      </c>
      <c r="J593" s="13">
        <v>1</v>
      </c>
      <c r="K593" s="5">
        <v>116285.32</v>
      </c>
      <c r="L593" s="5">
        <f>Table13[[#This Row],[Open Value]]/Table13[[#This Row],[Shares]]/Table13[[#This Row],[Multiplier]]</f>
        <v>186.60980000000001</v>
      </c>
      <c r="M593" s="5">
        <f>Table13[[#This Row],[Close Value]]/Table13[[#This Row],[Shares]]/Table13[[#This Row],[Multiplier]]</f>
        <v>178.90049230769233</v>
      </c>
      <c r="N593" s="5">
        <f>Table13[[#This Row],[Close Value]]-Table13[[#This Row],[Open Value]]</f>
        <v>-5011.0499999999884</v>
      </c>
      <c r="O593" s="3">
        <f>Table13[[#This Row],[PnL]]/Table13[[#This Row],[Open Value]]</f>
        <v>-4.1312448179611549E-2</v>
      </c>
      <c r="P593" s="9">
        <f t="shared" si="9"/>
        <v>249928.08845814009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203</v>
      </c>
    </row>
    <row r="594" spans="1:20" x14ac:dyDescent="0.25">
      <c r="A594" t="s">
        <v>201</v>
      </c>
      <c r="B594" t="s">
        <v>303</v>
      </c>
      <c r="C594" t="s">
        <v>12</v>
      </c>
      <c r="D594" t="s">
        <v>7</v>
      </c>
      <c r="E594" s="5"/>
      <c r="F594" s="7">
        <v>45446</v>
      </c>
      <c r="G594" t="s">
        <v>87</v>
      </c>
      <c r="H594">
        <v>5</v>
      </c>
      <c r="I594" s="5">
        <v>304000</v>
      </c>
      <c r="K594" s="5">
        <v>299295.3</v>
      </c>
      <c r="L594" s="5">
        <v>1216</v>
      </c>
      <c r="M594" s="5">
        <v>59.859059999999999</v>
      </c>
      <c r="N594" s="5">
        <v>-4704.7000000000116</v>
      </c>
      <c r="O594" s="3">
        <v>-1.5475986842105301E-2</v>
      </c>
      <c r="P594" s="9">
        <f t="shared" si="9"/>
        <v>245223.38845814008</v>
      </c>
      <c r="Q594" s="5" t="str">
        <f>TEXT(Table13[[#This Row],[Closing Date]],"yyyy")</f>
        <v>2024</v>
      </c>
      <c r="R594" s="5" t="str">
        <f>TEXT(Table13[[#This Row],[Closing Date]],"mmmm")</f>
        <v>June</v>
      </c>
      <c r="S594" s="5" t="s">
        <v>240</v>
      </c>
      <c r="T594" s="5" t="s">
        <v>301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45448</v>
      </c>
      <c r="G595" t="s">
        <v>270</v>
      </c>
      <c r="H595">
        <v>4</v>
      </c>
      <c r="I595" s="5">
        <v>139150</v>
      </c>
      <c r="K595" s="5">
        <v>130050</v>
      </c>
      <c r="L595" s="5">
        <v>695.75</v>
      </c>
      <c r="M595" s="5">
        <v>32.512500000000003</v>
      </c>
      <c r="N595" s="5">
        <v>-9100</v>
      </c>
      <c r="O595" s="3">
        <v>-6.5397053539346023E-2</v>
      </c>
      <c r="P595" s="9">
        <f t="shared" si="9"/>
        <v>236123.38845814008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197</v>
      </c>
      <c r="B596" t="s">
        <v>302</v>
      </c>
      <c r="C596" t="s">
        <v>102</v>
      </c>
      <c r="D596" t="s">
        <v>7</v>
      </c>
      <c r="E596" s="11">
        <v>45440</v>
      </c>
      <c r="F596" s="7">
        <v>45450</v>
      </c>
      <c r="G596" t="s">
        <v>105</v>
      </c>
      <c r="H596">
        <v>10</v>
      </c>
      <c r="I596" s="5">
        <v>3296.97</v>
      </c>
      <c r="J596" s="13">
        <v>100</v>
      </c>
      <c r="K596" s="5">
        <v>0</v>
      </c>
      <c r="L596" s="5">
        <v>3.29697</v>
      </c>
      <c r="M596" s="5">
        <v>0</v>
      </c>
      <c r="N596" s="5">
        <v>-3296.97</v>
      </c>
      <c r="O596" s="3">
        <v>-1</v>
      </c>
      <c r="P596" s="9">
        <f t="shared" si="9"/>
        <v>232826.41845814008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201</v>
      </c>
      <c r="B597" t="s">
        <v>303</v>
      </c>
      <c r="C597" t="s">
        <v>16</v>
      </c>
      <c r="D597" t="s">
        <v>7</v>
      </c>
      <c r="E597" s="5"/>
      <c r="F597" s="7">
        <v>45450</v>
      </c>
      <c r="G597" t="s">
        <v>139</v>
      </c>
      <c r="H597">
        <v>1000</v>
      </c>
      <c r="I597" s="5">
        <v>138552.85</v>
      </c>
      <c r="K597" s="5">
        <v>128582.36</v>
      </c>
      <c r="L597" s="5">
        <v>138.55285000000001</v>
      </c>
      <c r="M597" s="5">
        <v>128.58235999999999</v>
      </c>
      <c r="N597" s="5">
        <v>-9970.4900000000052</v>
      </c>
      <c r="O597" s="3">
        <v>-7.1961637743287163E-2</v>
      </c>
      <c r="P597" s="9">
        <f t="shared" si="9"/>
        <v>222855.92845814006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197</v>
      </c>
      <c r="B598" t="s">
        <v>302</v>
      </c>
      <c r="C598" t="s">
        <v>97</v>
      </c>
      <c r="D598" t="s">
        <v>7</v>
      </c>
      <c r="E598" s="11">
        <v>45433</v>
      </c>
      <c r="F598" s="7">
        <v>45450</v>
      </c>
      <c r="G598" t="s">
        <v>162</v>
      </c>
      <c r="H598">
        <v>4</v>
      </c>
      <c r="I598" s="5">
        <v>3202.79</v>
      </c>
      <c r="J598" s="13">
        <v>100</v>
      </c>
      <c r="K598" s="5">
        <v>9321</v>
      </c>
      <c r="L598" s="5">
        <v>8.0069750000000006</v>
      </c>
      <c r="M598" s="5">
        <v>23.302499999999998</v>
      </c>
      <c r="N598" s="5">
        <v>6118.21</v>
      </c>
      <c r="O598" s="3">
        <v>1.9102751038937922</v>
      </c>
      <c r="P598" s="9">
        <f t="shared" si="9"/>
        <v>228974.13845814005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201</v>
      </c>
      <c r="B599" t="s">
        <v>306</v>
      </c>
      <c r="C599" t="s">
        <v>16</v>
      </c>
      <c r="D599" t="s">
        <v>7</v>
      </c>
      <c r="E599" s="11">
        <v>45385</v>
      </c>
      <c r="F599" s="7">
        <v>45450</v>
      </c>
      <c r="G599" t="s">
        <v>192</v>
      </c>
      <c r="H599">
        <v>9000</v>
      </c>
      <c r="I599" s="5">
        <v>195120</v>
      </c>
      <c r="J599" s="13">
        <v>1</v>
      </c>
      <c r="K599" s="5">
        <v>169908.09</v>
      </c>
      <c r="L599" s="5">
        <f>Table13[[#This Row],[Open Value]]/Table13[[#This Row],[Shares]]/Table13[[#This Row],[Multiplier]]</f>
        <v>21.68</v>
      </c>
      <c r="M599" s="5">
        <f>Table13[[#This Row],[Close Value]]/Table13[[#This Row],[Shares]]/Table13[[#This Row],[Multiplier]]</f>
        <v>18.878676666666667</v>
      </c>
      <c r="N599" s="5">
        <f>Table13[[#This Row],[Close Value]]-Table13[[#This Row],[Open Value]]</f>
        <v>-25211.910000000003</v>
      </c>
      <c r="O599" s="3">
        <f>Table13[[#This Row],[PnL]]/Table13[[#This Row],[Open Value]]</f>
        <v>-0.12921233087330875</v>
      </c>
      <c r="P599" s="9">
        <f t="shared" si="9"/>
        <v>203762.22845814005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203</v>
      </c>
    </row>
    <row r="600" spans="1:20" x14ac:dyDescent="0.25">
      <c r="A600" t="s">
        <v>201</v>
      </c>
      <c r="B600" t="s">
        <v>303</v>
      </c>
      <c r="C600" t="s">
        <v>16</v>
      </c>
      <c r="D600" t="s">
        <v>7</v>
      </c>
      <c r="E600" s="5"/>
      <c r="F600" s="7">
        <v>45453</v>
      </c>
      <c r="G600" t="s">
        <v>275</v>
      </c>
      <c r="H600">
        <v>1100</v>
      </c>
      <c r="I600" s="5">
        <v>25724</v>
      </c>
      <c r="K600" s="5">
        <v>36888.239999999998</v>
      </c>
      <c r="L600" s="5">
        <v>23.385454545454547</v>
      </c>
      <c r="M600" s="5">
        <v>46.110299999999995</v>
      </c>
      <c r="N600" s="5">
        <v>11164.239999999998</v>
      </c>
      <c r="O600" s="3">
        <v>0.43400093298087383</v>
      </c>
      <c r="P600" s="9">
        <f t="shared" si="9"/>
        <v>214926.46845814004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301</v>
      </c>
    </row>
    <row r="601" spans="1:20" x14ac:dyDescent="0.25">
      <c r="A601" t="s">
        <v>201</v>
      </c>
      <c r="B601" t="s">
        <v>305</v>
      </c>
      <c r="C601" t="s">
        <v>16</v>
      </c>
      <c r="D601" t="s">
        <v>7</v>
      </c>
      <c r="E601" s="11">
        <v>45364</v>
      </c>
      <c r="F601" s="7">
        <v>45454</v>
      </c>
      <c r="G601" t="s">
        <v>295</v>
      </c>
      <c r="H601">
        <v>1000</v>
      </c>
      <c r="I601" s="5">
        <v>93000</v>
      </c>
      <c r="J601" s="13">
        <v>1</v>
      </c>
      <c r="K601" s="5">
        <f>23.73+54949.56+53433.52</f>
        <v>108406.81</v>
      </c>
      <c r="L601" s="5">
        <f>Table13[[#This Row],[Open Value]]/Table13[[#This Row],[Shares]]/Table13[[#This Row],[Multiplier]]</f>
        <v>93</v>
      </c>
      <c r="M601" s="5">
        <f>Table13[[#This Row],[Close Value]]/Table13[[#This Row],[Shares]]/Table13[[#This Row],[Multiplier]]</f>
        <v>108.40680999999999</v>
      </c>
      <c r="N601" s="5">
        <f>Table13[[#This Row],[Close Value]]-Table13[[#This Row],[Open Value]]</f>
        <v>15406.809999999998</v>
      </c>
      <c r="O601" s="3">
        <f>Table13[[#This Row],[PnL]]/Table13[[#This Row],[Open Value]]</f>
        <v>0.16566462365591395</v>
      </c>
      <c r="P601" s="9">
        <f t="shared" si="9"/>
        <v>230333.27845814003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203</v>
      </c>
    </row>
    <row r="602" spans="1:20" x14ac:dyDescent="0.25">
      <c r="A602" t="s">
        <v>197</v>
      </c>
      <c r="B602" t="s">
        <v>302</v>
      </c>
      <c r="C602" t="s">
        <v>102</v>
      </c>
      <c r="D602" t="s">
        <v>7</v>
      </c>
      <c r="E602" s="11">
        <v>45443</v>
      </c>
      <c r="F602" s="7">
        <v>45455</v>
      </c>
      <c r="G602" t="s">
        <v>10</v>
      </c>
      <c r="H602">
        <v>7</v>
      </c>
      <c r="I602" s="5">
        <v>3853.13</v>
      </c>
      <c r="J602" s="13">
        <v>100</v>
      </c>
      <c r="K602" s="5">
        <f>Table13[[#This Row],[Open Value]]+Table13[[#This Row],[PnL]]</f>
        <v>5502.24</v>
      </c>
      <c r="L602" s="5">
        <f>Table13[[#This Row],[Open Value]]/Table13[[#This Row],[Shares]]</f>
        <v>550.44714285714292</v>
      </c>
      <c r="M602" s="5">
        <f>Table13[[#This Row],[Close Value]]/Table13[[#This Row],[Shares]]/Table13[[#This Row],[Multiplier]]</f>
        <v>7.8603428571428573</v>
      </c>
      <c r="N602" s="5">
        <v>1649.11</v>
      </c>
      <c r="O602" s="3">
        <f>Table13[[#This Row],[PnL]]/Table13[[#This Row],[Open Value]]</f>
        <v>0.42799230755256112</v>
      </c>
      <c r="P602" s="9">
        <f t="shared" si="9"/>
        <v>231982.38845814002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301</v>
      </c>
    </row>
    <row r="603" spans="1:20" x14ac:dyDescent="0.25">
      <c r="A603" t="s">
        <v>201</v>
      </c>
      <c r="B603" t="s">
        <v>303</v>
      </c>
      <c r="C603" t="s">
        <v>16</v>
      </c>
      <c r="D603" t="s">
        <v>7</v>
      </c>
      <c r="E603" s="5"/>
      <c r="F603" s="7">
        <v>45456</v>
      </c>
      <c r="G603" t="s">
        <v>263</v>
      </c>
      <c r="H603">
        <v>6000</v>
      </c>
      <c r="I603" s="5">
        <v>78450</v>
      </c>
      <c r="K603" s="5">
        <v>73169.95</v>
      </c>
      <c r="L603" s="5">
        <v>13.074999999999999</v>
      </c>
      <c r="M603" s="5">
        <v>12.194991666666667</v>
      </c>
      <c r="N603" s="5">
        <v>-5280.0500000000029</v>
      </c>
      <c r="O603" s="3">
        <v>-6.7304652644996854E-2</v>
      </c>
      <c r="P603" s="9">
        <f t="shared" si="9"/>
        <v>226702.33845814003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281</v>
      </c>
      <c r="H604">
        <v>2600</v>
      </c>
      <c r="I604" s="5">
        <v>42913</v>
      </c>
      <c r="K604" s="5">
        <v>40075.11</v>
      </c>
      <c r="L604" s="5">
        <v>16.504999999999999</v>
      </c>
      <c r="M604" s="5">
        <v>15.413503846153846</v>
      </c>
      <c r="N604" s="5">
        <v>-2837.8899999999994</v>
      </c>
      <c r="O604" s="3">
        <v>-6.6131242280893884E-2</v>
      </c>
      <c r="P604" s="9">
        <f t="shared" si="9"/>
        <v>223864.44845814002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197</v>
      </c>
      <c r="B605" t="s">
        <v>302</v>
      </c>
      <c r="C605" t="s">
        <v>97</v>
      </c>
      <c r="D605" t="s">
        <v>7</v>
      </c>
      <c r="E605" s="11">
        <v>45448</v>
      </c>
      <c r="F605" s="7">
        <v>45457</v>
      </c>
      <c r="G605" t="s">
        <v>277</v>
      </c>
      <c r="H605">
        <v>15</v>
      </c>
      <c r="I605" s="5">
        <v>3555</v>
      </c>
      <c r="J605" s="13">
        <v>100</v>
      </c>
      <c r="K605" s="5">
        <v>2435</v>
      </c>
      <c r="L605" s="5">
        <v>2.37</v>
      </c>
      <c r="M605" s="5">
        <v>1.6233333333333335</v>
      </c>
      <c r="N605" s="5">
        <v>-1120</v>
      </c>
      <c r="O605" s="3">
        <v>-0.31504922644163147</v>
      </c>
      <c r="P605" s="9">
        <f t="shared" si="9"/>
        <v>222744.44845814002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201</v>
      </c>
      <c r="B606" t="s">
        <v>302</v>
      </c>
      <c r="C606" t="s">
        <v>16</v>
      </c>
      <c r="D606" t="s">
        <v>7</v>
      </c>
      <c r="E606" s="11">
        <v>45457</v>
      </c>
      <c r="F606" s="7">
        <v>45457</v>
      </c>
      <c r="G606" t="s">
        <v>170</v>
      </c>
      <c r="H606">
        <v>3000</v>
      </c>
      <c r="I606" s="5">
        <v>106233</v>
      </c>
      <c r="K606" s="5">
        <v>103655.87</v>
      </c>
      <c r="L606" s="5">
        <v>35.411000000000001</v>
      </c>
      <c r="M606" s="5">
        <v>34.551956666666662</v>
      </c>
      <c r="N606" s="5">
        <v>-2577.1300000000047</v>
      </c>
      <c r="O606" s="3">
        <v>-2.4259222652094969E-2</v>
      </c>
      <c r="P606" s="9">
        <f t="shared" si="9"/>
        <v>220167.31845814001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197</v>
      </c>
      <c r="B607" t="s">
        <v>303</v>
      </c>
      <c r="C607" t="s">
        <v>97</v>
      </c>
      <c r="D607" t="s">
        <v>7</v>
      </c>
      <c r="E607" s="11">
        <v>45448</v>
      </c>
      <c r="F607" s="7">
        <v>45457</v>
      </c>
      <c r="G607" t="s">
        <v>277</v>
      </c>
      <c r="H607">
        <v>15</v>
      </c>
      <c r="I607" s="5">
        <f>-275.4+3849.55</f>
        <v>3574.15</v>
      </c>
      <c r="J607" s="13">
        <v>100</v>
      </c>
      <c r="K607" s="5">
        <f>Table13[[#This Row],[Open Value]]+Table13[[#This Row],[PnL]]</f>
        <v>2427.91</v>
      </c>
      <c r="L607" s="5">
        <f>Table13[[#This Row],[Open Value]]/Table13[[#This Row],[Shares]]</f>
        <v>238.27666666666667</v>
      </c>
      <c r="M607" s="5">
        <f>Table13[[#This Row],[Close Value]]/Table13[[#This Row],[Shares]]/Table13[[#This Row],[Multiplier]]</f>
        <v>1.6186066666666665</v>
      </c>
      <c r="N607" s="5">
        <f>-1218.14+71.9</f>
        <v>-1146.24</v>
      </c>
      <c r="O607" s="3">
        <f>Table13[[#This Row],[PnL]]/Table13[[#This Row],[Open Value]]</f>
        <v>-0.32070282444777082</v>
      </c>
      <c r="P607" s="9">
        <f t="shared" si="9"/>
        <v>219021.07845814002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201</v>
      </c>
      <c r="B608" t="s">
        <v>303</v>
      </c>
      <c r="C608" t="s">
        <v>16</v>
      </c>
      <c r="D608" t="s">
        <v>7</v>
      </c>
      <c r="E608" s="11">
        <v>45449</v>
      </c>
      <c r="F608" s="7">
        <v>45460</v>
      </c>
      <c r="G608" t="s">
        <v>280</v>
      </c>
      <c r="H608">
        <v>575</v>
      </c>
      <c r="I608" s="5">
        <v>101214.38</v>
      </c>
      <c r="K608" s="5">
        <v>105561.07</v>
      </c>
      <c r="L608" s="5">
        <v>176.02500869565219</v>
      </c>
      <c r="M608" s="5">
        <v>183.5844695652174</v>
      </c>
      <c r="N608" s="5">
        <v>4346.6900000000023</v>
      </c>
      <c r="O608" s="3">
        <v>4.2945379895623546E-2</v>
      </c>
      <c r="P608" s="9">
        <f t="shared" si="9"/>
        <v>223367.76845814002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12</v>
      </c>
      <c r="D609" t="s">
        <v>7</v>
      </c>
      <c r="E609" s="11">
        <v>45437</v>
      </c>
      <c r="F609" s="7">
        <v>45460</v>
      </c>
      <c r="G609" t="s">
        <v>286</v>
      </c>
      <c r="H609">
        <v>2</v>
      </c>
      <c r="I609" s="5">
        <v>154280.94</v>
      </c>
      <c r="J609" s="13">
        <v>375</v>
      </c>
      <c r="K609" s="5">
        <f>Table13[[#This Row],[Open Value]]+Table13[[#This Row],[PnL]]</f>
        <v>170356.56</v>
      </c>
      <c r="L609" s="5">
        <f>Table13[[#This Row],[Open Value]]/Table13[[#This Row],[Shares]]/Table13[[#This Row],[Multiplier]]</f>
        <v>205.70792</v>
      </c>
      <c r="M609" s="5">
        <f>Table13[[#This Row],[Close Value]]/Table13[[#This Row],[Shares]]/Table13[[#This Row],[Multiplier]]</f>
        <v>227.14207999999999</v>
      </c>
      <c r="N609" s="5">
        <v>16075.62</v>
      </c>
      <c r="O609" s="3">
        <f>Table13[[#This Row],[PnL]]/Table13[[#This Row],[Open Value]]</f>
        <v>0.10419705765339517</v>
      </c>
      <c r="P609" s="9">
        <f t="shared" si="9"/>
        <v>239443.38845814002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197</v>
      </c>
      <c r="B610" t="s">
        <v>303</v>
      </c>
      <c r="C610" t="s">
        <v>102</v>
      </c>
      <c r="D610" t="s">
        <v>7</v>
      </c>
      <c r="E610" s="5"/>
      <c r="F610" s="7">
        <v>45461</v>
      </c>
      <c r="G610" t="s">
        <v>9</v>
      </c>
      <c r="H610">
        <v>40</v>
      </c>
      <c r="I610" s="5">
        <v>10064</v>
      </c>
      <c r="J610" s="13">
        <v>100</v>
      </c>
      <c r="K610" s="5">
        <v>10584</v>
      </c>
      <c r="L610" s="5">
        <f>Table13[[#This Row],[Open Value]]/Table13[[#This Row],[Shares]]/Table13[[#This Row],[Multiplier]]</f>
        <v>2.516</v>
      </c>
      <c r="M610" s="5">
        <f>Table13[[#This Row],[Close Value]]/Table13[[#This Row],[Shares]]/Table13[[#This Row],[Multiplier]]</f>
        <v>2.6460000000000004</v>
      </c>
      <c r="N610" s="5">
        <v>520</v>
      </c>
      <c r="O610" s="3">
        <v>5.1669316375198865E-2</v>
      </c>
      <c r="P610" s="9">
        <f t="shared" si="9"/>
        <v>239963.38845814002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201</v>
      </c>
      <c r="B611" t="s">
        <v>303</v>
      </c>
      <c r="C611" t="s">
        <v>12</v>
      </c>
      <c r="D611" t="s">
        <v>7</v>
      </c>
      <c r="E611" s="11">
        <v>45448</v>
      </c>
      <c r="F611" s="7">
        <v>45461</v>
      </c>
      <c r="G611" t="s">
        <v>85</v>
      </c>
      <c r="H611">
        <v>7</v>
      </c>
      <c r="I611" s="5">
        <v>50530.89</v>
      </c>
      <c r="J611" s="13">
        <v>0.1</v>
      </c>
      <c r="K611" s="5">
        <f>Table13[[#This Row],[Open Value]]+Table13[[#This Row],[PnL]]</f>
        <v>45325.89</v>
      </c>
      <c r="L611" s="5">
        <f>Table13[[#This Row],[Open Value]]/Table13[[#This Row],[Shares]]/Table13[[#This Row],[Multiplier]]</f>
        <v>72186.985714285707</v>
      </c>
      <c r="M611" s="5">
        <f>Table13[[#This Row],[Close Value]]/Table13[[#This Row],[Shares]]/Table13[[#This Row],[Multiplier]]</f>
        <v>64751.271428571425</v>
      </c>
      <c r="N611" s="5">
        <v>-5205</v>
      </c>
      <c r="O611" s="3">
        <f>Table13[[#This Row],[PnL]]/Table13[[#This Row],[Open Value]]</f>
        <v>-0.1030062997109293</v>
      </c>
      <c r="P611" s="9">
        <f t="shared" si="9"/>
        <v>234758.38845814002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16</v>
      </c>
      <c r="D612" t="s">
        <v>7</v>
      </c>
      <c r="E612" s="11">
        <v>45449</v>
      </c>
      <c r="F612" s="7">
        <v>45463</v>
      </c>
      <c r="G612" t="s">
        <v>224</v>
      </c>
      <c r="H612">
        <v>5000</v>
      </c>
      <c r="I612" s="5">
        <v>75421</v>
      </c>
      <c r="J612" s="13">
        <v>1</v>
      </c>
      <c r="K612" s="5">
        <f>Table13[[#This Row],[Open Value]]+Table13[[#This Row],[PnL]]</f>
        <v>78684.73</v>
      </c>
      <c r="L612" s="5">
        <f>Table13[[#This Row],[Open Value]]/Table13[[#This Row],[Shares]]/Table13[[#This Row],[Multiplier]]</f>
        <v>15.084199999999999</v>
      </c>
      <c r="M612" s="5">
        <f>Table13[[#This Row],[Close Value]]/Table13[[#This Row],[Shares]]/Table13[[#This Row],[Multiplier]]</f>
        <v>15.736946</v>
      </c>
      <c r="N612" s="5">
        <v>3263.73</v>
      </c>
      <c r="O612" s="3">
        <f>Table13[[#This Row],[PnL]]/Table13[[#This Row],[Open Value]]</f>
        <v>4.3273491467893554E-2</v>
      </c>
      <c r="P612" s="9">
        <f t="shared" si="9"/>
        <v>238022.11845814003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197</v>
      </c>
      <c r="B613" t="s">
        <v>302</v>
      </c>
      <c r="C613" t="s">
        <v>97</v>
      </c>
      <c r="D613" t="s">
        <v>7</v>
      </c>
      <c r="E613" s="11">
        <v>45453</v>
      </c>
      <c r="F613" s="7">
        <v>45463</v>
      </c>
      <c r="G613" t="s">
        <v>130</v>
      </c>
      <c r="H613">
        <v>40</v>
      </c>
      <c r="I613" s="5">
        <f>4682.68-1037.17</f>
        <v>3645.51</v>
      </c>
      <c r="J613" s="13">
        <v>100</v>
      </c>
      <c r="K613" s="5">
        <f>Table13[[#This Row],[Open Value]]+Table13[[#This Row],[PnL]]</f>
        <v>1333.0100000000002</v>
      </c>
      <c r="L613" s="5">
        <f>Table13[[#This Row],[Open Value]]/Table13[[#This Row],[Shares]]/Table13[[#This Row],[Multiplier]]</f>
        <v>0.91137750000000006</v>
      </c>
      <c r="M613" s="5">
        <f>Table13[[#This Row],[Close Value]]/Table13[[#This Row],[Shares]]/Table13[[#This Row],[Multiplier]]</f>
        <v>0.33325250000000006</v>
      </c>
      <c r="N613" s="5">
        <f>-3025.76+713.26</f>
        <v>-2312.5</v>
      </c>
      <c r="O613" s="3">
        <f>Table13[[#This Row],[PnL]]/Table13[[#This Row],[Open Value]]</f>
        <v>-0.63434197135654546</v>
      </c>
      <c r="P613" s="9">
        <f t="shared" si="9"/>
        <v>235709.61845814003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99</v>
      </c>
      <c r="D614" t="s">
        <v>7</v>
      </c>
      <c r="E614" s="11">
        <v>45453</v>
      </c>
      <c r="F614" s="7">
        <v>45464</v>
      </c>
      <c r="G614" t="s">
        <v>133</v>
      </c>
      <c r="H614">
        <v>10</v>
      </c>
      <c r="I614" s="5">
        <v>3326.92</v>
      </c>
      <c r="J614" s="13">
        <v>100</v>
      </c>
      <c r="K614" s="5">
        <v>0</v>
      </c>
      <c r="L614" s="5">
        <f>Table13[[#This Row],[Open Value]]/Table13[[#This Row],[Shares]]/Table13[[#This Row],[Multiplier]]</f>
        <v>3.3269199999999999</v>
      </c>
      <c r="M614" s="5">
        <f>Table13[[#This Row],[Close Value]]/Table13[[#This Row],[Shares]]/Table13[[#This Row],[Multiplier]]</f>
        <v>0</v>
      </c>
      <c r="N614" s="5">
        <v>-3326.92</v>
      </c>
      <c r="O614" s="3">
        <v>-1</v>
      </c>
      <c r="P614" s="9">
        <f t="shared" si="9"/>
        <v>232382.69845814002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201</v>
      </c>
      <c r="B615" t="s">
        <v>303</v>
      </c>
      <c r="C615" t="s">
        <v>16</v>
      </c>
      <c r="D615" t="s">
        <v>7</v>
      </c>
      <c r="E615" s="5"/>
      <c r="F615" s="7">
        <v>45464</v>
      </c>
      <c r="G615" t="s">
        <v>11</v>
      </c>
      <c r="H615">
        <v>125</v>
      </c>
      <c r="I615" s="5">
        <v>112327.5</v>
      </c>
      <c r="J615" s="13">
        <v>1</v>
      </c>
      <c r="K615" s="5">
        <v>140081.62</v>
      </c>
      <c r="L615" s="5">
        <f>Table13[[#This Row],[Open Value]]/Table13[[#This Row],[Shares]]/Table13[[#This Row],[Multiplier]]</f>
        <v>898.62</v>
      </c>
      <c r="M615" s="5">
        <f>Table13[[#This Row],[Close Value]]/Table13[[#This Row],[Shares]]/Table13[[#This Row],[Multiplier]]</f>
        <v>1120.6529599999999</v>
      </c>
      <c r="N615" s="5">
        <v>27401</v>
      </c>
      <c r="O615" s="3">
        <v>0.24708214818276911</v>
      </c>
      <c r="P615" s="9">
        <f t="shared" si="9"/>
        <v>259783.69845814002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72</v>
      </c>
      <c r="H616">
        <v>200</v>
      </c>
      <c r="I616" s="5">
        <v>42913</v>
      </c>
      <c r="J616" s="13">
        <v>1</v>
      </c>
      <c r="K616" s="5">
        <v>40260.79</v>
      </c>
      <c r="L616" s="5">
        <f>Table13[[#This Row],[Open Value]]/Table13[[#This Row],[Shares]]/Table13[[#This Row],[Multiplier]]</f>
        <v>214.565</v>
      </c>
      <c r="M616" s="5">
        <f>Table13[[#This Row],[Close Value]]/Table13[[#This Row],[Shares]]/Table13[[#This Row],[Multiplier]]</f>
        <v>201.30395000000001</v>
      </c>
      <c r="N616" s="5">
        <v>-2652.2099999999991</v>
      </c>
      <c r="O616" s="3">
        <v>-2.5000000000000001E-2</v>
      </c>
      <c r="P616" s="9">
        <f t="shared" si="9"/>
        <v>257131.48845814003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302</v>
      </c>
      <c r="C617" t="s">
        <v>12</v>
      </c>
      <c r="D617" t="s">
        <v>7</v>
      </c>
      <c r="E617" s="11">
        <v>45464</v>
      </c>
      <c r="F617" s="7">
        <v>45467</v>
      </c>
      <c r="G617" t="s">
        <v>268</v>
      </c>
      <c r="H617">
        <v>3</v>
      </c>
      <c r="I617" s="5">
        <v>335182.40999999997</v>
      </c>
      <c r="J617" s="13">
        <v>25000</v>
      </c>
      <c r="K617" s="5">
        <f>Table13[[#This Row],[Open Value]]+Table13[[#This Row],[PnL]]</f>
        <v>332355.08999999997</v>
      </c>
      <c r="L617" s="5">
        <f>Table13[[#This Row],[Open Value]]/Table13[[#This Row],[Shares]]/Table13[[#This Row],[Multiplier]]</f>
        <v>4.4690987999999994</v>
      </c>
      <c r="M617" s="5">
        <f>Table13[[#This Row],[Close Value]]/Table13[[#This Row],[Shares]]/Table13[[#This Row],[Multiplier]]</f>
        <v>4.4314011999999989</v>
      </c>
      <c r="N617" s="5">
        <v>-2827.32</v>
      </c>
      <c r="O617" s="3">
        <f>Table13[[#This Row],[PnL]]/Table13[[#This Row],[Open Value]]</f>
        <v>-8.4351681820057332E-3</v>
      </c>
      <c r="P617" s="9">
        <f t="shared" si="9"/>
        <v>254304.16845814002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197</v>
      </c>
      <c r="B618" t="s">
        <v>305</v>
      </c>
      <c r="C618" t="s">
        <v>102</v>
      </c>
      <c r="D618" t="s">
        <v>7</v>
      </c>
      <c r="E618" s="11">
        <v>45359</v>
      </c>
      <c r="F618" s="7">
        <v>45467</v>
      </c>
      <c r="G618" t="s">
        <v>15</v>
      </c>
      <c r="H618">
        <v>50</v>
      </c>
      <c r="I618" s="5">
        <v>30282.5</v>
      </c>
      <c r="J618" s="13">
        <v>1</v>
      </c>
      <c r="K618" s="5">
        <v>0</v>
      </c>
      <c r="L618" s="5">
        <f>Table13[[#This Row],[Open Value]]/Table13[[#This Row],[Shares]]/Table13[[#This Row],[Multiplier]]</f>
        <v>605.65</v>
      </c>
      <c r="M618" s="5">
        <f>Table13[[#This Row],[Close Value]]/Table13[[#This Row],[Shares]]/Table13[[#This Row],[Multiplier]]</f>
        <v>0</v>
      </c>
      <c r="N618" s="5">
        <f>Table13[[#This Row],[Close Value]]-Table13[[#This Row],[Open Value]]</f>
        <v>-30282.5</v>
      </c>
      <c r="O618" s="3">
        <f>Table13[[#This Row],[PnL]]/Table13[[#This Row],[Open Value]]</f>
        <v>-1</v>
      </c>
      <c r="P618" s="9">
        <f t="shared" si="9"/>
        <v>224021.66845814002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203</v>
      </c>
    </row>
    <row r="619" spans="1:20" x14ac:dyDescent="0.25">
      <c r="A619" t="s">
        <v>197</v>
      </c>
      <c r="B619" t="s">
        <v>303</v>
      </c>
      <c r="C619" t="s">
        <v>102</v>
      </c>
      <c r="D619" t="s">
        <v>7</v>
      </c>
      <c r="E619" s="11">
        <v>45356</v>
      </c>
      <c r="F619" s="7">
        <v>45467</v>
      </c>
      <c r="G619" t="s">
        <v>293</v>
      </c>
      <c r="H619">
        <v>400</v>
      </c>
      <c r="I619" s="5">
        <v>30260</v>
      </c>
      <c r="J619" s="13">
        <v>100</v>
      </c>
      <c r="K619" s="5">
        <v>0</v>
      </c>
      <c r="L619" s="5">
        <f>Table13[[#This Row],[Open Value]]/Table13[[#This Row],[Shares]]/Table13[[#This Row],[Multiplier]]</f>
        <v>0.75650000000000006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-30260</v>
      </c>
      <c r="O619" s="3">
        <f>Table13[[#This Row],[PnL]]/Table13[[#This Row],[Open Value]]</f>
        <v>-1</v>
      </c>
      <c r="P619" s="9">
        <f t="shared" si="9"/>
        <v>193761.66845814002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201</v>
      </c>
      <c r="B620" t="s">
        <v>303</v>
      </c>
      <c r="C620" t="s">
        <v>16</v>
      </c>
      <c r="D620" t="s">
        <v>7</v>
      </c>
      <c r="E620" s="5"/>
      <c r="F620" s="7">
        <v>45468</v>
      </c>
      <c r="G620" t="s">
        <v>195</v>
      </c>
      <c r="H620">
        <v>1450</v>
      </c>
      <c r="I620" s="5">
        <v>71920</v>
      </c>
      <c r="J620" s="13">
        <v>1</v>
      </c>
      <c r="K620" s="5">
        <v>72664.66</v>
      </c>
      <c r="L620" s="5">
        <f>Table13[[#This Row],[Open Value]]/Table13[[#This Row],[Shares]]/Table13[[#This Row],[Multiplier]]</f>
        <v>49.6</v>
      </c>
      <c r="M620" s="5">
        <f>Table13[[#This Row],[Close Value]]/Table13[[#This Row],[Shares]]/Table13[[#This Row],[Multiplier]]</f>
        <v>50.113558620689659</v>
      </c>
      <c r="N620" s="5">
        <v>744.66000000000349</v>
      </c>
      <c r="O620" s="3">
        <v>1.0354004449388257E-2</v>
      </c>
      <c r="P620" s="9">
        <f t="shared" si="9"/>
        <v>194506.32845814002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301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11">
        <v>45461</v>
      </c>
      <c r="F621" s="7">
        <v>45468</v>
      </c>
      <c r="G621" t="s">
        <v>284</v>
      </c>
      <c r="H621">
        <v>6500</v>
      </c>
      <c r="I621" s="5">
        <v>275625.15999999997</v>
      </c>
      <c r="J621" s="13">
        <v>1</v>
      </c>
      <c r="K621" s="5">
        <f>Table13[[#This Row],[Open Value]]+Table13[[#This Row],[PnL]]</f>
        <v>270801.52999999997</v>
      </c>
      <c r="L621" s="5">
        <f>Table13[[#This Row],[Open Value]]/Table13[[#This Row],[Shares]]/Table13[[#This Row],[Multiplier]]</f>
        <v>42.403870769230764</v>
      </c>
      <c r="M621" s="5">
        <f>Table13[[#This Row],[Close Value]]/Table13[[#This Row],[Shares]]/Table13[[#This Row],[Multiplier]]</f>
        <v>41.661773846153842</v>
      </c>
      <c r="N621" s="5">
        <v>-4823.63</v>
      </c>
      <c r="O621" s="3">
        <f>Table13[[#This Row],[PnL]]/Table13[[#This Row],[Open Value]]</f>
        <v>-1.7500688253568725E-2</v>
      </c>
      <c r="P621" s="9">
        <f t="shared" si="9"/>
        <v>189682.69845814002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302</v>
      </c>
      <c r="C622" t="s">
        <v>12</v>
      </c>
      <c r="D622" t="s">
        <v>7</v>
      </c>
      <c r="E622" s="11">
        <v>45467</v>
      </c>
      <c r="F622" s="7">
        <v>45468</v>
      </c>
      <c r="G622" t="s">
        <v>268</v>
      </c>
      <c r="H622">
        <v>3</v>
      </c>
      <c r="I622" s="5">
        <v>331762.5</v>
      </c>
      <c r="J622" s="13">
        <v>25000</v>
      </c>
      <c r="K622" s="5">
        <f>Table13[[#This Row],[Open Value]]+Table13[[#This Row],[PnL]]</f>
        <v>326835.18</v>
      </c>
      <c r="L622" s="5">
        <f>Table13[[#This Row],[Open Value]]/Table13[[#This Row],[Shares]]/Table13[[#This Row],[Multiplier]]</f>
        <v>4.4234999999999998</v>
      </c>
      <c r="M622" s="5">
        <f>Table13[[#This Row],[Close Value]]/Table13[[#This Row],[Shares]]/Table13[[#This Row],[Multiplier]]</f>
        <v>4.3578023999999997</v>
      </c>
      <c r="N622" s="5">
        <v>-4927.32</v>
      </c>
      <c r="O622" s="3">
        <f>Table13[[#This Row],[PnL]]/Table13[[#This Row],[Open Value]]</f>
        <v>-1.48519498134961E-2</v>
      </c>
      <c r="P622" s="9">
        <f t="shared" si="9"/>
        <v>184755.37845814001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303</v>
      </c>
      <c r="C623" t="s">
        <v>12</v>
      </c>
      <c r="D623" t="s">
        <v>7</v>
      </c>
      <c r="E623" s="11">
        <v>45448</v>
      </c>
      <c r="F623" s="7">
        <v>45469</v>
      </c>
      <c r="G623" t="s">
        <v>88</v>
      </c>
      <c r="H623">
        <v>10</v>
      </c>
      <c r="I623" s="5">
        <v>210544.9</v>
      </c>
      <c r="J623" s="13">
        <v>1120</v>
      </c>
      <c r="K623" s="5">
        <f>Table13[[#This Row],[Open Value]]+Table13[[#This Row],[PnL]]</f>
        <v>213106.3</v>
      </c>
      <c r="L623" s="5">
        <f>Table13[[#This Row],[Open Value]]/Table13[[#This Row],[Shares]]/Table13[[#This Row],[Multiplier]]</f>
        <v>18.798651785714284</v>
      </c>
      <c r="M623" s="5">
        <f>Table13[[#This Row],[Close Value]]/Table13[[#This Row],[Shares]]/Table13[[#This Row],[Multiplier]]</f>
        <v>19.027348214285713</v>
      </c>
      <c r="N623" s="5">
        <v>2561.4</v>
      </c>
      <c r="O623" s="3">
        <f>Table13[[#This Row],[PnL]]/Table13[[#This Row],[Open Value]]</f>
        <v>1.2165576083771206E-2</v>
      </c>
      <c r="P623" s="9">
        <f t="shared" si="9"/>
        <v>187316.77845814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197</v>
      </c>
      <c r="B624" t="s">
        <v>302</v>
      </c>
      <c r="C624" t="s">
        <v>97</v>
      </c>
      <c r="D624" t="s">
        <v>7</v>
      </c>
      <c r="E624" s="11">
        <v>45457</v>
      </c>
      <c r="F624" s="7">
        <v>45470</v>
      </c>
      <c r="G624" t="s">
        <v>186</v>
      </c>
      <c r="H624">
        <v>8</v>
      </c>
      <c r="I624" s="5">
        <v>2824</v>
      </c>
      <c r="J624" s="13">
        <v>100</v>
      </c>
      <c r="K624" s="5">
        <v>3020.57</v>
      </c>
      <c r="L624" s="5">
        <v>3.53</v>
      </c>
      <c r="M624" s="5">
        <v>3.7757125</v>
      </c>
      <c r="N624" s="5">
        <v>196.57000000000016</v>
      </c>
      <c r="O624" s="3">
        <v>6.9606940509915075E-2</v>
      </c>
      <c r="P624" s="9">
        <f t="shared" si="9"/>
        <v>187513.34845814001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98</v>
      </c>
      <c r="D625" t="s">
        <v>7</v>
      </c>
      <c r="E625" s="11">
        <v>45464</v>
      </c>
      <c r="F625" s="7">
        <v>45470</v>
      </c>
      <c r="G625" t="s">
        <v>251</v>
      </c>
      <c r="H625">
        <v>2</v>
      </c>
      <c r="I625" s="5">
        <f>3803.05-300.94</f>
        <v>3502.11</v>
      </c>
      <c r="J625" s="13">
        <v>100</v>
      </c>
      <c r="K625" s="5">
        <f>Table13[[#This Row],[Open Value]]+Table13[[#This Row],[PnL]]</f>
        <v>1705.15</v>
      </c>
      <c r="L625" s="5">
        <f>Table13[[#This Row],[Open Value]]/Table13[[#This Row],[Shares]]/Table13[[#This Row],[Multiplier]]</f>
        <v>17.510550000000002</v>
      </c>
      <c r="M625" s="5">
        <f>Table13[[#This Row],[Close Value]]/Table13[[#This Row],[Shares]]/Table13[[#This Row],[Multiplier]]</f>
        <v>8.5257500000000004</v>
      </c>
      <c r="N625" s="5">
        <f>201.54-1998.5</f>
        <v>-1796.96</v>
      </c>
      <c r="O625" s="3">
        <f>Table13[[#This Row],[PnL]]/Table13[[#This Row],[Open Value]]</f>
        <v>-0.51310781214753387</v>
      </c>
      <c r="P625" s="9">
        <f t="shared" si="9"/>
        <v>185716.38845814002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97</v>
      </c>
      <c r="D626" t="s">
        <v>7</v>
      </c>
      <c r="E626" s="11">
        <v>45464</v>
      </c>
      <c r="F626" s="7">
        <v>45471</v>
      </c>
      <c r="G626" t="s">
        <v>278</v>
      </c>
      <c r="H626">
        <v>10</v>
      </c>
      <c r="I626" s="5">
        <v>3150</v>
      </c>
      <c r="J626" s="13">
        <v>100</v>
      </c>
      <c r="K626" s="5">
        <v>3616.48</v>
      </c>
      <c r="L626" s="5">
        <f>Table13[[#This Row],[Open Value]]/Table13[[#This Row],[Shares]]/Table13[[#This Row],[Multiplier]]</f>
        <v>3.15</v>
      </c>
      <c r="M626" s="5">
        <f>Table13[[#This Row],[Close Value]]/Table13[[#This Row],[Shares]]/Table13[[#This Row],[Multiplier]]</f>
        <v>3.6164800000000001</v>
      </c>
      <c r="N626" s="5">
        <v>466.48</v>
      </c>
      <c r="O626" s="3">
        <v>0.14808888888888896</v>
      </c>
      <c r="P626" s="9">
        <f t="shared" si="9"/>
        <v>186182.86845814003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98</v>
      </c>
      <c r="D627" t="s">
        <v>7</v>
      </c>
      <c r="E627" s="11">
        <v>45455</v>
      </c>
      <c r="F627" s="7">
        <v>45471</v>
      </c>
      <c r="G627" t="s">
        <v>10</v>
      </c>
      <c r="H627">
        <v>20</v>
      </c>
      <c r="I627" s="5">
        <v>2460</v>
      </c>
      <c r="J627" s="13">
        <v>100</v>
      </c>
      <c r="K627" s="5">
        <v>0</v>
      </c>
      <c r="L627" s="5">
        <f>Table13[[#This Row],[Open Value]]/Table13[[#This Row],[Shares]]/Table13[[#This Row],[Multiplier]]</f>
        <v>1.23</v>
      </c>
      <c r="M627" s="5">
        <f>Table13[[#This Row],[Close Value]]/Table13[[#This Row],[Shares]]/Table13[[#This Row],[Multiplier]]</f>
        <v>0</v>
      </c>
      <c r="N627" s="5">
        <v>-2460</v>
      </c>
      <c r="O627" s="3">
        <v>-1</v>
      </c>
      <c r="P627" s="9">
        <f t="shared" si="9"/>
        <v>183722.86845814003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45467</v>
      </c>
      <c r="F628" s="7">
        <v>45471</v>
      </c>
      <c r="G628" t="s">
        <v>53</v>
      </c>
      <c r="H628">
        <v>125</v>
      </c>
      <c r="I628" s="5">
        <v>2896</v>
      </c>
      <c r="J628" s="13">
        <v>100</v>
      </c>
      <c r="K628" s="5">
        <v>5933.25</v>
      </c>
      <c r="L628" s="5">
        <f>Table13[[#This Row],[Open Value]]/Table13[[#This Row],[Shares]]/Table13[[#This Row],[Multiplier]]</f>
        <v>0.23168</v>
      </c>
      <c r="M628" s="5">
        <f>Table13[[#This Row],[Close Value]]/Table13[[#This Row],[Shares]]/Table13[[#This Row],[Multiplier]]</f>
        <v>0.47466000000000003</v>
      </c>
      <c r="N628" s="5">
        <v>3037.25</v>
      </c>
      <c r="O628" s="3">
        <v>1.0487741712707184</v>
      </c>
      <c r="P628" s="9">
        <f t="shared" si="9"/>
        <v>186760.11845814003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97</v>
      </c>
      <c r="D629" t="s">
        <v>7</v>
      </c>
      <c r="E629" s="11">
        <v>45464</v>
      </c>
      <c r="F629" s="7">
        <v>45471</v>
      </c>
      <c r="G629" t="s">
        <v>278</v>
      </c>
      <c r="H629">
        <v>10</v>
      </c>
      <c r="I629" s="5">
        <f>3371.47-212.5</f>
        <v>3158.97</v>
      </c>
      <c r="J629" s="13">
        <v>100</v>
      </c>
      <c r="K629" s="5">
        <f>Table13[[#This Row],[Open Value]]+Table13[[#This Row],[PnL]]</f>
        <v>3625.45</v>
      </c>
      <c r="L629" s="5">
        <f>Table13[[#This Row],[Open Value]]/Table13[[#This Row],[Shares]]/Table13[[#This Row],[Multiplier]]</f>
        <v>3.1589700000000001</v>
      </c>
      <c r="M629" s="5">
        <f>Table13[[#This Row],[Close Value]]/Table13[[#This Row],[Shares]]/Table13[[#This Row],[Multiplier]]</f>
        <v>3.6254499999999994</v>
      </c>
      <c r="N629" s="5">
        <f>350.42+116.06</f>
        <v>466.48</v>
      </c>
      <c r="O629" s="3">
        <f>Table13[[#This Row],[PnL]]/Table13[[#This Row],[Open Value]]</f>
        <v>0.14766838558137621</v>
      </c>
      <c r="P629" s="9">
        <f t="shared" si="9"/>
        <v>187226.59845814004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102</v>
      </c>
      <c r="D630" t="s">
        <v>7</v>
      </c>
      <c r="E630" s="11">
        <v>45455</v>
      </c>
      <c r="F630" s="7">
        <v>45471</v>
      </c>
      <c r="G630" t="s">
        <v>10</v>
      </c>
      <c r="H630">
        <v>3</v>
      </c>
      <c r="I630" s="5">
        <v>9575</v>
      </c>
      <c r="J630" s="13">
        <v>100</v>
      </c>
      <c r="K630" s="5">
        <f>Table13[[#This Row],[Open Value]]+Table13[[#This Row],[PnL]]</f>
        <v>23030.879999999997</v>
      </c>
      <c r="L630" s="5">
        <f>Table13[[#This Row],[Open Value]]/Table13[[#This Row],[Shares]]/Table13[[#This Row],[Multiplier]]</f>
        <v>31.916666666666664</v>
      </c>
      <c r="M630" s="5">
        <f>Table13[[#This Row],[Close Value]]/Table13[[#This Row],[Shares]]/Table13[[#This Row],[Multiplier]]</f>
        <v>76.769599999999997</v>
      </c>
      <c r="N630" s="5">
        <v>13455.88</v>
      </c>
      <c r="O630" s="3">
        <f>Table13[[#This Row],[PnL]]/Table13[[#This Row],[Open Value]]</f>
        <v>1.4053138381201045</v>
      </c>
      <c r="P630" s="9">
        <f t="shared" si="9"/>
        <v>200682.47845814005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45397</v>
      </c>
      <c r="F631" s="7">
        <v>45473</v>
      </c>
      <c r="G631" t="s">
        <v>10</v>
      </c>
      <c r="H631">
        <v>8</v>
      </c>
      <c r="I631" s="5">
        <v>14405.49</v>
      </c>
      <c r="J631" s="13">
        <v>100</v>
      </c>
      <c r="K631" s="5">
        <v>27867</v>
      </c>
      <c r="L631" s="5">
        <v>18.0068625</v>
      </c>
      <c r="M631" s="5">
        <v>34.833750000000002</v>
      </c>
      <c r="N631" s="5">
        <v>13461.51</v>
      </c>
      <c r="O631" s="3">
        <v>0.93447081633460582</v>
      </c>
      <c r="P631" s="9">
        <f t="shared" si="9"/>
        <v>214143.98845814005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98</v>
      </c>
      <c r="D632" t="s">
        <v>7</v>
      </c>
      <c r="E632" s="11">
        <v>45448</v>
      </c>
      <c r="F632" s="7">
        <v>45473</v>
      </c>
      <c r="G632" t="s">
        <v>276</v>
      </c>
      <c r="H632">
        <v>30</v>
      </c>
      <c r="I632" s="5">
        <v>3621</v>
      </c>
      <c r="J632" s="13">
        <v>100</v>
      </c>
      <c r="K632" s="5">
        <v>5236</v>
      </c>
      <c r="L632" s="5">
        <f>Table13[[#This Row],[Open Value]]/Table13[[#This Row],[Shares]]/Table13[[#This Row],[Multiplier]]</f>
        <v>1.2070000000000001</v>
      </c>
      <c r="M632" s="5">
        <f>Table13[[#This Row],[Close Value]]/Table13[[#This Row],[Shares]]/Table13[[#This Row],[Multiplier]]</f>
        <v>1.7453333333333334</v>
      </c>
      <c r="N632" s="5">
        <v>1615</v>
      </c>
      <c r="O632" s="3">
        <v>0.4460093896713615</v>
      </c>
      <c r="P632" s="9">
        <f t="shared" si="9"/>
        <v>215758.98845814005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97</v>
      </c>
      <c r="D633" t="s">
        <v>7</v>
      </c>
      <c r="E633" s="11">
        <v>45474</v>
      </c>
      <c r="F633" s="7">
        <v>45474</v>
      </c>
      <c r="G633" t="s">
        <v>11</v>
      </c>
      <c r="H633">
        <v>12</v>
      </c>
      <c r="I633" s="5">
        <v>3788</v>
      </c>
      <c r="J633" s="13">
        <v>100</v>
      </c>
      <c r="K633" s="5">
        <v>4244</v>
      </c>
      <c r="L633" s="5">
        <f>Table13[[#This Row],[Open Value]]/Table13[[#This Row],[Shares]]/Table13[[#This Row],[Multiplier]]</f>
        <v>3.1566666666666667</v>
      </c>
      <c r="M633" s="5">
        <f>Table13[[#This Row],[Close Value]]/Table13[[#This Row],[Shares]]/Table13[[#This Row],[Multiplier]]</f>
        <v>3.5366666666666671</v>
      </c>
      <c r="N633" s="5">
        <v>456</v>
      </c>
      <c r="O633" s="3">
        <v>0.12038014783526937</v>
      </c>
      <c r="P633" s="9">
        <f t="shared" si="9"/>
        <v>216214.98845814005</v>
      </c>
      <c r="Q633" s="5" t="str">
        <f>TEXT(Table13[[#This Row],[Closing Date]],"yyyy")</f>
        <v>2024</v>
      </c>
      <c r="R633" s="5" t="str">
        <f>TEXT(Table13[[#This Row],[Closing Date]],"mmmm")</f>
        <v>July</v>
      </c>
      <c r="S633" s="5" t="s">
        <v>240</v>
      </c>
      <c r="T633" s="5" t="s">
        <v>301</v>
      </c>
    </row>
    <row r="634" spans="1:20" x14ac:dyDescent="0.25">
      <c r="A634" t="s">
        <v>201</v>
      </c>
      <c r="B634" t="s">
        <v>303</v>
      </c>
      <c r="C634" t="s">
        <v>4</v>
      </c>
      <c r="D634" t="s">
        <v>7</v>
      </c>
      <c r="E634" s="11">
        <v>45461</v>
      </c>
      <c r="F634" s="7">
        <v>45474</v>
      </c>
      <c r="G634" t="s">
        <v>287</v>
      </c>
      <c r="H634">
        <v>250000</v>
      </c>
      <c r="I634" s="5">
        <v>2058270</v>
      </c>
      <c r="J634" s="13">
        <v>1</v>
      </c>
      <c r="K634" s="5">
        <f>Table13[[#This Row],[Open Value]]+Table13[[#This Row],[PnL]]</f>
        <v>2053770.4748056266</v>
      </c>
      <c r="L634" s="5">
        <f>Table13[[#This Row],[Open Value]]/Table13[[#This Row],[Shares]]/Table13[[#This Row],[Multiplier]]</f>
        <v>8.2330799999999993</v>
      </c>
      <c r="M634" s="5">
        <f>Table13[[#This Row],[Close Value]]/Table13[[#This Row],[Shares]]/Table13[[#This Row],[Multiplier]]</f>
        <v>8.2150818992225059</v>
      </c>
      <c r="N634" s="5">
        <f>(2021880-Table13[[#This Row],[Open Value]])/8.08752</f>
        <v>-4499.5251943735539</v>
      </c>
      <c r="O634" s="3">
        <f>Table13[[#This Row],[PnL]]/Table13[[#This Row],[Open Value]]</f>
        <v>-2.1860714067510841E-3</v>
      </c>
      <c r="P634" s="9">
        <f t="shared" si="9"/>
        <v>211715.46326376649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45463</v>
      </c>
      <c r="F635" s="7">
        <v>45474</v>
      </c>
      <c r="G635" t="s">
        <v>288</v>
      </c>
      <c r="H635">
        <v>400000</v>
      </c>
      <c r="I635" s="5">
        <v>148146800</v>
      </c>
      <c r="J635" s="13">
        <v>1</v>
      </c>
      <c r="K635" s="5">
        <f>Table13[[#This Row],[Open Value]]+Table13[[#This Row],[PnL]]</f>
        <v>148142003.42833763</v>
      </c>
      <c r="L635" s="5">
        <f>Table13[[#This Row],[Open Value]]/Table13[[#This Row],[Shares]]/Table13[[#This Row],[Multiplier]]</f>
        <v>370.36700000000002</v>
      </c>
      <c r="M635" s="5">
        <f>Table13[[#This Row],[Close Value]]/Table13[[#This Row],[Shares]]/Table13[[#This Row],[Multiplier]]</f>
        <v>370.35500857084406</v>
      </c>
      <c r="N635" s="5">
        <f>(146400400-Table13[[#This Row],[Open Value]])/366.001-25</f>
        <v>-4796.5716623725075</v>
      </c>
      <c r="O635" s="3">
        <f>Table13[[#This Row],[PnL]]/Table13[[#This Row],[Open Value]]</f>
        <v>-3.237715335310994E-5</v>
      </c>
      <c r="P635" s="9">
        <f t="shared" si="9"/>
        <v>206918.89160139399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197</v>
      </c>
      <c r="B636" t="s">
        <v>302</v>
      </c>
      <c r="C636" t="s">
        <v>97</v>
      </c>
      <c r="D636" t="s">
        <v>7</v>
      </c>
      <c r="E636" s="11">
        <v>45468</v>
      </c>
      <c r="F636" s="7">
        <v>45476</v>
      </c>
      <c r="G636" t="s">
        <v>279</v>
      </c>
      <c r="H636">
        <v>10</v>
      </c>
      <c r="I636" s="5">
        <v>4050</v>
      </c>
      <c r="J636" s="13">
        <v>100</v>
      </c>
      <c r="K636" s="5">
        <v>4394.63</v>
      </c>
      <c r="L636" s="5">
        <f>Table13[[#This Row],[Open Value]]/Table13[[#This Row],[Shares]]/Table13[[#This Row],[Multiplier]]</f>
        <v>4.05</v>
      </c>
      <c r="M636" s="5">
        <f>Table13[[#This Row],[Close Value]]/Table13[[#This Row],[Shares]]/Table13[[#This Row],[Multiplier]]</f>
        <v>4.3946300000000003</v>
      </c>
      <c r="N636" s="5">
        <v>344.63000000000011</v>
      </c>
      <c r="O636" s="3">
        <v>8.5093827160493934E-2</v>
      </c>
      <c r="P636" s="9">
        <f t="shared" si="9"/>
        <v>207263.52160139399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99</v>
      </c>
      <c r="D637" t="s">
        <v>7</v>
      </c>
      <c r="E637" s="11">
        <v>45470</v>
      </c>
      <c r="F637" s="7">
        <v>45478</v>
      </c>
      <c r="G637" t="s">
        <v>266</v>
      </c>
      <c r="H637">
        <v>40</v>
      </c>
      <c r="I637" s="5">
        <v>2307.4699999999998</v>
      </c>
      <c r="J637" s="13">
        <v>100</v>
      </c>
      <c r="K637" s="5">
        <f>Table13[[#This Row],[Open Value]]+Table13[[#This Row],[PnL]]</f>
        <v>0</v>
      </c>
      <c r="L637" s="5">
        <f>Table13[[#This Row],[Open Value]]/Table13[[#This Row],[Shares]]/Table13[[#This Row],[Multiplier]]</f>
        <v>0.57686749999999998</v>
      </c>
      <c r="M637" s="5">
        <f>Table13[[#This Row],[Close Value]]/Table13[[#This Row],[Shares]]/Table13[[#This Row],[Multiplier]]</f>
        <v>0</v>
      </c>
      <c r="N637" s="5">
        <v>-2307.4699999999998</v>
      </c>
      <c r="O637" s="3">
        <f>Table13[[#This Row],[PnL]]/Table13[[#This Row],[Open Value]]</f>
        <v>-1</v>
      </c>
      <c r="P637" s="9">
        <f t="shared" si="9"/>
        <v>204956.05160139399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97</v>
      </c>
      <c r="D638" t="s">
        <v>7</v>
      </c>
      <c r="E638" s="11">
        <v>45474</v>
      </c>
      <c r="F638" s="7">
        <v>45478</v>
      </c>
      <c r="G638" t="s">
        <v>162</v>
      </c>
      <c r="H638">
        <v>6</v>
      </c>
      <c r="I638" s="5">
        <f>-93.9+3548.08</f>
        <v>3454.18</v>
      </c>
      <c r="J638" s="13">
        <v>100</v>
      </c>
      <c r="K638" s="5">
        <f>Table13[[#This Row],[Open Value]]+Table13[[#This Row],[PnL]]</f>
        <v>8453.09</v>
      </c>
      <c r="L638" s="5">
        <f>Table13[[#This Row],[Open Value]]/Table13[[#This Row],[Shares]]/Table13[[#This Row],[Multiplier]]</f>
        <v>5.7569666666666661</v>
      </c>
      <c r="M638" s="5">
        <f>Table13[[#This Row],[Close Value]]/Table13[[#This Row],[Shares]]/Table13[[#This Row],[Multiplier]]</f>
        <v>14.088483333333334</v>
      </c>
      <c r="N638" s="5">
        <f>4947.54+51.37</f>
        <v>4998.91</v>
      </c>
      <c r="O638" s="3">
        <f>Table13[[#This Row],[PnL]]/Table13[[#This Row],[Open Value]]</f>
        <v>1.4472059938972492</v>
      </c>
      <c r="P638" s="9">
        <f t="shared" si="9"/>
        <v>209954.961601394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99</v>
      </c>
      <c r="D639" t="s">
        <v>7</v>
      </c>
      <c r="E639" s="11">
        <v>45463</v>
      </c>
      <c r="F639" s="7">
        <v>45483</v>
      </c>
      <c r="G639" t="s">
        <v>130</v>
      </c>
      <c r="H639">
        <v>25</v>
      </c>
      <c r="I639" s="5">
        <v>3642.17</v>
      </c>
      <c r="J639" s="13">
        <v>100</v>
      </c>
      <c r="K639" s="5">
        <f>Table13[[#This Row],[Open Value]]+Table13[[#This Row],[PnL]]</f>
        <v>6128.59</v>
      </c>
      <c r="L639" s="5">
        <f>Table13[[#This Row],[Open Value]]/Table13[[#This Row],[Shares]]/Table13[[#This Row],[Multiplier]]</f>
        <v>1.4568680000000001</v>
      </c>
      <c r="M639" s="5">
        <f>Table13[[#This Row],[Close Value]]/Table13[[#This Row],[Shares]]/Table13[[#This Row],[Multiplier]]</f>
        <v>2.4514359999999997</v>
      </c>
      <c r="N639" s="5">
        <v>2486.42</v>
      </c>
      <c r="O639" s="3">
        <f>Table13[[#This Row],[PnL]]/Table13[[#This Row],[Open Value]]</f>
        <v>0.68267543799438246</v>
      </c>
      <c r="P639" s="9">
        <f t="shared" si="9"/>
        <v>212441.38160139401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201</v>
      </c>
      <c r="B640" t="s">
        <v>303</v>
      </c>
      <c r="C640" t="s">
        <v>12</v>
      </c>
      <c r="D640" t="s">
        <v>7</v>
      </c>
      <c r="E640" s="11">
        <v>45482</v>
      </c>
      <c r="F640" s="7">
        <v>45484</v>
      </c>
      <c r="G640" t="s">
        <v>86</v>
      </c>
      <c r="H640">
        <v>75</v>
      </c>
      <c r="I640" s="5">
        <v>323292.75</v>
      </c>
      <c r="J640" s="13">
        <v>1000</v>
      </c>
      <c r="K640" s="5">
        <f>Table13[[#This Row],[Open Value]]+Table13[[#This Row],[PnL]]</f>
        <v>313401.25</v>
      </c>
      <c r="L640" s="5">
        <f>Table13[[#This Row],[Open Value]]/Table13[[#This Row],[Shares]]/Table13[[#This Row],[Multiplier]]</f>
        <v>4.3105699999999993</v>
      </c>
      <c r="M640" s="5">
        <f>Table13[[#This Row],[Close Value]]/Table13[[#This Row],[Shares]]/Table13[[#This Row],[Multiplier]]</f>
        <v>4.1786833333333337</v>
      </c>
      <c r="N640" s="5">
        <v>-9891.5</v>
      </c>
      <c r="O640" s="3">
        <f>Table13[[#This Row],[PnL]]/Table13[[#This Row],[Open Value]]</f>
        <v>-3.0596108325967718E-2</v>
      </c>
      <c r="P640" s="9">
        <f t="shared" si="9"/>
        <v>202549.88160139401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16</v>
      </c>
      <c r="D641" t="s">
        <v>7</v>
      </c>
      <c r="E641" s="11">
        <v>45447</v>
      </c>
      <c r="F641" s="7">
        <v>45485</v>
      </c>
      <c r="G641" t="s">
        <v>139</v>
      </c>
      <c r="H641">
        <v>650</v>
      </c>
      <c r="I641" s="5">
        <v>94680.27</v>
      </c>
      <c r="J641" s="13">
        <v>1</v>
      </c>
      <c r="K641" s="5">
        <f>Table13[[#This Row],[Open Value]]+Table13[[#This Row],[PnL]]</f>
        <v>89466.52</v>
      </c>
      <c r="L641" s="5">
        <f>Table13[[#This Row],[Open Value]]/Table13[[#This Row],[Shares]]/Table13[[#This Row],[Multiplier]]</f>
        <v>145.66195384615386</v>
      </c>
      <c r="M641" s="5">
        <f>Table13[[#This Row],[Close Value]]/Table13[[#This Row],[Shares]]/Table13[[#This Row],[Multiplier]]</f>
        <v>137.64080000000001</v>
      </c>
      <c r="N641" s="5">
        <v>-5213.75</v>
      </c>
      <c r="O641" s="3">
        <f>Table13[[#This Row],[PnL]]/Table13[[#This Row],[Open Value]]</f>
        <v>-5.5066910983671676E-2</v>
      </c>
      <c r="P641" s="9">
        <f t="shared" si="9"/>
        <v>197336.13160139401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45454</v>
      </c>
      <c r="F642" s="7">
        <v>45485</v>
      </c>
      <c r="G642" t="s">
        <v>162</v>
      </c>
      <c r="H642">
        <v>800</v>
      </c>
      <c r="I642" s="5">
        <v>425352</v>
      </c>
      <c r="J642" s="13">
        <v>1</v>
      </c>
      <c r="K642" s="5">
        <f>Table13[[#This Row],[Open Value]]+Table13[[#This Row],[PnL]]</f>
        <v>405974.72</v>
      </c>
      <c r="L642" s="5">
        <f>Table13[[#This Row],[Open Value]]/Table13[[#This Row],[Shares]]/Table13[[#This Row],[Multiplier]]</f>
        <v>531.69000000000005</v>
      </c>
      <c r="M642" s="5">
        <f>Table13[[#This Row],[Close Value]]/Table13[[#This Row],[Shares]]/Table13[[#This Row],[Multiplier]]</f>
        <v>507.46839999999997</v>
      </c>
      <c r="N642" s="5">
        <v>-19377.28</v>
      </c>
      <c r="O642" s="3">
        <f>Table13[[#This Row],[PnL]]/Table13[[#This Row],[Open Value]]</f>
        <v>-4.5555869021422252E-2</v>
      </c>
      <c r="P642" s="9">
        <f t="shared" si="9"/>
        <v>177958.85160139401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45481</v>
      </c>
      <c r="F643" s="7">
        <v>45485</v>
      </c>
      <c r="G643" t="s">
        <v>285</v>
      </c>
      <c r="H643">
        <v>700</v>
      </c>
      <c r="I643" s="5">
        <v>52318</v>
      </c>
      <c r="J643" s="13">
        <v>1</v>
      </c>
      <c r="K643" s="5">
        <f>Table13[[#This Row],[Open Value]]+Table13[[#This Row],[PnL]]</f>
        <v>47293.72</v>
      </c>
      <c r="L643" s="5">
        <f>Table13[[#This Row],[Open Value]]/Table13[[#This Row],[Shares]]/Table13[[#This Row],[Multiplier]]</f>
        <v>74.739999999999995</v>
      </c>
      <c r="M643" s="5">
        <f>Table13[[#This Row],[Close Value]]/Table13[[#This Row],[Shares]]/Table13[[#This Row],[Multiplier]]</f>
        <v>67.562457142857141</v>
      </c>
      <c r="N643" s="5">
        <v>-5024.28</v>
      </c>
      <c r="O643" s="3">
        <f>Table13[[#This Row],[PnL]]/Table13[[#This Row],[Open Value]]</f>
        <v>-9.6033487518636024E-2</v>
      </c>
      <c r="P643" s="9">
        <f t="shared" ref="P643:P678" si="10">N643+P642</f>
        <v>172934.57160139401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197</v>
      </c>
      <c r="B644" t="s">
        <v>302</v>
      </c>
      <c r="C644" t="s">
        <v>98</v>
      </c>
      <c r="D644" t="s">
        <v>7</v>
      </c>
      <c r="E644" s="11">
        <v>45471</v>
      </c>
      <c r="F644" s="7">
        <v>45485</v>
      </c>
      <c r="G644" t="s">
        <v>37</v>
      </c>
      <c r="H644">
        <v>5</v>
      </c>
      <c r="I644" s="5">
        <v>2010</v>
      </c>
      <c r="J644" s="13">
        <v>100</v>
      </c>
      <c r="K644" s="5">
        <f>Table13[[#This Row],[Open Value]]+Table13[[#This Row],[PnL]]</f>
        <v>0</v>
      </c>
      <c r="L644" s="5">
        <f>Table13[[#This Row],[Open Value]]/Table13[[#This Row],[Shares]]/Table13[[#This Row],[Multiplier]]</f>
        <v>4.0199999999999996</v>
      </c>
      <c r="M644" s="5">
        <f>Table13[[#This Row],[Close Value]]/Table13[[#This Row],[Shares]]/Table13[[#This Row],[Multiplier]]</f>
        <v>0</v>
      </c>
      <c r="N644" s="5">
        <v>-2010</v>
      </c>
      <c r="O644" s="3">
        <f>Table13[[#This Row],[PnL]]/Table13[[#This Row],[Open Value]]</f>
        <v>-1</v>
      </c>
      <c r="P644" s="9">
        <f t="shared" si="10"/>
        <v>170924.57160139401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201</v>
      </c>
      <c r="B645" t="s">
        <v>303</v>
      </c>
      <c r="C645" t="s">
        <v>12</v>
      </c>
      <c r="D645" t="s">
        <v>7</v>
      </c>
      <c r="E645" s="11">
        <v>45461</v>
      </c>
      <c r="F645" s="7">
        <v>45489</v>
      </c>
      <c r="G645" t="s">
        <v>13</v>
      </c>
      <c r="H645">
        <v>4</v>
      </c>
      <c r="I645" s="5">
        <v>311169.48</v>
      </c>
      <c r="J645" s="13">
        <v>1000</v>
      </c>
      <c r="K645" s="5">
        <f>Table13[[#This Row],[Open Value]]+Table13[[#This Row],[PnL]]</f>
        <v>310630.51999999996</v>
      </c>
      <c r="L645" s="5">
        <f>Table13[[#This Row],[Open Value]]/Table13[[#This Row],[Shares]]/Table13[[#This Row],[Multiplier]]</f>
        <v>77.792369999999991</v>
      </c>
      <c r="M645" s="5">
        <f>Table13[[#This Row],[Close Value]]/Table13[[#This Row],[Shares]]/Table13[[#This Row],[Multiplier]]</f>
        <v>77.657629999999983</v>
      </c>
      <c r="N645" s="5">
        <v>-538.96</v>
      </c>
      <c r="O645" s="3">
        <f>Table13[[#This Row],[PnL]]/Table13[[#This Row],[Open Value]]</f>
        <v>-1.7320464719097774E-3</v>
      </c>
      <c r="P645" s="9">
        <f t="shared" si="10"/>
        <v>170385.61160139402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45463</v>
      </c>
      <c r="F646" s="7">
        <v>45489</v>
      </c>
      <c r="G646" t="s">
        <v>91</v>
      </c>
      <c r="H646">
        <v>2</v>
      </c>
      <c r="I646" s="5">
        <v>207980.34</v>
      </c>
      <c r="J646" s="13">
        <v>42000</v>
      </c>
      <c r="K646" s="5">
        <f>Table13[[#This Row],[Open Value]]+Table13[[#This Row],[PnL]]</f>
        <v>207987.66</v>
      </c>
      <c r="L646" s="5">
        <f>Table13[[#This Row],[Open Value]]/Table13[[#This Row],[Shares]]/Table13[[#This Row],[Multiplier]]</f>
        <v>2.4759564285714286</v>
      </c>
      <c r="M646" s="5">
        <f>Table13[[#This Row],[Close Value]]/Table13[[#This Row],[Shares]]/Table13[[#This Row],[Multiplier]]</f>
        <v>2.4760435714285713</v>
      </c>
      <c r="N646" s="5">
        <v>7.32</v>
      </c>
      <c r="O646" s="3">
        <f>Table13[[#This Row],[PnL]]/Table13[[#This Row],[Open Value]]</f>
        <v>3.5195634356593517E-5</v>
      </c>
      <c r="P646" s="9">
        <f t="shared" si="10"/>
        <v>170392.93160139403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302</v>
      </c>
      <c r="C647" t="s">
        <v>16</v>
      </c>
      <c r="D647" t="s">
        <v>7</v>
      </c>
      <c r="E647" s="11">
        <v>45490</v>
      </c>
      <c r="F647" s="7">
        <v>45490</v>
      </c>
      <c r="G647" t="s">
        <v>283</v>
      </c>
      <c r="H647">
        <v>500</v>
      </c>
      <c r="I647" s="5">
        <v>63767.5</v>
      </c>
      <c r="J647" s="13">
        <v>1</v>
      </c>
      <c r="K647" s="5">
        <f>Table13[[#This Row],[Open Value]]+Table13[[#This Row],[PnL]]</f>
        <v>61205.72</v>
      </c>
      <c r="L647" s="5">
        <f>Table13[[#This Row],[Open Value]]/Table13[[#This Row],[Shares]]/Table13[[#This Row],[Multiplier]]</f>
        <v>127.535</v>
      </c>
      <c r="M647" s="5">
        <f>Table13[[#This Row],[Close Value]]/Table13[[#This Row],[Shares]]/Table13[[#This Row],[Multiplier]]</f>
        <v>122.41144</v>
      </c>
      <c r="N647" s="5">
        <v>-2561.7800000000002</v>
      </c>
      <c r="O647" s="3">
        <f>Table13[[#This Row],[PnL]]/Table13[[#This Row],[Open Value]]</f>
        <v>-4.0173756223781713E-2</v>
      </c>
      <c r="P647" s="9">
        <f t="shared" si="10"/>
        <v>167831.15160139403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303</v>
      </c>
      <c r="C648" t="s">
        <v>16</v>
      </c>
      <c r="D648" t="s">
        <v>7</v>
      </c>
      <c r="E648" s="11">
        <v>42931</v>
      </c>
      <c r="F648" s="7">
        <v>45490</v>
      </c>
      <c r="G648" t="s">
        <v>256</v>
      </c>
      <c r="H648">
        <v>2050</v>
      </c>
      <c r="I648" s="5">
        <v>312500</v>
      </c>
      <c r="J648" s="13">
        <v>1</v>
      </c>
      <c r="K648" s="5">
        <f>Table13[[#This Row],[Open Value]]+Table13[[#This Row],[PnL]]</f>
        <v>315728.03000000003</v>
      </c>
      <c r="L648" s="5">
        <f>Table13[[#This Row],[Open Value]]/Table13[[#This Row],[Shares]]/Table13[[#This Row],[Multiplier]]</f>
        <v>152.4390243902439</v>
      </c>
      <c r="M648" s="5">
        <f>Table13[[#This Row],[Close Value]]/Table13[[#This Row],[Shares]]/Table13[[#This Row],[Multiplier]]</f>
        <v>154.01367317073172</v>
      </c>
      <c r="N648" s="5">
        <v>3228.03</v>
      </c>
      <c r="O648" s="3">
        <f>Table13[[#This Row],[PnL]]/Table13[[#This Row],[Open Value]]</f>
        <v>1.0329696000000001E-2</v>
      </c>
      <c r="P648" s="9">
        <f t="shared" si="10"/>
        <v>171059.18160139403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45474</v>
      </c>
      <c r="F649" s="7">
        <v>45490</v>
      </c>
      <c r="G649" t="s">
        <v>153</v>
      </c>
      <c r="H649">
        <v>3000</v>
      </c>
      <c r="I649" s="5">
        <v>165000</v>
      </c>
      <c r="J649" s="13">
        <v>1</v>
      </c>
      <c r="K649" s="5">
        <f>Table13[[#This Row],[Open Value]]+Table13[[#This Row],[PnL]]</f>
        <v>181841.41999999998</v>
      </c>
      <c r="L649" s="5">
        <f>Table13[[#This Row],[Open Value]]/Table13[[#This Row],[Shares]]/Table13[[#This Row],[Multiplier]]</f>
        <v>55</v>
      </c>
      <c r="M649" s="5">
        <f>Table13[[#This Row],[Close Value]]/Table13[[#This Row],[Shares]]/Table13[[#This Row],[Multiplier]]</f>
        <v>60.613806666666662</v>
      </c>
      <c r="N649" s="5">
        <v>16841.419999999998</v>
      </c>
      <c r="O649" s="3">
        <f>Table13[[#This Row],[PnL]]/Table13[[#This Row],[Open Value]]</f>
        <v>0.10206921212121212</v>
      </c>
      <c r="P649" s="9">
        <f t="shared" si="10"/>
        <v>187900.60160139401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197</v>
      </c>
      <c r="B650" t="s">
        <v>302</v>
      </c>
      <c r="C650" t="s">
        <v>97</v>
      </c>
      <c r="D650" t="s">
        <v>7</v>
      </c>
      <c r="E650" s="11">
        <v>45467</v>
      </c>
      <c r="F650" s="7">
        <v>45490</v>
      </c>
      <c r="G650" t="s">
        <v>186</v>
      </c>
      <c r="H650">
        <v>6</v>
      </c>
      <c r="I650" s="5">
        <f>3399.14-92.84</f>
        <v>3306.2999999999997</v>
      </c>
      <c r="J650" s="13">
        <v>100</v>
      </c>
      <c r="K650" s="5">
        <f>Table13[[#This Row],[Open Value]]+Table13[[#This Row],[PnL]]</f>
        <v>6128.78</v>
      </c>
      <c r="L650" s="5">
        <f>Table13[[#This Row],[Open Value]]/Table13[[#This Row],[Shares]]/Table13[[#This Row],[Multiplier]]</f>
        <v>5.5104999999999995</v>
      </c>
      <c r="M650" s="5">
        <f>Table13[[#This Row],[Close Value]]/Table13[[#This Row],[Shares]]/Table13[[#This Row],[Multiplier]]</f>
        <v>10.214633333333332</v>
      </c>
      <c r="N650" s="5">
        <f>2822.48</f>
        <v>2822.48</v>
      </c>
      <c r="O650" s="3">
        <f>Table13[[#This Row],[PnL]]/Table13[[#This Row],[Open Value]]</f>
        <v>0.85366724132716332</v>
      </c>
      <c r="P650" s="9">
        <f t="shared" si="10"/>
        <v>190723.08160139402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102</v>
      </c>
      <c r="D651" t="s">
        <v>7</v>
      </c>
      <c r="E651" s="11">
        <v>45485</v>
      </c>
      <c r="F651" s="7">
        <v>45490</v>
      </c>
      <c r="G651" t="s">
        <v>9</v>
      </c>
      <c r="H651">
        <v>400</v>
      </c>
      <c r="I651" s="5">
        <v>6274.74</v>
      </c>
      <c r="J651" s="13">
        <v>100</v>
      </c>
      <c r="K651" s="5">
        <f>Table13[[#This Row],[Open Value]]+Table13[[#This Row],[PnL]]</f>
        <v>0</v>
      </c>
      <c r="L651" s="5">
        <f>Table13[[#This Row],[Open Value]]/Table13[[#This Row],[Shares]]/Table13[[#This Row],[Multiplier]]</f>
        <v>0.15686849999999999</v>
      </c>
      <c r="M651" s="5">
        <f>Table13[[#This Row],[Close Value]]/Table13[[#This Row],[Shares]]/Table13[[#This Row],[Multiplier]]</f>
        <v>0</v>
      </c>
      <c r="N651" s="5">
        <v>-6274.74</v>
      </c>
      <c r="O651" s="3">
        <f>Table13[[#This Row],[PnL]]/Table13[[#This Row],[Open Value]]</f>
        <v>-1</v>
      </c>
      <c r="P651" s="9">
        <f t="shared" si="10"/>
        <v>184448.34160139403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201</v>
      </c>
      <c r="B652" t="s">
        <v>305</v>
      </c>
      <c r="C652" t="s">
        <v>12</v>
      </c>
      <c r="D652" t="s">
        <v>7</v>
      </c>
      <c r="E652" s="11">
        <v>45468</v>
      </c>
      <c r="F652" s="7">
        <v>45490</v>
      </c>
      <c r="G652" t="s">
        <v>44</v>
      </c>
      <c r="H652">
        <v>2</v>
      </c>
      <c r="I652" s="5">
        <v>393656.04</v>
      </c>
      <c r="J652" s="13">
        <v>25</v>
      </c>
      <c r="K652" s="5">
        <f>Table13[[#This Row],[Open Value]]+Table13[[#This Row],[PnL]]</f>
        <v>407718.95999999996</v>
      </c>
      <c r="L652" s="5">
        <f>Table13[[#This Row],[Open Value]]/Table13[[#This Row],[Shares]]/Table13[[#This Row],[Multiplier]]</f>
        <v>7873.1207999999997</v>
      </c>
      <c r="M652" s="5">
        <f>Table13[[#This Row],[Close Value]]/Table13[[#This Row],[Shares]]/Table13[[#This Row],[Multiplier]]</f>
        <v>8154.3791999999994</v>
      </c>
      <c r="N652" s="5">
        <v>14062.92</v>
      </c>
      <c r="O652" s="3">
        <f>Table13[[#This Row],[PnL]]/Table13[[#This Row],[Open Value]]</f>
        <v>3.5723877118715115E-2</v>
      </c>
      <c r="P652" s="9">
        <f t="shared" si="10"/>
        <v>198511.26160139404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303</v>
      </c>
      <c r="C653" t="s">
        <v>16</v>
      </c>
      <c r="D653" t="s">
        <v>7</v>
      </c>
      <c r="E653" s="11">
        <v>45460</v>
      </c>
      <c r="F653" s="7">
        <v>45491</v>
      </c>
      <c r="G653" t="s">
        <v>14</v>
      </c>
      <c r="H653">
        <v>1600</v>
      </c>
      <c r="I653" s="5">
        <v>283648</v>
      </c>
      <c r="J653" s="13">
        <v>1</v>
      </c>
      <c r="K653" s="5">
        <f>Table13[[#This Row],[Open Value]]+Table13[[#This Row],[PnL]]</f>
        <v>292875.59000000003</v>
      </c>
      <c r="L653" s="5">
        <f>Table13[[#This Row],[Open Value]]/Table13[[#This Row],[Shares]]/Table13[[#This Row],[Multiplier]]</f>
        <v>177.28</v>
      </c>
      <c r="M653" s="5">
        <f>Table13[[#This Row],[Close Value]]/Table13[[#This Row],[Shares]]/Table13[[#This Row],[Multiplier]]</f>
        <v>183.04724375000001</v>
      </c>
      <c r="N653" s="5">
        <v>9227.59</v>
      </c>
      <c r="O653" s="3">
        <f>Table13[[#This Row],[PnL]]/Table13[[#This Row],[Open Value]]</f>
        <v>3.2531835232400726E-2</v>
      </c>
      <c r="P653" s="9">
        <f t="shared" si="10"/>
        <v>207738.85160139404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302</v>
      </c>
      <c r="C654" t="s">
        <v>16</v>
      </c>
      <c r="D654" t="s">
        <v>5</v>
      </c>
      <c r="E654" s="11">
        <v>45489</v>
      </c>
      <c r="F654" s="7">
        <v>45492</v>
      </c>
      <c r="G654" t="s">
        <v>10</v>
      </c>
      <c r="H654">
        <v>1000</v>
      </c>
      <c r="I654" s="5">
        <v>550000</v>
      </c>
      <c r="J654" s="13">
        <v>1</v>
      </c>
      <c r="K654" s="5">
        <f>Table13[[#This Row],[Open Value]]+Table13[[#This Row],[PnL]]</f>
        <v>545039.28</v>
      </c>
      <c r="L654" s="5">
        <f>Table13[[#This Row],[Open Value]]/Table13[[#This Row],[Shares]]/Table13[[#This Row],[Multiplier]]</f>
        <v>550</v>
      </c>
      <c r="M654" s="5">
        <f>Table13[[#This Row],[Close Value]]/Table13[[#This Row],[Shares]]/Table13[[#This Row],[Multiplier]]</f>
        <v>545.03928000000008</v>
      </c>
      <c r="N654" s="5">
        <v>-4960.72</v>
      </c>
      <c r="O654" s="3">
        <f>Table13[[#This Row],[PnL]]/Table13[[#This Row],[Open Value]]</f>
        <v>-9.01949090909091E-3</v>
      </c>
      <c r="P654" s="9">
        <f t="shared" si="10"/>
        <v>202778.13160139404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303</v>
      </c>
      <c r="C655" t="s">
        <v>16</v>
      </c>
      <c r="D655" t="s">
        <v>7</v>
      </c>
      <c r="E655" s="11">
        <v>45489</v>
      </c>
      <c r="F655" s="7">
        <v>45492</v>
      </c>
      <c r="G655" t="s">
        <v>37</v>
      </c>
      <c r="H655">
        <v>325</v>
      </c>
      <c r="I655" s="5">
        <v>82933.460000000006</v>
      </c>
      <c r="J655" s="13">
        <v>1</v>
      </c>
      <c r="K655" s="5">
        <f>Table13[[#This Row],[Open Value]]+Table13[[#This Row],[PnL]]</f>
        <v>77946.03</v>
      </c>
      <c r="L655" s="5">
        <f>Table13[[#This Row],[Open Value]]/Table13[[#This Row],[Shares]]/Table13[[#This Row],[Multiplier]]</f>
        <v>255.17987692307693</v>
      </c>
      <c r="M655" s="5">
        <f>Table13[[#This Row],[Close Value]]/Table13[[#This Row],[Shares]]/Table13[[#This Row],[Multiplier]]</f>
        <v>239.83393846153845</v>
      </c>
      <c r="N655" s="5">
        <v>-4987.43</v>
      </c>
      <c r="O655" s="3">
        <f>Table13[[#This Row],[PnL]]/Table13[[#This Row],[Open Value]]</f>
        <v>-6.013772969317812E-2</v>
      </c>
      <c r="P655" s="9">
        <f t="shared" si="10"/>
        <v>197790.70160139404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197</v>
      </c>
      <c r="B656" t="s">
        <v>303</v>
      </c>
      <c r="C656" t="s">
        <v>97</v>
      </c>
      <c r="D656" t="s">
        <v>7</v>
      </c>
      <c r="E656" s="11">
        <v>45463</v>
      </c>
      <c r="F656" s="7">
        <v>45492</v>
      </c>
      <c r="G656" t="s">
        <v>76</v>
      </c>
      <c r="H656">
        <v>80</v>
      </c>
      <c r="I656" s="5">
        <v>6535.75</v>
      </c>
      <c r="J656" s="13">
        <v>100</v>
      </c>
      <c r="K656" s="5">
        <f>Table13[[#This Row],[Open Value]]+Table13[[#This Row],[PnL]]</f>
        <v>0</v>
      </c>
      <c r="L656" s="5">
        <f>Table13[[#This Row],[Open Value]]/Table13[[#This Row],[Shares]]/Table13[[#This Row],[Multiplier]]</f>
        <v>0.81696875000000002</v>
      </c>
      <c r="M656" s="5">
        <f>Table13[[#This Row],[Close Value]]/Table13[[#This Row],[Shares]]/Table13[[#This Row],[Multiplier]]</f>
        <v>0</v>
      </c>
      <c r="N656" s="5">
        <v>-6535.75</v>
      </c>
      <c r="O656" s="3">
        <f>Table13[[#This Row],[PnL]]/Table13[[#This Row],[Open Value]]</f>
        <v>-1</v>
      </c>
      <c r="P656" s="9">
        <f t="shared" si="10"/>
        <v>191254.95160139404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302</v>
      </c>
      <c r="C657" t="s">
        <v>99</v>
      </c>
      <c r="D657" t="s">
        <v>7</v>
      </c>
      <c r="E657" s="11">
        <v>45488</v>
      </c>
      <c r="F657" s="7">
        <v>45492</v>
      </c>
      <c r="G657" t="s">
        <v>10</v>
      </c>
      <c r="H657">
        <v>100</v>
      </c>
      <c r="I657" s="5">
        <v>2902.68</v>
      </c>
      <c r="J657" s="13">
        <v>100</v>
      </c>
      <c r="K657" s="5">
        <f>Table13[[#This Row],[Open Value]]+Table13[[#This Row],[PnL]]</f>
        <v>10914.44</v>
      </c>
      <c r="L657" s="5">
        <f>Table13[[#This Row],[Open Value]]/Table13[[#This Row],[Shares]]/Table13[[#This Row],[Multiplier]]</f>
        <v>0.29026799999999997</v>
      </c>
      <c r="M657" s="5">
        <f>Table13[[#This Row],[Close Value]]/Table13[[#This Row],[Shares]]/Table13[[#This Row],[Multiplier]]</f>
        <v>1.0914440000000001</v>
      </c>
      <c r="N657" s="5">
        <f>6211.76+1800</f>
        <v>8011.76</v>
      </c>
      <c r="O657" s="3">
        <f>Table13[[#This Row],[PnL]]/Table13[[#This Row],[Open Value]]</f>
        <v>2.7601251257458626</v>
      </c>
      <c r="P657" s="9">
        <f t="shared" si="10"/>
        <v>199266.71160139405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201</v>
      </c>
      <c r="B658" t="s">
        <v>303</v>
      </c>
      <c r="C658" t="s">
        <v>12</v>
      </c>
      <c r="D658" t="s">
        <v>7</v>
      </c>
      <c r="E658" s="11">
        <v>45487</v>
      </c>
      <c r="F658" s="7">
        <v>45492</v>
      </c>
      <c r="G658" t="s">
        <v>85</v>
      </c>
      <c r="H658">
        <v>8</v>
      </c>
      <c r="I658" s="5">
        <v>48753.16</v>
      </c>
      <c r="J658" s="13">
        <v>0.1</v>
      </c>
      <c r="K658" s="5">
        <f>Table13[[#This Row],[Open Value]]+Table13[[#This Row],[PnL]]</f>
        <v>50893.840000000004</v>
      </c>
      <c r="L658" s="5">
        <f>Table13[[#This Row],[Open Value]]/Table13[[#This Row],[Shares]]/Table13[[#This Row],[Multiplier]]</f>
        <v>60941.450000000004</v>
      </c>
      <c r="M658" s="5">
        <f>Table13[[#This Row],[Close Value]]/Table13[[#This Row],[Shares]]/Table13[[#This Row],[Multiplier]]</f>
        <v>63617.3</v>
      </c>
      <c r="N658" s="5">
        <v>2140.6799999999998</v>
      </c>
      <c r="O658" s="3">
        <f>Table13[[#This Row],[PnL]]/Table13[[#This Row],[Open Value]]</f>
        <v>4.3908538441405638E-2</v>
      </c>
      <c r="P658" s="9">
        <f t="shared" si="10"/>
        <v>201407.39160139405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271</v>
      </c>
      <c r="H659">
        <v>130</v>
      </c>
      <c r="I659" s="5">
        <v>42291.6</v>
      </c>
      <c r="J659" s="13">
        <v>0.1</v>
      </c>
      <c r="K659" s="5">
        <f>Table13[[#This Row],[Open Value]]+Table13[[#This Row],[PnL]]</f>
        <v>44320.9</v>
      </c>
      <c r="L659" s="5">
        <f>Table13[[#This Row],[Open Value]]/Table13[[#This Row],[Shares]]/Table13[[#This Row],[Multiplier]]</f>
        <v>3253.2</v>
      </c>
      <c r="M659" s="5">
        <f>Table13[[#This Row],[Close Value]]/Table13[[#This Row],[Shares]]/Table13[[#This Row],[Multiplier]]</f>
        <v>3409.2999999999997</v>
      </c>
      <c r="N659" s="5">
        <v>2029.3</v>
      </c>
      <c r="O659" s="3">
        <f>Table13[[#This Row],[PnL]]/Table13[[#This Row],[Open Value]]</f>
        <v>4.7983523914914547E-2</v>
      </c>
      <c r="P659" s="9">
        <f t="shared" si="10"/>
        <v>203436.69160139404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197</v>
      </c>
      <c r="B660" t="s">
        <v>302</v>
      </c>
      <c r="C660" t="s">
        <v>99</v>
      </c>
      <c r="D660" t="s">
        <v>7</v>
      </c>
      <c r="E660" s="11">
        <v>45488</v>
      </c>
      <c r="F660" s="7">
        <v>45495</v>
      </c>
      <c r="G660" t="s">
        <v>10</v>
      </c>
      <c r="H660">
        <v>85</v>
      </c>
      <c r="I660" s="5">
        <v>2609.23</v>
      </c>
      <c r="J660" s="13">
        <v>100</v>
      </c>
      <c r="K660" s="5">
        <f>Table13[[#This Row],[Open Value]]+Table13[[#This Row],[PnL]]</f>
        <v>12067.789999999999</v>
      </c>
      <c r="L660" s="5">
        <f>Table13[[#This Row],[Open Value]]/Table13[[#This Row],[Shares]]/Table13[[#This Row],[Multiplier]]</f>
        <v>0.30696823529411765</v>
      </c>
      <c r="M660" s="5">
        <f>Table13[[#This Row],[Close Value]]/Table13[[#This Row],[Shares]]/Table13[[#This Row],[Multiplier]]</f>
        <v>1.41974</v>
      </c>
      <c r="N660" s="5">
        <v>9458.56</v>
      </c>
      <c r="O660" s="3">
        <f>Table13[[#This Row],[PnL]]/Table13[[#This Row],[Open Value]]</f>
        <v>3.6250388045515343</v>
      </c>
      <c r="P660" s="9">
        <f t="shared" si="10"/>
        <v>212895.25160139403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201</v>
      </c>
      <c r="B661" t="s">
        <v>303</v>
      </c>
      <c r="C661" t="s">
        <v>12</v>
      </c>
      <c r="D661" t="s">
        <v>7</v>
      </c>
      <c r="E661" s="11">
        <v>45469</v>
      </c>
      <c r="F661" s="7">
        <v>45495</v>
      </c>
      <c r="G661" t="s">
        <v>88</v>
      </c>
      <c r="H661">
        <v>10</v>
      </c>
      <c r="I661" s="5">
        <v>217421.7</v>
      </c>
      <c r="J661" s="13">
        <v>1120</v>
      </c>
      <c r="K661" s="5">
        <f>Table13[[#This Row],[Open Value]]+Table13[[#This Row],[PnL]]</f>
        <v>207618.30000000002</v>
      </c>
      <c r="L661" s="5">
        <f>Table13[[#This Row],[Open Value]]/Table13[[#This Row],[Shares]]/Table13[[#This Row],[Multiplier]]</f>
        <v>19.412651785714289</v>
      </c>
      <c r="M661" s="5">
        <f>Table13[[#This Row],[Close Value]]/Table13[[#This Row],[Shares]]/Table13[[#This Row],[Multiplier]]</f>
        <v>18.537348214285714</v>
      </c>
      <c r="N661" s="5">
        <v>-9803.4</v>
      </c>
      <c r="O661" s="3">
        <f>Table13[[#This Row],[PnL]]/Table13[[#This Row],[Open Value]]</f>
        <v>-4.508933560909513E-2</v>
      </c>
      <c r="P661" s="9">
        <f t="shared" si="10"/>
        <v>203091.85160139404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4</v>
      </c>
      <c r="D662" t="s">
        <v>7</v>
      </c>
      <c r="E662" s="11">
        <v>45484</v>
      </c>
      <c r="F662" s="7">
        <v>45495</v>
      </c>
      <c r="G662" t="s">
        <v>289</v>
      </c>
      <c r="H662">
        <v>1000000</v>
      </c>
      <c r="I662" s="5">
        <f>103499949+101874610+50</f>
        <v>205374609</v>
      </c>
      <c r="J662" s="13">
        <v>1</v>
      </c>
      <c r="K662" s="5">
        <f>Table13[[#This Row],[Open Value]]+Table13[[#This Row],[PnL]]</f>
        <v>205358228.37421229</v>
      </c>
      <c r="L662" s="5">
        <f>Table13[[#This Row],[Open Value]]/Table13[[#This Row],[Shares]]/Table13[[#This Row],[Multiplier]]</f>
        <v>205.37460899999999</v>
      </c>
      <c r="M662" s="5">
        <f>Table13[[#This Row],[Close Value]]/Table13[[#This Row],[Shares]]/Table13[[#This Row],[Multiplier]]</f>
        <v>205.3582283742123</v>
      </c>
      <c r="N662" s="5">
        <f>(202072616-Table13[[#This Row],[Open Value]])/202.072616-40</f>
        <v>-16380.625787711879</v>
      </c>
      <c r="O662" s="3">
        <f>Table13[[#This Row],[PnL]]/Table13[[#This Row],[Open Value]]*Table13[[#This Row],[Close Price]]</f>
        <v>-1.6379319273228402E-2</v>
      </c>
      <c r="P662" s="9">
        <f t="shared" si="10"/>
        <v>186711.22581368216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16</v>
      </c>
      <c r="D663" t="s">
        <v>7</v>
      </c>
      <c r="E663" s="11">
        <v>45496</v>
      </c>
      <c r="F663" s="7">
        <v>45497</v>
      </c>
      <c r="G663" t="s">
        <v>206</v>
      </c>
      <c r="H663">
        <v>1000</v>
      </c>
      <c r="I663" s="5">
        <v>155605</v>
      </c>
      <c r="J663" s="13">
        <v>1</v>
      </c>
      <c r="K663" s="5">
        <f>Table13[[#This Row],[Open Value]]+Table13[[#This Row],[PnL]]</f>
        <v>150378.65</v>
      </c>
      <c r="L663" s="5">
        <f>Table13[[#This Row],[Open Value]]/Table13[[#This Row],[Shares]]/Table13[[#This Row],[Multiplier]]</f>
        <v>155.60499999999999</v>
      </c>
      <c r="M663" s="5">
        <f>Table13[[#This Row],[Close Value]]/Table13[[#This Row],[Shares]]/Table13[[#This Row],[Multiplier]]</f>
        <v>150.37864999999999</v>
      </c>
      <c r="N663" s="5">
        <v>-5226.3500000000004</v>
      </c>
      <c r="O663" s="3">
        <f>Table13[[#This Row],[PnL]]/Table13[[#This Row],[Open Value]]</f>
        <v>-3.35872883262106E-2</v>
      </c>
      <c r="P663" s="9">
        <f t="shared" si="10"/>
        <v>181484.87581368216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12</v>
      </c>
      <c r="D664" t="s">
        <v>7</v>
      </c>
      <c r="E664" s="11">
        <v>45492</v>
      </c>
      <c r="F664" s="7">
        <v>45497</v>
      </c>
      <c r="G664" t="s">
        <v>271</v>
      </c>
      <c r="H664">
        <v>260</v>
      </c>
      <c r="I664" s="5">
        <v>85169</v>
      </c>
      <c r="J664" s="13">
        <v>0.1</v>
      </c>
      <c r="K664" s="5">
        <f>Table13[[#This Row],[Open Value]]+Table13[[#This Row],[PnL]]</f>
        <v>79127.100000000006</v>
      </c>
      <c r="L664" s="5">
        <f>Table13[[#This Row],[Open Value]]/Table13[[#This Row],[Shares]]/Table13[[#This Row],[Multiplier]]</f>
        <v>3275.7307692307691</v>
      </c>
      <c r="M664" s="5">
        <f>Table13[[#This Row],[Close Value]]/Table13[[#This Row],[Shares]]/Table13[[#This Row],[Multiplier]]</f>
        <v>3043.3500000000004</v>
      </c>
      <c r="N664" s="5">
        <v>-6041.9</v>
      </c>
      <c r="O664" s="3">
        <f>Table13[[#This Row],[PnL]]/Table13[[#This Row],[Open Value]]</f>
        <v>-7.0940130798764808E-2</v>
      </c>
      <c r="P664" s="9">
        <f t="shared" si="10"/>
        <v>175442.97581368216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305</v>
      </c>
      <c r="C665" t="s">
        <v>16</v>
      </c>
      <c r="D665" t="s">
        <v>7</v>
      </c>
      <c r="E665" s="11">
        <v>45355</v>
      </c>
      <c r="F665" s="7">
        <v>45497</v>
      </c>
      <c r="G665" t="s">
        <v>14</v>
      </c>
      <c r="H665">
        <v>1000</v>
      </c>
      <c r="I665" s="5">
        <v>133799.41</v>
      </c>
      <c r="J665" s="13">
        <v>1</v>
      </c>
      <c r="K665" s="5">
        <f>59839.52+59799.52+40+34869.03</f>
        <v>154548.07</v>
      </c>
      <c r="L665" s="5">
        <f>Table13[[#This Row],[Open Value]]/Table13[[#This Row],[Shares]]/Table13[[#This Row],[Multiplier]]</f>
        <v>133.79940999999999</v>
      </c>
      <c r="M665" s="5">
        <f>Table13[[#This Row],[Close Value]]/Table13[[#This Row],[Shares]]/Table13[[#This Row],[Multiplier]]</f>
        <v>154.54807</v>
      </c>
      <c r="N665" s="5">
        <f>Table13[[#This Row],[Close Value]]-Table13[[#This Row],[Open Value]]</f>
        <v>20748.660000000003</v>
      </c>
      <c r="O665" s="3">
        <f>Table13[[#This Row],[PnL]]/Table13[[#This Row],[Open Value]]</f>
        <v>0.15507288111360135</v>
      </c>
      <c r="P665" s="9">
        <f t="shared" si="10"/>
        <v>196191.63581368217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203</v>
      </c>
    </row>
    <row r="666" spans="1:20" x14ac:dyDescent="0.25">
      <c r="A666" t="s">
        <v>201</v>
      </c>
      <c r="B666" t="s">
        <v>302</v>
      </c>
      <c r="C666" t="s">
        <v>16</v>
      </c>
      <c r="D666" t="s">
        <v>7</v>
      </c>
      <c r="E666" s="11">
        <v>45488</v>
      </c>
      <c r="F666" s="7">
        <v>45498</v>
      </c>
      <c r="G666" t="s">
        <v>211</v>
      </c>
      <c r="H666">
        <v>2500</v>
      </c>
      <c r="I666" s="5">
        <v>75137.5</v>
      </c>
      <c r="J666" s="13">
        <v>1</v>
      </c>
      <c r="K666" s="5">
        <f>Table13[[#This Row],[Open Value]]+Table13[[#This Row],[PnL]]</f>
        <v>65262.38</v>
      </c>
      <c r="L666" s="5">
        <f>Table13[[#This Row],[Open Value]]/Table13[[#This Row],[Shares]]/Table13[[#This Row],[Multiplier]]</f>
        <v>30.055</v>
      </c>
      <c r="M666" s="5">
        <f>Table13[[#This Row],[Close Value]]/Table13[[#This Row],[Shares]]/Table13[[#This Row],[Multiplier]]</f>
        <v>26.104951999999997</v>
      </c>
      <c r="N666" s="5">
        <v>-9875.1200000000008</v>
      </c>
      <c r="O666" s="3">
        <f>Table13[[#This Row],[PnL]]/Table13[[#This Row],[Open Value]]</f>
        <v>-0.13142731658625853</v>
      </c>
      <c r="P666" s="9">
        <f t="shared" si="10"/>
        <v>186316.51581368217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301</v>
      </c>
    </row>
    <row r="667" spans="1:20" x14ac:dyDescent="0.25">
      <c r="A667" t="s">
        <v>201</v>
      </c>
      <c r="B667" t="s">
        <v>303</v>
      </c>
      <c r="C667" t="s">
        <v>16</v>
      </c>
      <c r="D667" t="s">
        <v>7</v>
      </c>
      <c r="E667" s="11">
        <v>45449</v>
      </c>
      <c r="F667" s="7">
        <v>45498</v>
      </c>
      <c r="G667" t="s">
        <v>218</v>
      </c>
      <c r="H667">
        <v>5000</v>
      </c>
      <c r="I667" s="5">
        <f>33831+75680</f>
        <v>109511</v>
      </c>
      <c r="J667" s="13">
        <v>1</v>
      </c>
      <c r="K667" s="5">
        <f>Table13[[#This Row],[Open Value]]+Table13[[#This Row],[PnL]]</f>
        <v>98427</v>
      </c>
      <c r="L667" s="5">
        <f>Table13[[#This Row],[Open Value]]/Table13[[#This Row],[Shares]]/Table13[[#This Row],[Multiplier]]</f>
        <v>21.902200000000001</v>
      </c>
      <c r="M667" s="5">
        <f>Table13[[#This Row],[Close Value]]/Table13[[#This Row],[Shares]]/Table13[[#This Row],[Multiplier]]</f>
        <v>19.685400000000001</v>
      </c>
      <c r="N667" s="5">
        <v>-11084</v>
      </c>
      <c r="O667" s="3">
        <f>Table13[[#This Row],[PnL]]/Table13[[#This Row],[Open Value]]</f>
        <v>-0.10121357671832053</v>
      </c>
      <c r="P667" s="9">
        <f t="shared" si="10"/>
        <v>175232.51581368217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197</v>
      </c>
      <c r="B668" t="s">
        <v>302</v>
      </c>
      <c r="C668" t="s">
        <v>102</v>
      </c>
      <c r="D668" t="s">
        <v>7</v>
      </c>
      <c r="E668" s="11">
        <v>45449</v>
      </c>
      <c r="F668" s="7">
        <v>45498</v>
      </c>
      <c r="G668" t="s">
        <v>186</v>
      </c>
      <c r="H668">
        <v>3</v>
      </c>
      <c r="I668" s="5">
        <v>3452.06</v>
      </c>
      <c r="J668" s="13">
        <v>100</v>
      </c>
      <c r="K668" s="5">
        <f>Table13[[#This Row],[Open Value]]+Table13[[#This Row],[PnL]]</f>
        <v>8122.32</v>
      </c>
      <c r="L668" s="5">
        <f>Table13[[#This Row],[Open Value]]/Table13[[#This Row],[Shares]]/Table13[[#This Row],[Multiplier]]</f>
        <v>11.506866666666667</v>
      </c>
      <c r="M668" s="5">
        <f>Table13[[#This Row],[Close Value]]/Table13[[#This Row],[Shares]]/Table13[[#This Row],[Multiplier]]</f>
        <v>27.074400000000001</v>
      </c>
      <c r="N668" s="5">
        <v>4670.26</v>
      </c>
      <c r="O668" s="3">
        <f>Table13[[#This Row],[PnL]]/Table13[[#This Row],[Open Value]]</f>
        <v>1.3528907377044432</v>
      </c>
      <c r="P668" s="9">
        <f t="shared" si="10"/>
        <v>179902.77581368218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303</v>
      </c>
      <c r="C669" t="s">
        <v>99</v>
      </c>
      <c r="D669" t="s">
        <v>7</v>
      </c>
      <c r="E669" s="11">
        <v>45463</v>
      </c>
      <c r="F669" s="7">
        <v>45498</v>
      </c>
      <c r="G669" t="s">
        <v>51</v>
      </c>
      <c r="H669">
        <v>5</v>
      </c>
      <c r="I669" s="5">
        <v>7002.23</v>
      </c>
      <c r="J669" s="13">
        <v>100</v>
      </c>
      <c r="K669" s="5">
        <f>Table13[[#This Row],[Open Value]]+Table13[[#This Row],[PnL]]</f>
        <v>21022.16</v>
      </c>
      <c r="L669" s="5">
        <f>Table13[[#This Row],[Open Value]]/Table13[[#This Row],[Shares]]/Table13[[#This Row],[Multiplier]]</f>
        <v>14.00446</v>
      </c>
      <c r="M669" s="5">
        <f>Table13[[#This Row],[Close Value]]/Table13[[#This Row],[Shares]]/Table13[[#This Row],[Multiplier]]</f>
        <v>42.044319999999999</v>
      </c>
      <c r="N669" s="5">
        <v>14019.93</v>
      </c>
      <c r="O669" s="3">
        <f>Table13[[#This Row],[PnL]]/Table13[[#This Row],[Open Value]]</f>
        <v>2.0022092961813596</v>
      </c>
      <c r="P669" s="9">
        <f t="shared" si="10"/>
        <v>193922.70581368217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302</v>
      </c>
      <c r="C670" t="s">
        <v>98</v>
      </c>
      <c r="D670" t="s">
        <v>7</v>
      </c>
      <c r="E670" s="11">
        <v>45455</v>
      </c>
      <c r="F670" s="7">
        <v>45498</v>
      </c>
      <c r="G670" t="s">
        <v>29</v>
      </c>
      <c r="H670">
        <v>85</v>
      </c>
      <c r="I670" s="5">
        <f>3766.23-551.26</f>
        <v>3214.9700000000003</v>
      </c>
      <c r="J670" s="13">
        <v>100</v>
      </c>
      <c r="K670" s="5">
        <f>Table13[[#This Row],[Open Value]]+Table13[[#This Row],[PnL]]</f>
        <v>1423.5700000000002</v>
      </c>
      <c r="L670" s="5">
        <f>Table13[[#This Row],[Open Value]]/Table13[[#This Row],[Shares]]/Table13[[#This Row],[Multiplier]]</f>
        <v>0.37823176470588238</v>
      </c>
      <c r="M670" s="5">
        <f>Table13[[#This Row],[Close Value]]/Table13[[#This Row],[Shares]]/Table13[[#This Row],[Multiplier]]</f>
        <v>0.16747882352941179</v>
      </c>
      <c r="N670" s="5">
        <f>79.57-1870.97</f>
        <v>-1791.4</v>
      </c>
      <c r="O670" s="3">
        <f>Table13[[#This Row],[PnL]]/Table13[[#This Row],[Open Value]]</f>
        <v>-0.55720582151621945</v>
      </c>
      <c r="P670" s="9">
        <f t="shared" si="10"/>
        <v>192131.30581368218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201</v>
      </c>
      <c r="B671" t="s">
        <v>303</v>
      </c>
      <c r="C671" t="s">
        <v>16</v>
      </c>
      <c r="D671" t="s">
        <v>7</v>
      </c>
      <c r="E671" s="11">
        <v>45491</v>
      </c>
      <c r="F671" s="7">
        <v>45503</v>
      </c>
      <c r="G671" t="s">
        <v>155</v>
      </c>
      <c r="H671">
        <v>350</v>
      </c>
      <c r="I671" s="5">
        <v>122500</v>
      </c>
      <c r="J671" s="13">
        <v>1</v>
      </c>
      <c r="K671" s="5">
        <v>86386.49</v>
      </c>
      <c r="L671" s="5">
        <f>Table13[[#This Row],[Open Value]]/Table13[[#This Row],[Shares]]/Table13[[#This Row],[Multiplier]]</f>
        <v>350</v>
      </c>
      <c r="M671" s="5">
        <f>Table13[[#This Row],[Close Value]]/Table13[[#This Row],[Shares]]/Table13[[#This Row],[Multiplier]]</f>
        <v>246.81854285714286</v>
      </c>
      <c r="N671" s="5">
        <f>Table13[[#This Row],[Close Value]]-Table13[[#This Row],[Open Value]]</f>
        <v>-36113.509999999995</v>
      </c>
      <c r="O671" s="3">
        <f>Table13[[#This Row],[PnL]]/Table13[[#This Row],[Open Value]]</f>
        <v>-0.29480416326530606</v>
      </c>
      <c r="P671" s="14">
        <f t="shared" si="10"/>
        <v>156017.7958136822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203</v>
      </c>
    </row>
    <row r="672" spans="1:20" x14ac:dyDescent="0.25">
      <c r="A672" t="s">
        <v>201</v>
      </c>
      <c r="B672" t="s">
        <v>306</v>
      </c>
      <c r="C672" t="s">
        <v>12</v>
      </c>
      <c r="D672" t="s">
        <v>7</v>
      </c>
      <c r="E672" s="11">
        <v>45460</v>
      </c>
      <c r="F672" s="7">
        <v>45504</v>
      </c>
      <c r="G672" t="s">
        <v>286</v>
      </c>
      <c r="H672">
        <v>2</v>
      </c>
      <c r="I672" s="5">
        <v>169811</v>
      </c>
      <c r="J672" s="13">
        <v>375</v>
      </c>
      <c r="K672" s="5">
        <v>170844.06</v>
      </c>
      <c r="L672" s="5">
        <f>Table13[[#This Row],[Open Value]]/Table13[[#This Row],[Shares]]/Table13[[#This Row],[Multiplier]]</f>
        <v>226.41466666666668</v>
      </c>
      <c r="M672" s="5">
        <f>Table13[[#This Row],[Close Value]]/Table13[[#This Row],[Shares]]/Table13[[#This Row],[Multiplier]]</f>
        <v>227.79208</v>
      </c>
      <c r="N672" s="5">
        <f>Table13[[#This Row],[Close Value]]-Table13[[#This Row],[Open Value]]</f>
        <v>1033.0599999999977</v>
      </c>
      <c r="O672" s="3">
        <f>Table13[[#This Row],[PnL]]/Table13[[#This Row],[Open Value]]</f>
        <v>6.0835870467755189E-3</v>
      </c>
      <c r="P672" s="14">
        <f t="shared" si="10"/>
        <v>157050.8558136822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301</v>
      </c>
    </row>
    <row r="673" spans="1:20" x14ac:dyDescent="0.25">
      <c r="A673" t="s">
        <v>201</v>
      </c>
      <c r="B673" t="s">
        <v>303</v>
      </c>
      <c r="C673" t="s">
        <v>16</v>
      </c>
      <c r="D673" t="s">
        <v>5</v>
      </c>
      <c r="E673" s="11">
        <v>45503</v>
      </c>
      <c r="F673" s="7">
        <v>45504</v>
      </c>
      <c r="G673" t="s">
        <v>307</v>
      </c>
      <c r="H673">
        <v>200</v>
      </c>
      <c r="I673" s="5">
        <f>Table13[[#This Row],[Close Value]]+Table13[[#This Row],[PnL]]</f>
        <v>153800.97</v>
      </c>
      <c r="J673" s="13">
        <v>1</v>
      </c>
      <c r="K673" s="5">
        <v>162801.97</v>
      </c>
      <c r="L673" s="5">
        <f>Table13[[#This Row],[Open Value]]/Table13[[#This Row],[Shares]]/Table13[[#This Row],[Multiplier]]</f>
        <v>769.00485000000003</v>
      </c>
      <c r="M673" s="5">
        <f>Table13[[#This Row],[Close Value]]/Table13[[#This Row],[Shares]]/Table13[[#This Row],[Multiplier]]</f>
        <v>814.00985000000003</v>
      </c>
      <c r="N673" s="5">
        <v>-9001</v>
      </c>
      <c r="O673" s="3">
        <f>Table13[[#This Row],[PnL]]/Table13[[#This Row],[Open Value]]</f>
        <v>-5.8523688114580814E-2</v>
      </c>
      <c r="P673" s="14">
        <f t="shared" si="10"/>
        <v>148049.8558136822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7</v>
      </c>
      <c r="E674" s="11">
        <v>45504</v>
      </c>
      <c r="F674" s="7">
        <v>45504</v>
      </c>
      <c r="G674" t="s">
        <v>231</v>
      </c>
      <c r="H674">
        <v>8333</v>
      </c>
      <c r="I674" s="5">
        <v>111245.55</v>
      </c>
      <c r="J674" s="13">
        <v>1</v>
      </c>
      <c r="K674" s="5">
        <f>106167.07-87.66</f>
        <v>106079.41</v>
      </c>
      <c r="L674" s="5">
        <f>Table13[[#This Row],[Open Value]]/Table13[[#This Row],[Shares]]/Table13[[#This Row],[Multiplier]]</f>
        <v>13.35</v>
      </c>
      <c r="M674" s="5">
        <f>Table13[[#This Row],[Close Value]]/Table13[[#This Row],[Shares]]/Table13[[#This Row],[Multiplier]]</f>
        <v>12.730038401536062</v>
      </c>
      <c r="N674" s="5">
        <v>-5166</v>
      </c>
      <c r="O674" s="3">
        <f>Table13[[#This Row],[PnL]]/Table13[[#This Row],[Open Value]]</f>
        <v>-4.643781256868252E-2</v>
      </c>
      <c r="P674" s="14">
        <f t="shared" si="10"/>
        <v>142883.8558136822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12</v>
      </c>
      <c r="D675" t="s">
        <v>5</v>
      </c>
      <c r="E675" s="11">
        <v>45497</v>
      </c>
      <c r="F675" s="7">
        <v>45504</v>
      </c>
      <c r="G675" t="s">
        <v>267</v>
      </c>
      <c r="H675">
        <v>15</v>
      </c>
      <c r="I675" s="5">
        <f>Table13[[#This Row],[Close Value]]+Table13[[#This Row],[PnL]]</f>
        <v>3607280.8</v>
      </c>
      <c r="J675" s="13">
        <v>2500</v>
      </c>
      <c r="K675" s="5">
        <v>3612406.8</v>
      </c>
      <c r="L675" s="5">
        <f>Table13[[#This Row],[Open Value]]/Table13[[#This Row],[Shares]]/Table13[[#This Row],[Multiplier]]</f>
        <v>96.194154666666662</v>
      </c>
      <c r="M675" s="5">
        <f>Table13[[#This Row],[Close Value]]/Table13[[#This Row],[Shares]]/Table13[[#This Row],[Multiplier]]</f>
        <v>96.330848000000003</v>
      </c>
      <c r="N675" s="5">
        <v>-5126</v>
      </c>
      <c r="O675" s="3">
        <f>Table13[[#This Row],[PnL]]/Table13[[#This Row],[Open Value]]</f>
        <v>-1.4210149650673162E-3</v>
      </c>
      <c r="P675" s="14">
        <f t="shared" si="10"/>
        <v>137757.8558136822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7</v>
      </c>
      <c r="E676" s="11">
        <v>45488</v>
      </c>
      <c r="F676" s="7">
        <v>45506</v>
      </c>
      <c r="G676" t="s">
        <v>85</v>
      </c>
      <c r="H676">
        <v>16</v>
      </c>
      <c r="I676" s="5">
        <f>Table13[[#This Row],[Close Value]]-Table13[[#This Row],[PnL]]</f>
        <v>106288.18</v>
      </c>
      <c r="J676" s="13">
        <v>0.1</v>
      </c>
      <c r="K676" s="5">
        <v>99938.18</v>
      </c>
      <c r="L676" s="5">
        <f>Table13[[#This Row],[Open Value]]/Table13[[#This Row],[Shares]]/Table13[[#This Row],[Multiplier]]</f>
        <v>66430.112499999988</v>
      </c>
      <c r="M676" s="5">
        <f>Table13[[#This Row],[Close Value]]/Table13[[#This Row],[Shares]]/Table13[[#This Row],[Multiplier]]</f>
        <v>62461.362499999996</v>
      </c>
      <c r="N676" s="5">
        <v>-6350</v>
      </c>
      <c r="O676" s="3">
        <f>Table13[[#This Row],[PnL]]/Table13[[#This Row],[Open Value]]</f>
        <v>-5.9743237677039915E-2</v>
      </c>
      <c r="P676" s="14">
        <f t="shared" si="10"/>
        <v>131407.8558136822</v>
      </c>
      <c r="Q676" s="5" t="str">
        <f>TEXT(Table13[[#This Row],[Closing Date]],"yyyy")</f>
        <v>2024</v>
      </c>
      <c r="R676" s="5" t="str">
        <f>TEXT(Table13[[#This Row],[Closing Date]],"mmmm")</f>
        <v>August</v>
      </c>
      <c r="S676" s="5" t="s">
        <v>240</v>
      </c>
      <c r="T676" s="5" t="s">
        <v>301</v>
      </c>
    </row>
    <row r="677" spans="1:20" x14ac:dyDescent="0.25">
      <c r="A677" t="s">
        <v>197</v>
      </c>
      <c r="B677" t="s">
        <v>302</v>
      </c>
      <c r="C677" t="s">
        <v>97</v>
      </c>
      <c r="D677" t="s">
        <v>7</v>
      </c>
      <c r="E677" s="11">
        <v>45487</v>
      </c>
      <c r="F677" s="7">
        <v>45509</v>
      </c>
      <c r="G677" t="s">
        <v>308</v>
      </c>
      <c r="H677">
        <v>200</v>
      </c>
      <c r="I677" s="5">
        <v>8012</v>
      </c>
      <c r="J677" s="13">
        <v>100</v>
      </c>
      <c r="K677" s="5">
        <f>33800-399.49</f>
        <v>33400.51</v>
      </c>
      <c r="L677" s="5">
        <f>Table13[[#This Row],[Open Value]]/Table13[[#This Row],[Shares]]/Table13[[#This Row],[Multiplier]]</f>
        <v>0.40060000000000001</v>
      </c>
      <c r="M677" s="5">
        <f>Table13[[#This Row],[Close Value]]/Table13[[#This Row],[Shares]]/Table13[[#This Row],[Multiplier]]</f>
        <v>1.6700255000000002</v>
      </c>
      <c r="N677" s="5">
        <f>Table13[[#This Row],[Close Value]]-Table13[[#This Row],[Open Value]]</f>
        <v>25388.510000000002</v>
      </c>
      <c r="O677" s="3">
        <f>Table13[[#This Row],[PnL]]/Table13[[#This Row],[Open Value]]</f>
        <v>3.1688105341987023</v>
      </c>
      <c r="P677" s="14">
        <f t="shared" si="10"/>
        <v>156796.36581368221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201</v>
      </c>
      <c r="B678" t="s">
        <v>303</v>
      </c>
      <c r="C678" t="s">
        <v>16</v>
      </c>
      <c r="D678" t="s">
        <v>5</v>
      </c>
      <c r="E678" s="11">
        <v>45505</v>
      </c>
      <c r="F678" s="7">
        <v>45510</v>
      </c>
      <c r="G678" t="s">
        <v>307</v>
      </c>
      <c r="H678">
        <v>200</v>
      </c>
      <c r="I678" s="5">
        <v>129001.68</v>
      </c>
      <c r="J678" s="13">
        <v>1</v>
      </c>
      <c r="K678" s="16">
        <v>142294.68</v>
      </c>
      <c r="L678" s="5">
        <v>645.00839999999994</v>
      </c>
      <c r="M678" s="5">
        <v>711.47339999999997</v>
      </c>
      <c r="N678" s="5">
        <v>13293</v>
      </c>
      <c r="O678" s="3">
        <v>0.10304516964430231</v>
      </c>
      <c r="P678" s="14">
        <f t="shared" si="10"/>
        <v>170089.36581368221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305</v>
      </c>
      <c r="C679" t="s">
        <v>12</v>
      </c>
      <c r="D679" t="s">
        <v>7</v>
      </c>
      <c r="E679" s="11">
        <v>45509</v>
      </c>
      <c r="F679" s="7">
        <v>45511</v>
      </c>
      <c r="G679" t="s">
        <v>82</v>
      </c>
      <c r="H679">
        <v>1</v>
      </c>
      <c r="I679" s="5">
        <v>260227.25</v>
      </c>
      <c r="J679" s="13">
        <v>50</v>
      </c>
      <c r="K679" s="16">
        <v>267897.75</v>
      </c>
      <c r="L679" s="5">
        <v>5204.5450000000001</v>
      </c>
      <c r="M679" s="5">
        <v>5357.9549999999999</v>
      </c>
      <c r="N679" s="5">
        <v>7670.5</v>
      </c>
      <c r="O679" s="3">
        <v>2.9476159779577273E-2</v>
      </c>
      <c r="P679" s="14">
        <f t="shared" ref="P679" si="11">N679+P678</f>
        <v>177759.86581368221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303</v>
      </c>
      <c r="C680" t="s">
        <v>16</v>
      </c>
      <c r="D680" t="s">
        <v>5</v>
      </c>
      <c r="E680" s="11">
        <v>45510</v>
      </c>
      <c r="F680" s="7">
        <v>45511</v>
      </c>
      <c r="G680" t="s">
        <v>310</v>
      </c>
      <c r="H680">
        <v>1850</v>
      </c>
      <c r="I680" s="5">
        <v>116777.55</v>
      </c>
      <c r="J680" s="13">
        <v>1</v>
      </c>
      <c r="K680" s="16">
        <v>122253.55</v>
      </c>
      <c r="L680" s="5">
        <v>63.123000000000005</v>
      </c>
      <c r="M680" s="5">
        <v>66.082999999999998</v>
      </c>
      <c r="N680" s="5">
        <v>-5476</v>
      </c>
      <c r="O680" s="3">
        <v>-4.6892574814251541E-2</v>
      </c>
      <c r="P680" s="14">
        <f t="shared" ref="P680" si="12">N680+P679</f>
        <v>172283.86581368221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301</v>
      </c>
    </row>
    <row r="681" spans="1:20" x14ac:dyDescent="0.25">
      <c r="A681" t="s">
        <v>201</v>
      </c>
      <c r="B681" t="s">
        <v>303</v>
      </c>
      <c r="C681" t="s">
        <v>12</v>
      </c>
      <c r="D681" t="s">
        <v>7</v>
      </c>
      <c r="E681" s="11">
        <v>45499</v>
      </c>
      <c r="F681" s="7">
        <v>45509</v>
      </c>
      <c r="G681" t="s">
        <v>311</v>
      </c>
      <c r="H681">
        <v>2</v>
      </c>
      <c r="I681" s="5">
        <f>Table13[[#This Row],[Close Value]]-Table13[[#This Row],[PnL]]</f>
        <v>167529.60000000001</v>
      </c>
      <c r="J681" s="13">
        <v>10</v>
      </c>
      <c r="K681" s="16">
        <v>161956.6</v>
      </c>
      <c r="L681" s="5">
        <f>Table13[[#This Row],[Open Value]]/Table13[[#This Row],[Shares]]/Table13[[#This Row],[Multiplier]]</f>
        <v>8376.48</v>
      </c>
      <c r="M681" s="5">
        <f>Table13[[#This Row],[Close Value]]/Table13[[#This Row],[Shares]]/Table13[[#This Row],[Multiplier]]</f>
        <v>8097.83</v>
      </c>
      <c r="N681" s="5">
        <v>-5573</v>
      </c>
      <c r="O681" s="3">
        <v>-4.6892574814251541E-2</v>
      </c>
      <c r="P681" s="14">
        <f>N681+P680</f>
        <v>166710.86581368221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</sheetData>
  <phoneticPr fontId="3" type="noConversion"/>
  <conditionalFormatting sqref="N1:N681 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04"/>
  <sheetViews>
    <sheetView workbookViewId="0">
      <pane ySplit="1" topLeftCell="A676" activePane="bottomLeft" state="frozen"/>
      <selection pane="bottomLeft" activeCell="K684" sqref="K684"/>
    </sheetView>
  </sheetViews>
  <sheetFormatPr defaultRowHeight="15" x14ac:dyDescent="0.25"/>
  <cols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9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5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7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2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>O4+Q3</f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>O5+Q4</f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>O6+Q5</f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>O7+Q6</f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>O8+Q7</f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>O9+Q8</f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>O10+Q9</f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>O11+Q10</f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>O12+Q11</f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>O13+Q12</f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>O14+Q13</f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>O15+Q14</f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>O16+Q15</f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>O17+Q16</f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>O18+Q17</f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>O19+Q18</f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>O20+Q19</f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>O21+Q20</f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>O22+Q21</f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>O23+Q22</f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>O24+Q23</f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>O25+Q24</f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>O26+Q25</f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>O27+Q26</f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>O28+Q27</f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>O29+Q28</f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>O30+Q29</f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>O31+Q30</f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>O32+Q31</f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>O33+Q32</f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>O34+Q33</f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>O35+Q34</f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>O36+Q35</f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>O37+Q36</f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>O38+Q37</f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>O39+Q38</f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>O40+Q39</f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>O41+Q40</f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>O42+Q41</f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>O43+Q42</f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>O44+Q43</f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>O45+Q44</f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>O46+Q45</f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>O47+Q46</f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>O48+Q47</f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>O49+Q48</f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>O50+Q49</f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>O51+Q50</f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>O52+Q51</f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>O53+Q52</f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>O54+Q53</f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>O55+Q54</f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>O56+Q55</f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>O57+Q56</f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>O58+Q57</f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>O59+Q58</f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>O60+Q59</f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>O61+Q60</f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>O62+Q61</f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>O63+Q62</f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>O64+Q63</f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>O65+Q64</f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>O66+Q65</f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>O68+Q67</f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>O69+Q68</f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>O70+Q69</f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>O71+Q70</f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>O72+Q71</f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>O73+Q72</f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>O74+Q73</f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>O75+Q74</f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>O76+Q75</f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>O77+Q76</f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>O78+Q77</f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>O79+Q78</f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>O80+Q79</f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>O81+Q80</f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>O82+Q81</f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>O83+Q82</f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>O84+Q83</f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>O85+Q84</f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>O86+Q85</f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>O87+Q86</f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>O88+Q87</f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>O89+Q88</f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>O90+Q89</f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>O91+Q90</f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>O92+Q91</f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>O93+Q92</f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>O94+Q93</f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>O95+Q94</f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>O96+Q95</f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>O97+Q96</f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>O98+Q97</f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>O99+Q98</f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>O100+Q99</f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>O101+Q100</f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>O102+Q101</f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>O103+Q102</f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>O104+Q103</f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>O105+Q104</f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>O106+Q105</f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>O107+Q106</f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>O108+Q107</f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>O109+Q108</f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>O110+Q109</f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>O111+Q110</f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>O112+Q111</f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>O113+Q112</f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>O114+Q113</f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>O115+Q114</f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>O116+Q115</f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>O117+Q116</f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>O118+Q117</f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>O119+Q118</f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>O120+Q119</f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>O121+Q120</f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>O122+Q121</f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>O123+Q122</f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>O124+Q123</f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>O125+Q124</f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>O126+Q125</f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>O127+Q126</f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>O128+Q127</f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>O129+Q128</f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>O130+Q129</f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>O132+Q131</f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>O133+Q132</f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>O134+Q133</f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>O135+Q134</f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>O136+Q135</f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>O137+Q136</f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>O138+Q137</f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>O139+Q138</f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>O140+Q139</f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>O141+Q140</f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>O142+Q141</f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>O143+Q142</f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>O144+Q143</f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>O145+Q144</f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>O146+Q145</f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>O147+Q146</f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>O148+Q147</f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>O149+Q148</f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>O150+Q149</f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>O151+Q150</f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>O152+Q151</f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>O153+Q152</f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>O154+Q153</f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>O155+Q154</f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>O156+Q155</f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>O157+Q156</f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>O158+Q157</f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>O159+Q158</f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>O160+Q159</f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>O161+Q160</f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>O162+Q161</f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>O163+Q162</f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>O164+Q163</f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>O165+Q164</f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>O166+Q165</f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>O167+Q166</f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>O168+Q167</f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>O169+Q168</f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>O170+Q169</f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>O171+Q170</f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>O172+Q171</f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>O173+Q172</f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>O174+Q173</f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>O175+Q174</f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>O176+Q175</f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>O177+Q176</f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>O178+Q177</f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>O179+Q178</f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>O180+Q179</f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>O181+Q180</f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>O182+Q181</f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>O183+Q182</f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>O184+Q183</f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>O185+Q184</f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>O186+Q185</f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>O187+Q186</f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>O188+Q187</f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>O189+Q188</f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>O190+Q189</f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>O191+Q190</f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>O192+Q191</f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>O193+Q192</f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>O194+Q193</f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>O196+Q195</f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>O197+Q196</f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>O198+Q197</f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>O199+Q198</f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>O200+Q199</f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>O201+Q200</f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>O202+Q201</f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>O203+Q202</f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>O204+Q203</f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>O205+Q204</f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>O206+Q205</f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P207" s="3"/>
      <c r="Q207" s="9">
        <f>O207+Q206</f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>O208+Q207</f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>O209+Q208</f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>O210+Q209</f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>O211+Q210</f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>O212+Q211</f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>O213+Q212</f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>O214+Q213</f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>O215+Q214</f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>O216+Q215</f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>O217+Q216</f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>O218+Q217</f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>O219+Q218</f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>O220+Q219</f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>O221+Q220</f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>O222+Q221</f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>O223+Q222</f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>O224+Q223</f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>O225+Q224</f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>O226+Q225</f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>O227+Q226</f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>O228+Q227</f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>O229+Q228</f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>O230+Q229</f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>O231+Q230</f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>O232+Q231</f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>O233+Q232</f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>O234+Q233</f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>O235+Q234</f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>O236+Q235</f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>O237+Q236</f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>O238+Q237</f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>O239+Q238</f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>O240+Q239</f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>O241+Q240</f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>O242+Q241</f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>O243+Q242</f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>O244+Q243</f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>O245+Q244</f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>O246+Q245</f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>O247+Q246</f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>O248+Q247</f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>O249+Q248</f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>O250+Q249</f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>O251+Q250</f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>O252+Q251</f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>O253+Q252</f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>O254+Q253</f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>O255+Q254</f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>O256+Q255</f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>O257+Q256</f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>O258+Q257</f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>O260+Q259</f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>O261+Q260</f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>O262+Q261</f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>O263+Q262</f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>O264+Q263</f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>O265+Q264</f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>O266+Q265</f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>O267+Q266</f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>O268+Q267</f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>O269+Q268</f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>O270+Q269</f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>O271+Q270</f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>O272+Q271</f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>O273+Q272</f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>O274+Q273</f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>O275+Q274</f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>O276+Q275</f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>O277+Q276</f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>O278+Q277</f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>O279+Q278</f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>O280+Q279</f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>O281+Q280</f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>O282+Q281</f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>O283+Q282</f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>O284+Q283</f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>O285+Q284</f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>O286+Q285</f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>O287+Q286</f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>O288+Q287</f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>O289+Q288</f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>O290+Q289</f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>O291+Q290</f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>O292+Q291</f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>O293+Q292</f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>O294+Q293</f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>O295+Q294</f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>O296+Q295</f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>O297+Q296</f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>O298+Q297</f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>O299+Q298</f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>O300+Q299</f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>O301+Q300</f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>O302+Q301</f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>O303+Q302</f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>O304+Q303</f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>O305+Q304</f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>O306+Q305</f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>O307+Q306</f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>O308+Q307</f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>O309+Q308</f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>O310+Q309</f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>O311+Q310</f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>O312+Q311</f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>O313+Q312</f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>O314+Q313</f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>O315+Q314</f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>O316+Q315</f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>O317+Q316</f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>O318+Q317</f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>O319+Q318</f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>O320+Q319</f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>O321+Q320</f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>O322+Q321</f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>O324+Q323</f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>O325+Q324</f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>O326+Q325</f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>O327+Q326</f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>O328+Q327</f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>O329+Q328</f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>O330+Q329</f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>O331+Q330</f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>O332+Q331</f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>O333+Q332</f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>O334+Q333</f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>O335+Q334</f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>O336+Q335</f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>O337+Q336</f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>O338+Q337</f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>O339+Q338</f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>O340+Q339</f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>O341+Q340</f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>O342+Q341</f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>O343+Q342</f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>O344+Q343</f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>O345+Q344</f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>O346+Q345</f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>O347+Q346</f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>O348+Q347</f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>O349+Q348</f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>O350+Q349</f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>O351+Q350</f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>O352+Q351</f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>O353+Q352</f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>O354+Q353</f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>O355+Q354</f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>O356+Q355</f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>O357+Q356</f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>O358+Q357</f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>O359+Q358</f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>O360+Q359</f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>O361+Q360</f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>O362+Q361</f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>O363+Q362</f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>O364+Q363</f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>O365+Q364</f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>O366+Q365</f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>O367+Q366</f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>O368+Q367</f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>O369+Q368</f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>O370+Q369</f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>O371+Q370</f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>O372+Q371</f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>O373+Q372</f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>O374+Q373</f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>O375+Q374</f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>O376+Q375</f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>O377+Q376</f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>O378+Q377</f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>O379+Q378</f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>O380+Q379</f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>O381+Q380</f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>O382+Q381</f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>O383+Q382</f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>O384+Q383</f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>O385+Q384</f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>O386+Q385</f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>O388+Q387</f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>O389+Q388</f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>O390+Q389</f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>O391+Q390</f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>O392+Q391</f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>O393+Q392</f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>O394+Q393</f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>O395+Q394</f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>O396+Q395</f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>O397+Q396</f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>O398+Q397</f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>O399+Q398</f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>O400+Q399</f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>O401+Q400</f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>O402+Q401</f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>O403+Q402</f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>O404+Q403</f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>O405+Q404</f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>O406+Q405</f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>O407+Q406</f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>O408+Q407</f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>O409+Q408</f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>O410+Q409</f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>O411+Q410</f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>O412+Q411</f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>O413+Q412</f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>O414+Q413</f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>O415+Q414</f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>O416+Q415</f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>O417+Q416</f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>O418+Q417</f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>O419+Q418</f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>O420+Q419</f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>O421+Q420</f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>O422+Q421</f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>O423+Q422</f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>O424+Q423</f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>O425+Q424</f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>O426+Q425</f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>O427+Q426</f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>O428+Q427</f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>O429+Q428</f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>O430+Q429</f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>O431+Q430</f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>O432+Q431</f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>O433+Q432</f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>O434+Q433</f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>O435+Q434</f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>O436+Q435</f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>O437+Q436</f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>O438+Q437</f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>O439+Q438</f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>O440+Q439</f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>O441+Q440</f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>O442+Q441</f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>O443+Q442</f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>O444+Q443</f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>O445+Q444</f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>O446+Q445</f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>O447+Q446</f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>O448+Q447</f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>O449+Q448</f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>O450+Q449</f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>O452+Q451</f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>O453+Q452</f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>O454+Q453</f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>O455+Q454</f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>O456+Q455</f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>O457+Q456</f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>O458+Q457</f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>O459+Q458</f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>O460+Q459</f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>O461+Q460</f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>O462+Q461</f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>O463+Q462</f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>O464+Q463</f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>O465+Q464</f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>O466+Q465</f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>O467+Q466</f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>O468+Q467</f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>O469+Q468</f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>O470+Q469</f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>O471+Q470</f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>O472+Q471</f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>O473+Q472</f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>O474+Q473</f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>O475+Q474</f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>O476+Q475</f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>O477+Q476</f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>O478+Q477</f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>O479+Q478</f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>O480+Q479</f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>O481+Q480</f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>O482+Q481</f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>O483+Q482</f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>O484+Q483</f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>O485+Q484</f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>O486+Q485</f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>O487+Q486</f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>O488+Q487</f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>O489+Q488</f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>O490+Q489</f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>O491+Q490</f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>O492+Q491</f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>O493+Q492</f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>O494+Q493</f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>O495+Q494</f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>O496+Q495</f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>O497+Q496</f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>O498+Q497</f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>O499+Q498</f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>O500+Q499</f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>O501+Q500</f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>O502+Q501</f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>O503+Q502</f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>O504+Q503</f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>O505+Q504</f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>O506+Q505</f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>O507+Q506</f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>O508+Q507</f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>O509+Q508</f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>O510+Q509</f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>O511+Q510</f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>O512+Q511</f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>O513+Q512</f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>O514+Q513</f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>O516+Q515</f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>O517+Q516</f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>O518+Q517</f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>O519+Q518</f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>O520+Q519</f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>O521+Q520</f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>O522+Q521</f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>O523+Q522</f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>O524+Q523</f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>O525+Q524</f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>O526+Q525</f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>O527+Q526</f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>O528+Q527</f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>O529+Q528</f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>O530+Q529</f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>O531+Q530</f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>O532+Q531</f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>O533+Q532</f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>O534+Q533</f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>O535+Q534</f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>O536+Q535</f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>O537+Q536</f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>O538+Q537</f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>O539+Q538</f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>O540+Q539</f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>O541+Q540</f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>O542+Q541</f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>O543+Q542</f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>O544+Q543</f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>O545+Q544</f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>O546+Q545</f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>O547+Q546</f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>O548+Q547</f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5"/>
      <c r="G549" s="7">
        <v>45400</v>
      </c>
      <c r="H549" t="s">
        <v>11</v>
      </c>
      <c r="I549">
        <v>150</v>
      </c>
      <c r="J549" s="5">
        <v>128626.5</v>
      </c>
      <c r="L549" s="5">
        <v>122797.47</v>
      </c>
      <c r="M549" s="5">
        <v>857.51</v>
      </c>
      <c r="N549" s="5">
        <v>818.64980000000003</v>
      </c>
      <c r="O549" s="5">
        <v>-5829.0299999999988</v>
      </c>
      <c r="P549" s="3">
        <v>-4.5317489008874522E-2</v>
      </c>
      <c r="Q549" s="9">
        <f>O549+Q548</f>
        <v>291896.42845814012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 t="s">
        <v>240</v>
      </c>
      <c r="U549" s="5" t="s">
        <v>301</v>
      </c>
    </row>
    <row r="550" spans="2:21" x14ac:dyDescent="0.25">
      <c r="B550" t="s">
        <v>201</v>
      </c>
      <c r="C550" t="s">
        <v>306</v>
      </c>
      <c r="D550" t="s">
        <v>12</v>
      </c>
      <c r="E550" t="s">
        <v>7</v>
      </c>
      <c r="F550" s="5"/>
      <c r="G550" s="7">
        <v>45400</v>
      </c>
      <c r="H550" t="s">
        <v>85</v>
      </c>
      <c r="I550">
        <v>10</v>
      </c>
      <c r="J550" s="5">
        <v>64052</v>
      </c>
      <c r="L550" s="5">
        <v>59905.3</v>
      </c>
      <c r="M550" s="5">
        <v>64052</v>
      </c>
      <c r="N550" s="5">
        <v>5.9905300000000006</v>
      </c>
      <c r="O550" s="5">
        <v>-4146.6999999999971</v>
      </c>
      <c r="P550" s="3">
        <v>-6.4739586585898914E-2</v>
      </c>
      <c r="Q550" s="9">
        <f>O550+Q549</f>
        <v>287749.7284581401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303</v>
      </c>
      <c r="D551" t="s">
        <v>12</v>
      </c>
      <c r="E551" t="s">
        <v>7</v>
      </c>
      <c r="F551" s="5"/>
      <c r="G551" s="7">
        <v>45401</v>
      </c>
      <c r="H551" t="s">
        <v>44</v>
      </c>
      <c r="I551">
        <v>2</v>
      </c>
      <c r="J551" s="5">
        <v>394006.04</v>
      </c>
      <c r="L551" s="5">
        <v>376525</v>
      </c>
      <c r="M551" s="5">
        <v>39400.603999999999</v>
      </c>
      <c r="N551" s="5">
        <v>3765.25</v>
      </c>
      <c r="O551" s="5">
        <v>-17481.039999999979</v>
      </c>
      <c r="P551" s="3">
        <v>-4.4367441676782367E-2</v>
      </c>
      <c r="Q551" s="9">
        <f>O551+Q550</f>
        <v>270268.68845814012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302</v>
      </c>
      <c r="D552" t="s">
        <v>12</v>
      </c>
      <c r="E552" t="s">
        <v>7</v>
      </c>
      <c r="F552" s="5"/>
      <c r="G552" s="7">
        <v>45404</v>
      </c>
      <c r="H552" t="s">
        <v>89</v>
      </c>
      <c r="I552">
        <v>4</v>
      </c>
      <c r="J552" s="5">
        <v>415923.8</v>
      </c>
      <c r="L552" s="5">
        <v>415890.8</v>
      </c>
      <c r="M552" s="5">
        <v>2079.6190000000001</v>
      </c>
      <c r="N552" s="5">
        <v>2079.4539999999997</v>
      </c>
      <c r="O552" s="5">
        <v>-33</v>
      </c>
      <c r="P552" s="3">
        <v>-7.9341456295600301E-5</v>
      </c>
      <c r="Q552" s="9">
        <f>O552+Q551</f>
        <v>270235.68845814012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16</v>
      </c>
      <c r="E553" t="s">
        <v>7</v>
      </c>
      <c r="F553" s="5"/>
      <c r="G553" s="7">
        <v>45405</v>
      </c>
      <c r="H553" t="s">
        <v>182</v>
      </c>
      <c r="I553">
        <v>10000</v>
      </c>
      <c r="J553" s="5">
        <v>206728.24</v>
      </c>
      <c r="L553" s="5">
        <v>218874.94</v>
      </c>
      <c r="M553" s="5">
        <v>20.672823999999999</v>
      </c>
      <c r="N553" s="5">
        <v>21.887494</v>
      </c>
      <c r="O553" s="5">
        <v>12146.700000000012</v>
      </c>
      <c r="P553" s="3">
        <v>5.8756849088445834E-2</v>
      </c>
      <c r="Q553" s="9">
        <f>O553+Q552</f>
        <v>282382.38845814014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303</v>
      </c>
      <c r="D554" t="s">
        <v>16</v>
      </c>
      <c r="E554" t="s">
        <v>7</v>
      </c>
      <c r="F554" s="5"/>
      <c r="G554" s="7">
        <v>45407</v>
      </c>
      <c r="H554" t="s">
        <v>263</v>
      </c>
      <c r="I554">
        <v>5000</v>
      </c>
      <c r="J554" s="5">
        <v>64872.5</v>
      </c>
      <c r="L554" s="5">
        <v>61623.68</v>
      </c>
      <c r="M554" s="5">
        <v>12.974500000000001</v>
      </c>
      <c r="N554" s="5">
        <v>12.324736</v>
      </c>
      <c r="O554" s="5">
        <v>-3248.8199999999997</v>
      </c>
      <c r="P554" s="3">
        <v>-5.0080080157231491E-2</v>
      </c>
      <c r="Q554" s="9">
        <f>O554+Q553</f>
        <v>279133.56845814013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259</v>
      </c>
      <c r="I555">
        <v>3200</v>
      </c>
      <c r="J555" s="5">
        <v>79821.53</v>
      </c>
      <c r="L555" s="5">
        <v>91182.74</v>
      </c>
      <c r="M555" s="5">
        <v>24.944228124999999</v>
      </c>
      <c r="N555" s="5">
        <v>28.49460625</v>
      </c>
      <c r="O555" s="5">
        <v>11361.210000000006</v>
      </c>
      <c r="P555" s="3">
        <v>0.14233265135358852</v>
      </c>
      <c r="Q555" s="9">
        <f>O555+Q554</f>
        <v>290494.77845814015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45408</v>
      </c>
      <c r="H556" t="s">
        <v>260</v>
      </c>
      <c r="I556">
        <v>1400</v>
      </c>
      <c r="J556" s="5">
        <v>115675</v>
      </c>
      <c r="L556" s="5">
        <v>111118.24</v>
      </c>
      <c r="M556" s="5">
        <v>82.625</v>
      </c>
      <c r="N556" s="5">
        <v>79.370171428571439</v>
      </c>
      <c r="O556" s="5">
        <v>-4726</v>
      </c>
      <c r="P556" s="3">
        <v>-4.0855846120596499E-2</v>
      </c>
      <c r="Q556" s="9">
        <f>O556+Q555</f>
        <v>285768.77845814015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256</v>
      </c>
      <c r="I557">
        <v>1000</v>
      </c>
      <c r="J557" s="5">
        <v>110109.87</v>
      </c>
      <c r="L557" s="5">
        <v>109954.87</v>
      </c>
      <c r="M557" s="5">
        <v>110.10987</v>
      </c>
      <c r="N557" s="5">
        <v>109.95487</v>
      </c>
      <c r="O557" s="5">
        <v>-155</v>
      </c>
      <c r="P557" s="3">
        <v>-4.2920766321856527E-2</v>
      </c>
      <c r="Q557" s="9">
        <f>O557+Q556</f>
        <v>285613.77845814015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306</v>
      </c>
      <c r="D558" t="s">
        <v>12</v>
      </c>
      <c r="E558" t="s">
        <v>7</v>
      </c>
      <c r="F558" s="5"/>
      <c r="G558" s="7">
        <v>45408</v>
      </c>
      <c r="H558" t="s">
        <v>86</v>
      </c>
      <c r="I558">
        <v>60</v>
      </c>
      <c r="J558" s="5">
        <v>281760</v>
      </c>
      <c r="L558" s="5">
        <v>273265.8</v>
      </c>
      <c r="M558" s="5">
        <v>4.6959999999999997</v>
      </c>
      <c r="N558" s="5">
        <v>4.55443</v>
      </c>
      <c r="O558" s="5">
        <v>-8494.2000000000116</v>
      </c>
      <c r="P558" s="3">
        <v>-3.0146933560477044E-2</v>
      </c>
      <c r="Q558" s="9">
        <f>O558+Q557</f>
        <v>277119.57845814014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197</v>
      </c>
      <c r="C559" t="s">
        <v>302</v>
      </c>
      <c r="D559" t="s">
        <v>102</v>
      </c>
      <c r="E559" t="s">
        <v>7</v>
      </c>
      <c r="F559" s="7">
        <v>45404</v>
      </c>
      <c r="G559" s="7">
        <v>45411</v>
      </c>
      <c r="H559" t="s">
        <v>15</v>
      </c>
      <c r="I559">
        <v>30</v>
      </c>
      <c r="J559" s="5">
        <v>6410.98</v>
      </c>
      <c r="K559" s="13">
        <v>100</v>
      </c>
      <c r="L559" s="5">
        <v>15997.11</v>
      </c>
      <c r="M559" s="5">
        <v>2.1369933333333333</v>
      </c>
      <c r="N559" s="5">
        <v>5.3323700000000001</v>
      </c>
      <c r="O559" s="5">
        <v>9586.130000000001</v>
      </c>
      <c r="P559" s="3">
        <v>1.4952674942052542</v>
      </c>
      <c r="Q559" s="9">
        <f>O559+Q558</f>
        <v>286705.70845814014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201</v>
      </c>
      <c r="C560" t="s">
        <v>303</v>
      </c>
      <c r="D560" t="s">
        <v>16</v>
      </c>
      <c r="E560" t="s">
        <v>7</v>
      </c>
      <c r="F560" s="5"/>
      <c r="G560" s="7">
        <v>45413</v>
      </c>
      <c r="H560" t="s">
        <v>160</v>
      </c>
      <c r="I560">
        <v>2300</v>
      </c>
      <c r="J560" s="5">
        <v>171361.5</v>
      </c>
      <c r="L560" s="5">
        <v>171206.5</v>
      </c>
      <c r="M560" s="5">
        <v>74.504999999999995</v>
      </c>
      <c r="N560" s="5">
        <v>74.437608695652173</v>
      </c>
      <c r="O560" s="5">
        <v>-5306.1000000000058</v>
      </c>
      <c r="P560" s="3">
        <v>-2.7579123665467449E-2</v>
      </c>
      <c r="Q560" s="9">
        <f>O560+Q559</f>
        <v>281399.60845814017</v>
      </c>
      <c r="R560" s="5" t="str">
        <f>TEXT(Table1[[#This Row],[Closing Date]],"yyyy")</f>
        <v>2024</v>
      </c>
      <c r="S560" s="5" t="str">
        <f>TEXT(Table1[[#This Row],[Closing Date]],"mmmm")</f>
        <v>May</v>
      </c>
      <c r="T560" s="5" t="s">
        <v>240</v>
      </c>
      <c r="U560" s="5" t="s">
        <v>301</v>
      </c>
    </row>
    <row r="561" spans="2:21" x14ac:dyDescent="0.25">
      <c r="B561" t="s">
        <v>197</v>
      </c>
      <c r="C561" t="s">
        <v>303</v>
      </c>
      <c r="D561" t="s">
        <v>102</v>
      </c>
      <c r="E561" t="s">
        <v>7</v>
      </c>
      <c r="F561" s="5"/>
      <c r="G561" s="7">
        <v>45413</v>
      </c>
      <c r="H561" t="s">
        <v>155</v>
      </c>
      <c r="I561">
        <v>9</v>
      </c>
      <c r="J561" s="5">
        <v>4756.5</v>
      </c>
      <c r="K561" s="13">
        <v>100</v>
      </c>
      <c r="L561" s="5">
        <v>6867.5</v>
      </c>
      <c r="M561" s="5">
        <v>5.2850000000000001</v>
      </c>
      <c r="N561" s="5">
        <v>7.6305555555555555</v>
      </c>
      <c r="O561" s="5">
        <v>2111</v>
      </c>
      <c r="P561" s="3">
        <v>0.44381372858194046</v>
      </c>
      <c r="Q561" s="9">
        <f>O561+Q560</f>
        <v>283510.60845814017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201</v>
      </c>
      <c r="C562" t="s">
        <v>303</v>
      </c>
      <c r="D562" t="s">
        <v>12</v>
      </c>
      <c r="E562" t="s">
        <v>7</v>
      </c>
      <c r="F562" s="5"/>
      <c r="G562" s="7">
        <v>45414</v>
      </c>
      <c r="H562" t="s">
        <v>269</v>
      </c>
      <c r="I562">
        <v>10</v>
      </c>
      <c r="J562" s="5">
        <v>352986.2</v>
      </c>
      <c r="L562" s="5">
        <v>367993.8</v>
      </c>
      <c r="M562" s="5">
        <v>17649.310000000001</v>
      </c>
      <c r="N562" s="5">
        <v>36.799379999999999</v>
      </c>
      <c r="O562" s="5">
        <v>15007.599999999977</v>
      </c>
      <c r="P562" s="3">
        <v>4.2516109694939845E-2</v>
      </c>
      <c r="Q562" s="9">
        <f>O562+Q561</f>
        <v>298518.20845814014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197</v>
      </c>
      <c r="C563" t="s">
        <v>303</v>
      </c>
      <c r="D563" t="s">
        <v>102</v>
      </c>
      <c r="E563" t="s">
        <v>7</v>
      </c>
      <c r="F563" s="5"/>
      <c r="G563" s="7">
        <v>45415</v>
      </c>
      <c r="H563" t="s">
        <v>139</v>
      </c>
      <c r="I563">
        <v>10</v>
      </c>
      <c r="J563" s="5">
        <v>1997.0000000000002</v>
      </c>
      <c r="K563" s="13">
        <v>100</v>
      </c>
      <c r="L563" s="5">
        <v>0</v>
      </c>
      <c r="M563" s="5">
        <v>1.9970000000000001</v>
      </c>
      <c r="N563" s="5">
        <v>0</v>
      </c>
      <c r="O563" s="5">
        <v>-1997.0000000000002</v>
      </c>
      <c r="P563" s="3">
        <v>-1</v>
      </c>
      <c r="Q563" s="9">
        <f>O563+Q562</f>
        <v>296521.20845814014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201</v>
      </c>
      <c r="C564" t="s">
        <v>303</v>
      </c>
      <c r="D564" t="s">
        <v>16</v>
      </c>
      <c r="E564" t="s">
        <v>7</v>
      </c>
      <c r="F564" s="5"/>
      <c r="G564" s="7">
        <v>45419</v>
      </c>
      <c r="H564" t="s">
        <v>138</v>
      </c>
      <c r="I564">
        <v>530</v>
      </c>
      <c r="J564" s="5">
        <v>109606.65</v>
      </c>
      <c r="L564" s="5">
        <v>104637.90000000001</v>
      </c>
      <c r="M564" s="5">
        <v>206.80499999999998</v>
      </c>
      <c r="N564" s="5">
        <v>197.43</v>
      </c>
      <c r="O564" s="5">
        <v>-4968.7499999999854</v>
      </c>
      <c r="P564" s="3">
        <v>-4.5332559657648382E-2</v>
      </c>
      <c r="Q564" s="9">
        <f>O564+Q563</f>
        <v>291552.45845814014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197</v>
      </c>
      <c r="C565" t="s">
        <v>305</v>
      </c>
      <c r="D565" t="s">
        <v>102</v>
      </c>
      <c r="E565" t="s">
        <v>7</v>
      </c>
      <c r="F565" s="11">
        <v>45314</v>
      </c>
      <c r="G565" s="7">
        <v>45419</v>
      </c>
      <c r="H565" t="s">
        <v>292</v>
      </c>
      <c r="I565">
        <v>10</v>
      </c>
      <c r="J565" s="5">
        <v>25006.5</v>
      </c>
      <c r="K565" s="13">
        <v>100</v>
      </c>
      <c r="L565" s="5">
        <f>15997.27+16398.57+13230.59+11498.61</f>
        <v>57125.04</v>
      </c>
      <c r="M565" s="5">
        <f>Table1[[#This Row],[Open Value]]/Table1[[#This Row],[Shares]]/Table1[[#This Row],[Multiplier]]</f>
        <v>25.006500000000003</v>
      </c>
      <c r="N565" s="5">
        <f>Table1[[#This Row],[Close Value]]/Table1[[#This Row],[Shares]]/Table1[[#This Row],[Multiplier]]</f>
        <v>57.125039999999998</v>
      </c>
      <c r="O565" s="5">
        <f>Table1[[#This Row],[Close Value]]-Table1[[#This Row],[Open Value]]</f>
        <v>32118.54</v>
      </c>
      <c r="P565" s="3">
        <f>Table1[[#This Row],[PnL]]/Table1[[#This Row],[Open Value]]</f>
        <v>1.2844076540099574</v>
      </c>
      <c r="Q565" s="9">
        <f>O565+Q564</f>
        <v>323670.99845814012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203</v>
      </c>
    </row>
    <row r="566" spans="2:21" x14ac:dyDescent="0.25">
      <c r="B566" t="s">
        <v>197</v>
      </c>
      <c r="C566" t="s">
        <v>302</v>
      </c>
      <c r="D566" t="s">
        <v>98</v>
      </c>
      <c r="E566" t="s">
        <v>7</v>
      </c>
      <c r="F566" s="11">
        <v>45412</v>
      </c>
      <c r="G566" s="7">
        <v>45422</v>
      </c>
      <c r="H566" t="s">
        <v>266</v>
      </c>
      <c r="I566">
        <v>100</v>
      </c>
      <c r="J566" s="5">
        <v>8110.0000000000009</v>
      </c>
      <c r="K566" s="13">
        <v>100</v>
      </c>
      <c r="L566" s="5">
        <v>800</v>
      </c>
      <c r="M566" s="5">
        <v>0.81100000000000005</v>
      </c>
      <c r="N566" s="5">
        <v>0.08</v>
      </c>
      <c r="O566" s="5">
        <v>-7310.0000000000009</v>
      </c>
      <c r="P566" s="3">
        <v>-0.90135635018495686</v>
      </c>
      <c r="Q566" s="9">
        <f>O566+Q565</f>
        <v>316360.99845814012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301</v>
      </c>
    </row>
    <row r="567" spans="2:21" x14ac:dyDescent="0.25">
      <c r="B567" t="s">
        <v>201</v>
      </c>
      <c r="C567" t="s">
        <v>303</v>
      </c>
      <c r="D567" t="s">
        <v>16</v>
      </c>
      <c r="E567" t="s">
        <v>7</v>
      </c>
      <c r="F567" s="5"/>
      <c r="G567" s="7">
        <v>45422</v>
      </c>
      <c r="H567" t="s">
        <v>266</v>
      </c>
      <c r="I567">
        <v>10000</v>
      </c>
      <c r="J567" s="5">
        <v>430000</v>
      </c>
      <c r="L567" s="5">
        <v>453604.79</v>
      </c>
      <c r="M567" s="5">
        <v>43</v>
      </c>
      <c r="N567" s="5">
        <v>45.360478999999998</v>
      </c>
      <c r="O567" s="5">
        <v>-14030</v>
      </c>
      <c r="P567" s="3">
        <v>-5.4894860465116227E-2</v>
      </c>
      <c r="Q567" s="9">
        <f>O567+Q566</f>
        <v>302330.99845814012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45423</v>
      </c>
      <c r="H568" t="s">
        <v>272</v>
      </c>
      <c r="I568">
        <v>2700</v>
      </c>
      <c r="J568" s="5">
        <v>72913.5</v>
      </c>
      <c r="L568" s="5">
        <v>61986.05</v>
      </c>
      <c r="M568" s="5">
        <v>27.004999999999999</v>
      </c>
      <c r="N568" s="5">
        <v>22.957796296296298</v>
      </c>
      <c r="O568" s="5">
        <v>-10927.449999999997</v>
      </c>
      <c r="P568" s="3">
        <v>-0.14986868001124617</v>
      </c>
      <c r="Q568" s="9">
        <f>O568+Q567</f>
        <v>291403.54845814011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12</v>
      </c>
      <c r="E569" t="s">
        <v>7</v>
      </c>
      <c r="F569" s="5"/>
      <c r="G569" s="7">
        <v>45425</v>
      </c>
      <c r="H569" t="s">
        <v>88</v>
      </c>
      <c r="I569">
        <v>15</v>
      </c>
      <c r="J569" s="5">
        <v>335624</v>
      </c>
      <c r="L569" s="5">
        <v>315499</v>
      </c>
      <c r="M569" s="5">
        <v>19.977619047619047</v>
      </c>
      <c r="N569" s="5">
        <v>21.03326666666667</v>
      </c>
      <c r="O569" s="5">
        <v>-20123</v>
      </c>
      <c r="P569" s="3">
        <v>-5.99569756632422E-2</v>
      </c>
      <c r="Q569" s="9">
        <f>O569+Q568</f>
        <v>271280.54845814011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197</v>
      </c>
      <c r="C570" t="s">
        <v>306</v>
      </c>
      <c r="D570" t="s">
        <v>197</v>
      </c>
      <c r="E570" t="s">
        <v>7</v>
      </c>
      <c r="F570" s="11">
        <v>45330</v>
      </c>
      <c r="G570" s="7">
        <v>45426</v>
      </c>
      <c r="H570" t="s">
        <v>298</v>
      </c>
      <c r="I570">
        <v>210</v>
      </c>
      <c r="J570" s="5">
        <v>28878</v>
      </c>
      <c r="K570" s="13">
        <v>100</v>
      </c>
      <c r="L570" s="5">
        <f>16773.87+19483.59+30312.01</f>
        <v>66569.47</v>
      </c>
      <c r="M570" s="5">
        <f>Table1[[#This Row],[Open Value]]/Table1[[#This Row],[Shares]]/Table1[[#This Row],[Multiplier]]</f>
        <v>1.375142857142857</v>
      </c>
      <c r="N570" s="5">
        <f>Table1[[#This Row],[Close Value]]/Table1[[#This Row],[Shares]]/Table1[[#This Row],[Multiplier]]</f>
        <v>3.1699747619047622</v>
      </c>
      <c r="O570" s="5">
        <f>Table1[[#This Row],[Close Value]]-Table1[[#This Row],[Open Value]]</f>
        <v>37691.47</v>
      </c>
      <c r="P570" s="3">
        <f>Table1[[#This Row],[PnL]]/Table1[[#This Row],[Open Value]]</f>
        <v>1.3051966895214351</v>
      </c>
      <c r="Q570" s="9">
        <f>O570+Q569</f>
        <v>308972.01845814008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203</v>
      </c>
    </row>
    <row r="571" spans="2:21" x14ac:dyDescent="0.25">
      <c r="B571" t="s">
        <v>201</v>
      </c>
      <c r="C571" t="s">
        <v>305</v>
      </c>
      <c r="D571" t="s">
        <v>16</v>
      </c>
      <c r="E571" t="s">
        <v>7</v>
      </c>
      <c r="F571" s="5"/>
      <c r="G571" s="7">
        <v>45428</v>
      </c>
      <c r="H571" t="s">
        <v>52</v>
      </c>
      <c r="I571">
        <v>5000</v>
      </c>
      <c r="J571" s="5">
        <v>134805.20000000001</v>
      </c>
      <c r="L571" s="5">
        <v>134895.20000000001</v>
      </c>
      <c r="M571" s="5">
        <v>26.961040000000001</v>
      </c>
      <c r="N571" s="5">
        <v>26.979040000000001</v>
      </c>
      <c r="O571" s="5">
        <v>90</v>
      </c>
      <c r="P571" s="3">
        <v>6.6763003207591398E-4</v>
      </c>
      <c r="Q571" s="9">
        <f>O571+Q570</f>
        <v>309062.01845814008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301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273</v>
      </c>
      <c r="I572">
        <v>2800</v>
      </c>
      <c r="J572" s="5">
        <v>32298</v>
      </c>
      <c r="L572" s="5">
        <v>27200.78</v>
      </c>
      <c r="M572" s="5">
        <v>11.535</v>
      </c>
      <c r="N572" s="5">
        <v>9.7145642857142853</v>
      </c>
      <c r="O572" s="5">
        <v>-5097.2200000000012</v>
      </c>
      <c r="P572" s="3">
        <v>-0.15781844077032636</v>
      </c>
      <c r="Q572" s="9">
        <f>O572+Q571</f>
        <v>303964.79845814011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303</v>
      </c>
      <c r="D573" t="s">
        <v>16</v>
      </c>
      <c r="E573" t="s">
        <v>7</v>
      </c>
      <c r="F573" s="5"/>
      <c r="G573" s="7">
        <v>45429</v>
      </c>
      <c r="H573" t="s">
        <v>155</v>
      </c>
      <c r="I573">
        <v>610</v>
      </c>
      <c r="J573" s="5">
        <v>185504.05</v>
      </c>
      <c r="L573" s="5">
        <v>197936.24</v>
      </c>
      <c r="M573" s="5">
        <v>304.10499999999996</v>
      </c>
      <c r="N573" s="5">
        <v>942.55352380952377</v>
      </c>
      <c r="O573" s="5">
        <v>12432.190000000002</v>
      </c>
      <c r="P573" s="3">
        <v>6.7018428977696193E-2</v>
      </c>
      <c r="Q573" s="9">
        <f>O573+Q572</f>
        <v>316396.98845814011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305</v>
      </c>
      <c r="D574" t="s">
        <v>16</v>
      </c>
      <c r="E574" t="s">
        <v>7</v>
      </c>
      <c r="F574" s="5"/>
      <c r="G574" s="7">
        <v>45429</v>
      </c>
      <c r="H574" t="s">
        <v>37</v>
      </c>
      <c r="I574">
        <v>820</v>
      </c>
      <c r="J574" s="5">
        <v>145729.4</v>
      </c>
      <c r="L574" s="5">
        <v>140579.98000000001</v>
      </c>
      <c r="M574" s="5">
        <v>177.71878048780488</v>
      </c>
      <c r="N574" s="5">
        <v>171.43900000000002</v>
      </c>
      <c r="O574" s="5">
        <v>-5149.4199999999837</v>
      </c>
      <c r="P574" s="3">
        <v>-3.5335491671550034E-2</v>
      </c>
      <c r="Q574" s="9">
        <f>O574+Q573</f>
        <v>311247.56845814013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45430</v>
      </c>
      <c r="H575" t="s">
        <v>142</v>
      </c>
      <c r="I575">
        <v>800</v>
      </c>
      <c r="J575" s="5">
        <v>98573.94</v>
      </c>
      <c r="L575" s="5">
        <v>93249.78</v>
      </c>
      <c r="M575" s="5">
        <v>123.21742500000001</v>
      </c>
      <c r="N575" s="5">
        <v>116.562225</v>
      </c>
      <c r="O575" s="5">
        <v>-5324.1600000000035</v>
      </c>
      <c r="P575" s="3">
        <v>-5.4011841263522625E-2</v>
      </c>
      <c r="Q575" s="9">
        <f>O575+Q574</f>
        <v>305923.4084581401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45432</v>
      </c>
      <c r="H576" t="s">
        <v>96</v>
      </c>
      <c r="I576">
        <v>1300</v>
      </c>
      <c r="J576" s="5">
        <v>240506.5</v>
      </c>
      <c r="L576" s="5">
        <v>233279.78</v>
      </c>
      <c r="M576" s="5">
        <v>185.005</v>
      </c>
      <c r="N576" s="5">
        <v>179.44598461538462</v>
      </c>
      <c r="O576" s="5">
        <v>-7226.7200000000012</v>
      </c>
      <c r="P576" s="3">
        <v>-3.0047919702793899E-2</v>
      </c>
      <c r="Q576" s="9">
        <f>O576+Q575</f>
        <v>298696.68845814012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303</v>
      </c>
      <c r="D577" t="s">
        <v>16</v>
      </c>
      <c r="E577" t="s">
        <v>7</v>
      </c>
      <c r="F577" s="5"/>
      <c r="G577" s="7">
        <v>45432</v>
      </c>
      <c r="H577" t="s">
        <v>146</v>
      </c>
      <c r="I577">
        <v>2500</v>
      </c>
      <c r="J577" s="5">
        <v>209862.5</v>
      </c>
      <c r="L577" s="5">
        <v>199162.76</v>
      </c>
      <c r="M577" s="5">
        <v>83.944999999999993</v>
      </c>
      <c r="N577" s="5">
        <v>79.665103999999999</v>
      </c>
      <c r="O577" s="5">
        <v>-10699.739999999991</v>
      </c>
      <c r="P577" s="3">
        <v>-5.0984525582226416E-2</v>
      </c>
      <c r="Q577" s="9">
        <f>O577+Q576</f>
        <v>287996.94845814013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23</v>
      </c>
      <c r="I578">
        <v>3500</v>
      </c>
      <c r="J578" s="5">
        <v>77717.5</v>
      </c>
      <c r="L578" s="5">
        <v>72920.5</v>
      </c>
      <c r="M578" s="5">
        <v>22.204999999999998</v>
      </c>
      <c r="N578" s="5">
        <v>20.834428571428571</v>
      </c>
      <c r="O578" s="5">
        <v>-4797</v>
      </c>
      <c r="P578" s="3">
        <v>-6.1723550036992952E-2</v>
      </c>
      <c r="Q578" s="9">
        <f>O578+Q577</f>
        <v>283199.94845814013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72</v>
      </c>
      <c r="I579">
        <v>100</v>
      </c>
      <c r="J579" s="5">
        <v>89990.200000000012</v>
      </c>
      <c r="L579" s="5">
        <v>83797.650000000009</v>
      </c>
      <c r="M579" s="5">
        <v>899.90200000000016</v>
      </c>
      <c r="N579" s="5">
        <v>837.9765000000001</v>
      </c>
      <c r="O579" s="5">
        <v>-6192.5500000000029</v>
      </c>
      <c r="P579" s="3">
        <v>-6.8813604148007246E-2</v>
      </c>
      <c r="Q579" s="9">
        <f>O579+Q578</f>
        <v>277007.39845814015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12</v>
      </c>
      <c r="E580" t="s">
        <v>7</v>
      </c>
      <c r="F580" s="5"/>
      <c r="G580" s="7">
        <v>45433</v>
      </c>
      <c r="H580" t="s">
        <v>270</v>
      </c>
      <c r="I580">
        <v>5</v>
      </c>
      <c r="J580" s="5">
        <v>157514.85</v>
      </c>
      <c r="L580" s="5">
        <v>174985.15</v>
      </c>
      <c r="M580" s="5">
        <v>630.05939999999998</v>
      </c>
      <c r="N580" s="5">
        <v>34.997030000000002</v>
      </c>
      <c r="O580" s="5">
        <v>17470.299999999988</v>
      </c>
      <c r="P580" s="3">
        <v>0.11091208225764103</v>
      </c>
      <c r="Q580" s="9">
        <f>O580+Q579</f>
        <v>294477.69845814013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16</v>
      </c>
      <c r="E581" t="s">
        <v>7</v>
      </c>
      <c r="F581" s="5"/>
      <c r="G581" s="7">
        <v>45433</v>
      </c>
      <c r="H581" t="s">
        <v>274</v>
      </c>
      <c r="I581">
        <v>5000</v>
      </c>
      <c r="J581" s="5">
        <v>204145</v>
      </c>
      <c r="L581" s="5">
        <v>196498.3</v>
      </c>
      <c r="M581" s="5">
        <v>40.829000000000001</v>
      </c>
      <c r="N581" s="5">
        <v>39.299659999999996</v>
      </c>
      <c r="O581" s="5">
        <v>-7646.7000000000116</v>
      </c>
      <c r="P581" s="3">
        <v>-3.7457199539543032E-2</v>
      </c>
      <c r="Q581" s="9">
        <f>O581+Q580</f>
        <v>286830.99845814012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305</v>
      </c>
      <c r="D582" t="s">
        <v>16</v>
      </c>
      <c r="E582" t="s">
        <v>7</v>
      </c>
      <c r="F582" s="11">
        <v>45427</v>
      </c>
      <c r="G582" s="7">
        <v>45434</v>
      </c>
      <c r="H582" t="s">
        <v>300</v>
      </c>
      <c r="I582">
        <v>1200</v>
      </c>
      <c r="J582" s="5">
        <v>141911.88</v>
      </c>
      <c r="K582" s="13">
        <v>1</v>
      </c>
      <c r="L582" s="5">
        <v>137973.35999999999</v>
      </c>
      <c r="M582" s="5">
        <f>Table1[[#This Row],[Open Value]]/Table1[[#This Row],[Shares]]/Table1[[#This Row],[Multiplier]]</f>
        <v>118.2599</v>
      </c>
      <c r="N582" s="5">
        <f>Table1[[#This Row],[Close Value]]/Table1[[#This Row],[Shares]]/Table1[[#This Row],[Multiplier]]</f>
        <v>114.97779999999999</v>
      </c>
      <c r="O582" s="5">
        <f>Table1[[#This Row],[Close Value]]-Table1[[#This Row],[Open Value]]</f>
        <v>-3938.5200000000186</v>
      </c>
      <c r="P582" s="3">
        <f>Table1[[#This Row],[PnL]]/Table1[[#This Row],[Open Value]]</f>
        <v>-2.7753279006662575E-2</v>
      </c>
      <c r="Q582" s="9">
        <f>O582+Q581</f>
        <v>282892.4784581401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203</v>
      </c>
    </row>
    <row r="583" spans="2:21" x14ac:dyDescent="0.25">
      <c r="B583" t="s">
        <v>197</v>
      </c>
      <c r="C583" t="s">
        <v>306</v>
      </c>
      <c r="D583" t="s">
        <v>102</v>
      </c>
      <c r="E583" t="s">
        <v>7</v>
      </c>
      <c r="F583" s="5"/>
      <c r="G583" s="7">
        <v>45435</v>
      </c>
      <c r="H583" t="s">
        <v>136</v>
      </c>
      <c r="I583">
        <v>5</v>
      </c>
      <c r="J583" s="5">
        <v>8698.48</v>
      </c>
      <c r="K583" s="13">
        <v>100</v>
      </c>
      <c r="L583" s="5">
        <v>6487</v>
      </c>
      <c r="M583" s="5">
        <v>17.39696</v>
      </c>
      <c r="N583" s="5">
        <v>12.974</v>
      </c>
      <c r="O583" s="5">
        <v>-2211.4799999999996</v>
      </c>
      <c r="P583" s="3">
        <v>-0.25423752195785931</v>
      </c>
      <c r="Q583" s="9">
        <f>O583+Q582</f>
        <v>280680.99845814012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301</v>
      </c>
    </row>
    <row r="584" spans="2:21" x14ac:dyDescent="0.25">
      <c r="B584" t="s">
        <v>197</v>
      </c>
      <c r="C584" t="s">
        <v>302</v>
      </c>
      <c r="D584" t="s">
        <v>102</v>
      </c>
      <c r="E584" t="s">
        <v>7</v>
      </c>
      <c r="F584" s="11">
        <v>45371</v>
      </c>
      <c r="G584" s="7">
        <v>45435</v>
      </c>
      <c r="H584" t="s">
        <v>209</v>
      </c>
      <c r="I584">
        <v>100</v>
      </c>
      <c r="J584" s="5">
        <v>9992.23</v>
      </c>
      <c r="K584" s="13">
        <v>100</v>
      </c>
      <c r="L584" s="5">
        <v>0</v>
      </c>
      <c r="M584" s="5">
        <f>Table1[[#This Row],[Open Value]]/Table1[[#This Row],[Shares]]/Table1[[#This Row],[Multiplier]]</f>
        <v>0.99922299999999997</v>
      </c>
      <c r="N584" s="5">
        <f>Table1[[#This Row],[Close Value]]/Table1[[#This Row],[Shares]]/Table1[[#This Row],[Multiplier]]</f>
        <v>0</v>
      </c>
      <c r="O584" s="5">
        <f>79.57-1870.97</f>
        <v>-1791.4</v>
      </c>
      <c r="P584" s="3">
        <f>Table1[[#This Row],[PnL]]/Table1[[#This Row],[Open Value]]</f>
        <v>-0.17927930001611253</v>
      </c>
      <c r="Q584" s="9">
        <f>O584+Q583</f>
        <v>278889.5984581401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/>
      <c r="U584" s="5"/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45432</v>
      </c>
      <c r="G585" s="7">
        <v>45436</v>
      </c>
      <c r="H585" t="s">
        <v>37</v>
      </c>
      <c r="I585">
        <v>10</v>
      </c>
      <c r="J585" s="5">
        <v>2607</v>
      </c>
      <c r="K585" s="13">
        <v>100</v>
      </c>
      <c r="L585" s="5">
        <v>5535.96</v>
      </c>
      <c r="M585" s="5">
        <v>2.6069999999999998</v>
      </c>
      <c r="N585" s="5">
        <v>7.9085142857142854</v>
      </c>
      <c r="O585" s="5">
        <v>2928.96</v>
      </c>
      <c r="P585" s="3">
        <v>2.0335689626828866</v>
      </c>
      <c r="Q585" s="9">
        <f>O585+Q584</f>
        <v>281818.55845814012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 t="s">
        <v>240</v>
      </c>
      <c r="U585" s="5" t="s">
        <v>301</v>
      </c>
    </row>
    <row r="586" spans="2:21" x14ac:dyDescent="0.25">
      <c r="B586" t="s">
        <v>201</v>
      </c>
      <c r="C586" t="s">
        <v>303</v>
      </c>
      <c r="D586" t="s">
        <v>12</v>
      </c>
      <c r="E586" t="s">
        <v>7</v>
      </c>
      <c r="F586" s="5"/>
      <c r="G586" s="7">
        <v>45440</v>
      </c>
      <c r="H586" t="s">
        <v>85</v>
      </c>
      <c r="I586">
        <v>13</v>
      </c>
      <c r="J586" s="5">
        <v>84173.51</v>
      </c>
      <c r="L586" s="5">
        <v>88161</v>
      </c>
      <c r="M586" s="5">
        <v>64748.853846153841</v>
      </c>
      <c r="N586" s="5">
        <v>6.7816153846153844</v>
      </c>
      <c r="O586" s="5">
        <v>3987.4900000000052</v>
      </c>
      <c r="P586" s="3">
        <v>4.7372267118241898E-2</v>
      </c>
      <c r="Q586" s="9">
        <f>O586+Q585</f>
        <v>285806.04845814011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271</v>
      </c>
      <c r="I587">
        <v>350</v>
      </c>
      <c r="J587" s="5">
        <v>100234</v>
      </c>
      <c r="L587" s="5">
        <v>111571.65</v>
      </c>
      <c r="M587" s="5">
        <v>0.25569897959183674</v>
      </c>
      <c r="N587" s="5">
        <v>0.31877614285714284</v>
      </c>
      <c r="O587" s="5">
        <v>11337.649999999994</v>
      </c>
      <c r="P587" s="3">
        <v>0.11311181834507247</v>
      </c>
      <c r="Q587" s="9">
        <f>O587+Q586</f>
        <v>297143.69845814013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16</v>
      </c>
      <c r="E588" t="s">
        <v>7</v>
      </c>
      <c r="F588" s="5"/>
      <c r="G588" s="7">
        <v>45440</v>
      </c>
      <c r="H588" t="s">
        <v>218</v>
      </c>
      <c r="I588">
        <v>3800</v>
      </c>
      <c r="J588" s="5">
        <v>70699</v>
      </c>
      <c r="L588" s="5">
        <v>63360.93</v>
      </c>
      <c r="M588" s="5">
        <v>18.605</v>
      </c>
      <c r="N588" s="5">
        <v>16.67392894736842</v>
      </c>
      <c r="O588" s="5">
        <v>-7338.07</v>
      </c>
      <c r="P588" s="3">
        <v>-0.10379312295789191</v>
      </c>
      <c r="Q588" s="9">
        <f>O588+Q587</f>
        <v>289805.62845814013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23</v>
      </c>
      <c r="I589">
        <v>2700</v>
      </c>
      <c r="J589" s="5">
        <v>61030.689999999995</v>
      </c>
      <c r="L589" s="5">
        <v>55792.92</v>
      </c>
      <c r="M589" s="5">
        <v>22.603959259259259</v>
      </c>
      <c r="N589" s="5">
        <v>20.664044444444443</v>
      </c>
      <c r="O589" s="5">
        <v>-5237.7699999999968</v>
      </c>
      <c r="P589" s="3">
        <v>-8.5821903701236171E-2</v>
      </c>
      <c r="Q589" s="9">
        <f>O589+Q588</f>
        <v>284567.85845814011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12</v>
      </c>
      <c r="E590" t="s">
        <v>7</v>
      </c>
      <c r="F590" s="5"/>
      <c r="G590" s="7">
        <v>45440</v>
      </c>
      <c r="H590" t="s">
        <v>271</v>
      </c>
      <c r="I590">
        <v>300</v>
      </c>
      <c r="J590" s="5">
        <v>116851</v>
      </c>
      <c r="L590" s="5">
        <v>106275.2</v>
      </c>
      <c r="M590" s="5">
        <v>3895.0333333333333</v>
      </c>
      <c r="N590" s="5">
        <v>0.35425066666666666</v>
      </c>
      <c r="O590" s="5">
        <v>-10575.800000000003</v>
      </c>
      <c r="P590" s="3">
        <v>-9.050671367810291E-2</v>
      </c>
      <c r="Q590" s="9">
        <f>O590+Q589</f>
        <v>273992.05845814012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45442</v>
      </c>
      <c r="H591" t="s">
        <v>13</v>
      </c>
      <c r="I591">
        <v>7</v>
      </c>
      <c r="J591" s="5">
        <v>539086.59</v>
      </c>
      <c r="L591" s="5">
        <v>529533.40999999992</v>
      </c>
      <c r="M591" s="5">
        <v>77.01236999999999</v>
      </c>
      <c r="N591" s="5">
        <v>75.647629999999978</v>
      </c>
      <c r="O591" s="5">
        <v>-9553.1800000000512</v>
      </c>
      <c r="P591" s="3">
        <v>-1.7721049228844762E-2</v>
      </c>
      <c r="Q591" s="9">
        <f>O591+Q590</f>
        <v>264438.87845814007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16</v>
      </c>
      <c r="E592" t="s">
        <v>7</v>
      </c>
      <c r="F592" s="5"/>
      <c r="G592" s="7">
        <v>45442</v>
      </c>
      <c r="H592" t="s">
        <v>146</v>
      </c>
      <c r="I592">
        <v>1500</v>
      </c>
      <c r="J592" s="5">
        <v>125954</v>
      </c>
      <c r="L592" s="5">
        <v>116454.26</v>
      </c>
      <c r="M592" s="5">
        <v>83.969333333333338</v>
      </c>
      <c r="N592" s="5">
        <v>77.636173333333332</v>
      </c>
      <c r="O592" s="5">
        <v>-9499.7400000000052</v>
      </c>
      <c r="P592" s="3">
        <v>-7.5422297029074145E-2</v>
      </c>
      <c r="Q592" s="9">
        <f>O592+Q591</f>
        <v>254939.13845814008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305</v>
      </c>
      <c r="D593" t="s">
        <v>16</v>
      </c>
      <c r="E593" t="s">
        <v>7</v>
      </c>
      <c r="F593" s="11">
        <v>45432</v>
      </c>
      <c r="G593" s="7">
        <v>45443</v>
      </c>
      <c r="H593" t="s">
        <v>96</v>
      </c>
      <c r="I593">
        <v>650</v>
      </c>
      <c r="J593" s="5">
        <v>121296.37</v>
      </c>
      <c r="K593" s="13">
        <v>1</v>
      </c>
      <c r="L593" s="5">
        <v>116285.32</v>
      </c>
      <c r="M593" s="5">
        <f>Table1[[#This Row],[Open Value]]/Table1[[#This Row],[Shares]]/Table1[[#This Row],[Multiplier]]</f>
        <v>186.60980000000001</v>
      </c>
      <c r="N593" s="5">
        <f>Table1[[#This Row],[Close Value]]/Table1[[#This Row],[Shares]]/Table1[[#This Row],[Multiplier]]</f>
        <v>178.90049230769233</v>
      </c>
      <c r="O593" s="5">
        <f>Table1[[#This Row],[Close Value]]-Table1[[#This Row],[Open Value]]</f>
        <v>-5011.0499999999884</v>
      </c>
      <c r="P593" s="3">
        <f>Table1[[#This Row],[PnL]]/Table1[[#This Row],[Open Value]]</f>
        <v>-4.1312448179611549E-2</v>
      </c>
      <c r="Q593" s="9">
        <f>O593+Q592</f>
        <v>249928.08845814009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203</v>
      </c>
    </row>
    <row r="594" spans="2:21" x14ac:dyDescent="0.25">
      <c r="B594" t="s">
        <v>201</v>
      </c>
      <c r="C594" t="s">
        <v>303</v>
      </c>
      <c r="D594" t="s">
        <v>12</v>
      </c>
      <c r="E594" t="s">
        <v>7</v>
      </c>
      <c r="F594" s="5"/>
      <c r="G594" s="7">
        <v>45446</v>
      </c>
      <c r="H594" t="s">
        <v>87</v>
      </c>
      <c r="I594">
        <v>5</v>
      </c>
      <c r="J594" s="5">
        <v>304000</v>
      </c>
      <c r="L594" s="5">
        <v>299295.3</v>
      </c>
      <c r="M594" s="5">
        <v>1216</v>
      </c>
      <c r="N594" s="5">
        <v>59.859059999999999</v>
      </c>
      <c r="O594" s="5">
        <v>-4704.7000000000116</v>
      </c>
      <c r="P594" s="3">
        <v>-1.5475986842105301E-2</v>
      </c>
      <c r="Q594" s="9">
        <f>O594+Q593</f>
        <v>245223.38845814008</v>
      </c>
      <c r="R594" s="5" t="str">
        <f>TEXT(Table1[[#This Row],[Closing Date]],"yyyy")</f>
        <v>2024</v>
      </c>
      <c r="S594" s="5" t="str">
        <f>TEXT(Table1[[#This Row],[Closing Date]],"mmmm")</f>
        <v>June</v>
      </c>
      <c r="T594" s="5" t="s">
        <v>240</v>
      </c>
      <c r="U594" s="5" t="s">
        <v>301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45448</v>
      </c>
      <c r="H595" t="s">
        <v>270</v>
      </c>
      <c r="I595">
        <v>4</v>
      </c>
      <c r="J595" s="5">
        <v>139150</v>
      </c>
      <c r="L595" s="5">
        <v>130050</v>
      </c>
      <c r="M595" s="5">
        <v>695.75</v>
      </c>
      <c r="N595" s="5">
        <v>32.512500000000003</v>
      </c>
      <c r="O595" s="5">
        <v>-9100</v>
      </c>
      <c r="P595" s="3">
        <v>-6.5397053539346023E-2</v>
      </c>
      <c r="Q595" s="9">
        <f>O595+Q594</f>
        <v>236123.38845814008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197</v>
      </c>
      <c r="C596" t="s">
        <v>302</v>
      </c>
      <c r="D596" t="s">
        <v>102</v>
      </c>
      <c r="E596" t="s">
        <v>7</v>
      </c>
      <c r="F596" s="11">
        <v>45440</v>
      </c>
      <c r="G596" s="7">
        <v>45450</v>
      </c>
      <c r="H596" t="s">
        <v>105</v>
      </c>
      <c r="I596">
        <v>10</v>
      </c>
      <c r="J596" s="5">
        <v>3296.97</v>
      </c>
      <c r="K596" s="13">
        <v>100</v>
      </c>
      <c r="L596" s="5">
        <v>0</v>
      </c>
      <c r="M596" s="5">
        <v>3.29697</v>
      </c>
      <c r="N596" s="5">
        <v>0</v>
      </c>
      <c r="O596" s="5">
        <v>-3296.97</v>
      </c>
      <c r="P596" s="3">
        <v>-1</v>
      </c>
      <c r="Q596" s="9">
        <f>O596+Q595</f>
        <v>232826.41845814008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201</v>
      </c>
      <c r="C597" t="s">
        <v>303</v>
      </c>
      <c r="D597" t="s">
        <v>16</v>
      </c>
      <c r="E597" t="s">
        <v>7</v>
      </c>
      <c r="F597" s="5"/>
      <c r="G597" s="7">
        <v>45450</v>
      </c>
      <c r="H597" t="s">
        <v>139</v>
      </c>
      <c r="I597">
        <v>1000</v>
      </c>
      <c r="J597" s="5">
        <v>138552.85</v>
      </c>
      <c r="L597" s="5">
        <v>128582.36</v>
      </c>
      <c r="M597" s="5">
        <v>138.55285000000001</v>
      </c>
      <c r="N597" s="5">
        <v>128.58235999999999</v>
      </c>
      <c r="O597" s="5">
        <v>-9970.4900000000052</v>
      </c>
      <c r="P597" s="3">
        <v>-7.1961637743287163E-2</v>
      </c>
      <c r="Q597" s="9">
        <f>O597+Q596</f>
        <v>222855.92845814006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197</v>
      </c>
      <c r="C598" t="s">
        <v>302</v>
      </c>
      <c r="D598" t="s">
        <v>97</v>
      </c>
      <c r="E598" t="s">
        <v>7</v>
      </c>
      <c r="F598" s="11">
        <v>45433</v>
      </c>
      <c r="G598" s="7">
        <v>45450</v>
      </c>
      <c r="H598" t="s">
        <v>162</v>
      </c>
      <c r="I598">
        <v>4</v>
      </c>
      <c r="J598" s="5">
        <v>3202.79</v>
      </c>
      <c r="K598" s="13">
        <v>100</v>
      </c>
      <c r="L598" s="5">
        <v>9321</v>
      </c>
      <c r="M598" s="5">
        <v>8.0069750000000006</v>
      </c>
      <c r="N598" s="5">
        <v>23.302499999999998</v>
      </c>
      <c r="O598" s="5">
        <v>6118.21</v>
      </c>
      <c r="P598" s="3">
        <v>1.9102751038937922</v>
      </c>
      <c r="Q598" s="9">
        <f>O598+Q597</f>
        <v>228974.13845814005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201</v>
      </c>
      <c r="C599" t="s">
        <v>306</v>
      </c>
      <c r="D599" t="s">
        <v>16</v>
      </c>
      <c r="E599" t="s">
        <v>7</v>
      </c>
      <c r="F599" s="11">
        <v>45385</v>
      </c>
      <c r="G599" s="7">
        <v>45450</v>
      </c>
      <c r="H599" t="s">
        <v>192</v>
      </c>
      <c r="I599">
        <v>9000</v>
      </c>
      <c r="J599" s="5">
        <v>195120</v>
      </c>
      <c r="K599" s="13">
        <v>1</v>
      </c>
      <c r="L599" s="5">
        <v>169908.09</v>
      </c>
      <c r="M599" s="5">
        <f>Table1[[#This Row],[Open Value]]/Table1[[#This Row],[Shares]]/Table1[[#This Row],[Multiplier]]</f>
        <v>21.68</v>
      </c>
      <c r="N599" s="5">
        <f>Table1[[#This Row],[Close Value]]/Table1[[#This Row],[Shares]]/Table1[[#This Row],[Multiplier]]</f>
        <v>18.878676666666667</v>
      </c>
      <c r="O599" s="5">
        <f>Table1[[#This Row],[Close Value]]-Table1[[#This Row],[Open Value]]</f>
        <v>-25211.910000000003</v>
      </c>
      <c r="P599" s="3">
        <f>Table1[[#This Row],[PnL]]/Table1[[#This Row],[Open Value]]</f>
        <v>-0.12921233087330875</v>
      </c>
      <c r="Q599" s="9">
        <f>O599+Q598</f>
        <v>203762.22845814005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203</v>
      </c>
    </row>
    <row r="600" spans="2:21" x14ac:dyDescent="0.25">
      <c r="B600" t="s">
        <v>201</v>
      </c>
      <c r="C600" t="s">
        <v>303</v>
      </c>
      <c r="D600" t="s">
        <v>16</v>
      </c>
      <c r="E600" t="s">
        <v>7</v>
      </c>
      <c r="F600" s="5"/>
      <c r="G600" s="7">
        <v>45453</v>
      </c>
      <c r="H600" t="s">
        <v>275</v>
      </c>
      <c r="I600">
        <v>1100</v>
      </c>
      <c r="J600" s="5">
        <v>25724</v>
      </c>
      <c r="L600" s="5">
        <v>36888.239999999998</v>
      </c>
      <c r="M600" s="5">
        <v>23.385454545454547</v>
      </c>
      <c r="N600" s="5">
        <v>46.110299999999995</v>
      </c>
      <c r="O600" s="5">
        <v>11164.239999999998</v>
      </c>
      <c r="P600" s="3">
        <v>0.43400093298087383</v>
      </c>
      <c r="Q600" s="9">
        <f>O600+Q599</f>
        <v>214926.46845814004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301</v>
      </c>
    </row>
    <row r="601" spans="2:21" x14ac:dyDescent="0.25">
      <c r="B601" t="s">
        <v>201</v>
      </c>
      <c r="C601" t="s">
        <v>305</v>
      </c>
      <c r="D601" t="s">
        <v>16</v>
      </c>
      <c r="E601" t="s">
        <v>7</v>
      </c>
      <c r="F601" s="11">
        <v>45364</v>
      </c>
      <c r="G601" s="7">
        <v>45454</v>
      </c>
      <c r="H601" t="s">
        <v>295</v>
      </c>
      <c r="I601">
        <v>1000</v>
      </c>
      <c r="J601" s="5">
        <v>93000</v>
      </c>
      <c r="K601" s="13">
        <v>1</v>
      </c>
      <c r="L601" s="5">
        <f>23.73+54949.56+53433.52</f>
        <v>108406.81</v>
      </c>
      <c r="M601" s="5">
        <f>Table1[[#This Row],[Open Value]]/Table1[[#This Row],[Shares]]/Table1[[#This Row],[Multiplier]]</f>
        <v>93</v>
      </c>
      <c r="N601" s="5">
        <f>Table1[[#This Row],[Close Value]]/Table1[[#This Row],[Shares]]/Table1[[#This Row],[Multiplier]]</f>
        <v>108.40680999999999</v>
      </c>
      <c r="O601" s="5">
        <f>Table1[[#This Row],[Close Value]]-Table1[[#This Row],[Open Value]]</f>
        <v>15406.809999999998</v>
      </c>
      <c r="P601" s="3">
        <f>Table1[[#This Row],[PnL]]/Table1[[#This Row],[Open Value]]</f>
        <v>0.16566462365591395</v>
      </c>
      <c r="Q601" s="9">
        <f>O601+Q600</f>
        <v>230333.27845814003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203</v>
      </c>
    </row>
    <row r="602" spans="2:21" x14ac:dyDescent="0.25">
      <c r="B602" t="s">
        <v>197</v>
      </c>
      <c r="C602" t="s">
        <v>302</v>
      </c>
      <c r="D602" t="s">
        <v>102</v>
      </c>
      <c r="E602" t="s">
        <v>7</v>
      </c>
      <c r="F602" s="11">
        <v>45443</v>
      </c>
      <c r="G602" s="7">
        <v>45455</v>
      </c>
      <c r="H602" t="s">
        <v>10</v>
      </c>
      <c r="I602">
        <v>7</v>
      </c>
      <c r="J602" s="5">
        <v>3853.13</v>
      </c>
      <c r="K602" s="13">
        <v>100</v>
      </c>
      <c r="L602" s="5">
        <f>Table1[[#This Row],[Open Value]]+Table1[[#This Row],[PnL]]</f>
        <v>5502.24</v>
      </c>
      <c r="M602" s="5">
        <f>Table1[[#This Row],[Open Value]]/Table1[[#This Row],[Shares]]</f>
        <v>550.44714285714292</v>
      </c>
      <c r="N602" s="5">
        <f>Table1[[#This Row],[Close Value]]/Table1[[#This Row],[Shares]]/Table1[[#This Row],[Multiplier]]</f>
        <v>7.8603428571428573</v>
      </c>
      <c r="O602" s="5">
        <v>1649.11</v>
      </c>
      <c r="P602" s="3">
        <f>Table1[[#This Row],[PnL]]/Table1[[#This Row],[Open Value]]</f>
        <v>0.42799230755256112</v>
      </c>
      <c r="Q602" s="9">
        <f>O602+Q601</f>
        <v>231982.38845814002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301</v>
      </c>
    </row>
    <row r="603" spans="2:21" x14ac:dyDescent="0.25">
      <c r="B603" t="s">
        <v>201</v>
      </c>
      <c r="C603" t="s">
        <v>303</v>
      </c>
      <c r="D603" t="s">
        <v>16</v>
      </c>
      <c r="E603" t="s">
        <v>7</v>
      </c>
      <c r="F603" s="5"/>
      <c r="G603" s="7">
        <v>45456</v>
      </c>
      <c r="H603" t="s">
        <v>263</v>
      </c>
      <c r="I603">
        <v>6000</v>
      </c>
      <c r="J603" s="5">
        <v>78450</v>
      </c>
      <c r="L603" s="5">
        <v>73169.95</v>
      </c>
      <c r="M603" s="5">
        <v>13.074999999999999</v>
      </c>
      <c r="N603" s="5">
        <v>12.194991666666667</v>
      </c>
      <c r="O603" s="5">
        <v>-5280.0500000000029</v>
      </c>
      <c r="P603" s="3">
        <v>-6.7304652644996854E-2</v>
      </c>
      <c r="Q603" s="9">
        <f>O603+Q602</f>
        <v>226702.33845814003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281</v>
      </c>
      <c r="I604">
        <v>2600</v>
      </c>
      <c r="J604" s="5">
        <v>42913</v>
      </c>
      <c r="L604" s="5">
        <v>40075.11</v>
      </c>
      <c r="M604" s="5">
        <v>16.504999999999999</v>
      </c>
      <c r="N604" s="5">
        <v>15.413503846153846</v>
      </c>
      <c r="O604" s="5">
        <v>-2837.8899999999994</v>
      </c>
      <c r="P604" s="3">
        <v>-6.6131242280893884E-2</v>
      </c>
      <c r="Q604" s="9">
        <f>O604+Q603</f>
        <v>223864.44845814002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197</v>
      </c>
      <c r="C605" t="s">
        <v>302</v>
      </c>
      <c r="D605" t="s">
        <v>97</v>
      </c>
      <c r="E605" t="s">
        <v>7</v>
      </c>
      <c r="F605" s="11">
        <v>45448</v>
      </c>
      <c r="G605" s="7">
        <v>45457</v>
      </c>
      <c r="H605" t="s">
        <v>277</v>
      </c>
      <c r="I605">
        <v>15</v>
      </c>
      <c r="J605" s="5">
        <v>3555</v>
      </c>
      <c r="K605" s="13">
        <v>100</v>
      </c>
      <c r="L605" s="5">
        <v>2435</v>
      </c>
      <c r="M605" s="5">
        <v>2.37</v>
      </c>
      <c r="N605" s="5">
        <v>1.6233333333333335</v>
      </c>
      <c r="O605" s="5">
        <v>-1120</v>
      </c>
      <c r="P605" s="3">
        <v>-0.31504922644163147</v>
      </c>
      <c r="Q605" s="9">
        <f>O605+Q604</f>
        <v>222744.44845814002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201</v>
      </c>
      <c r="C606" t="s">
        <v>302</v>
      </c>
      <c r="D606" t="s">
        <v>16</v>
      </c>
      <c r="E606" t="s">
        <v>7</v>
      </c>
      <c r="F606" s="11">
        <v>45457</v>
      </c>
      <c r="G606" s="7">
        <v>45457</v>
      </c>
      <c r="H606" t="s">
        <v>170</v>
      </c>
      <c r="I606">
        <v>3000</v>
      </c>
      <c r="J606" s="5">
        <v>106233</v>
      </c>
      <c r="L606" s="5">
        <v>103655.87</v>
      </c>
      <c r="M606" s="5">
        <v>35.411000000000001</v>
      </c>
      <c r="N606" s="5">
        <v>34.551956666666662</v>
      </c>
      <c r="O606" s="5">
        <v>-2577.1300000000047</v>
      </c>
      <c r="P606" s="3">
        <v>-2.4259222652094969E-2</v>
      </c>
      <c r="Q606" s="9">
        <f>O606+Q605</f>
        <v>220167.31845814001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197</v>
      </c>
      <c r="C607" t="s">
        <v>303</v>
      </c>
      <c r="D607" t="s">
        <v>97</v>
      </c>
      <c r="E607" t="s">
        <v>7</v>
      </c>
      <c r="F607" s="11">
        <v>45448</v>
      </c>
      <c r="G607" s="7">
        <v>45457</v>
      </c>
      <c r="H607" t="s">
        <v>277</v>
      </c>
      <c r="I607">
        <v>15</v>
      </c>
      <c r="J607" s="5">
        <f>-275.4+3849.55</f>
        <v>3574.15</v>
      </c>
      <c r="K607" s="13">
        <v>100</v>
      </c>
      <c r="L607" s="5">
        <f>Table1[[#This Row],[Open Value]]+Table1[[#This Row],[PnL]]</f>
        <v>2427.91</v>
      </c>
      <c r="M607" s="5">
        <f>Table1[[#This Row],[Open Value]]/Table1[[#This Row],[Shares]]</f>
        <v>238.27666666666667</v>
      </c>
      <c r="N607" s="5">
        <f>Table1[[#This Row],[Close Value]]/Table1[[#This Row],[Shares]]/Table1[[#This Row],[Multiplier]]</f>
        <v>1.6186066666666665</v>
      </c>
      <c r="O607" s="5">
        <f>-1218.14+71.9</f>
        <v>-1146.24</v>
      </c>
      <c r="P607" s="3">
        <f>Table1[[#This Row],[PnL]]/Table1[[#This Row],[Open Value]]</f>
        <v>-0.32070282444777082</v>
      </c>
      <c r="Q607" s="9">
        <f>O607+Q606</f>
        <v>219021.07845814002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201</v>
      </c>
      <c r="C608" t="s">
        <v>303</v>
      </c>
      <c r="D608" t="s">
        <v>16</v>
      </c>
      <c r="E608" t="s">
        <v>7</v>
      </c>
      <c r="F608" s="11">
        <v>45449</v>
      </c>
      <c r="G608" s="7">
        <v>45460</v>
      </c>
      <c r="H608" t="s">
        <v>280</v>
      </c>
      <c r="I608">
        <v>575</v>
      </c>
      <c r="J608" s="5">
        <v>101214.38</v>
      </c>
      <c r="L608" s="5">
        <v>105561.07</v>
      </c>
      <c r="M608" s="5">
        <v>176.02500869565219</v>
      </c>
      <c r="N608" s="5">
        <v>183.5844695652174</v>
      </c>
      <c r="O608" s="5">
        <v>4346.6900000000023</v>
      </c>
      <c r="P608" s="3">
        <v>4.2945379895623546E-2</v>
      </c>
      <c r="Q608" s="9">
        <f>O608+Q607</f>
        <v>223367.76845814002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12</v>
      </c>
      <c r="E609" t="s">
        <v>7</v>
      </c>
      <c r="F609" s="11">
        <v>45437</v>
      </c>
      <c r="G609" s="7">
        <v>45460</v>
      </c>
      <c r="H609" t="s">
        <v>286</v>
      </c>
      <c r="I609">
        <v>2</v>
      </c>
      <c r="J609" s="5">
        <v>154280.94</v>
      </c>
      <c r="K609" s="13">
        <v>375</v>
      </c>
      <c r="L609" s="5">
        <f>Table1[[#This Row],[Open Value]]+Table1[[#This Row],[PnL]]</f>
        <v>170356.56</v>
      </c>
      <c r="M609" s="5">
        <f>Table1[[#This Row],[Open Value]]/Table1[[#This Row],[Shares]]/Table1[[#This Row],[Multiplier]]</f>
        <v>205.70792</v>
      </c>
      <c r="N609" s="5">
        <f>Table1[[#This Row],[Close Value]]/Table1[[#This Row],[Shares]]/Table1[[#This Row],[Multiplier]]</f>
        <v>227.14207999999999</v>
      </c>
      <c r="O609" s="5">
        <v>16075.62</v>
      </c>
      <c r="P609" s="3">
        <f>Table1[[#This Row],[PnL]]/Table1[[#This Row],[Open Value]]</f>
        <v>0.10419705765339517</v>
      </c>
      <c r="Q609" s="9">
        <f>O609+Q608</f>
        <v>239443.38845814002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197</v>
      </c>
      <c r="C610" t="s">
        <v>303</v>
      </c>
      <c r="D610" t="s">
        <v>102</v>
      </c>
      <c r="E610" t="s">
        <v>7</v>
      </c>
      <c r="F610" s="5"/>
      <c r="G610" s="7">
        <v>45461</v>
      </c>
      <c r="H610" t="s">
        <v>9</v>
      </c>
      <c r="I610">
        <v>40</v>
      </c>
      <c r="J610" s="5">
        <v>10064</v>
      </c>
      <c r="K610" s="13">
        <v>100</v>
      </c>
      <c r="L610" s="5">
        <v>10584</v>
      </c>
      <c r="M610" s="5">
        <f>Table1[[#This Row],[Open Value]]/Table1[[#This Row],[Shares]]/Table1[[#This Row],[Multiplier]]</f>
        <v>2.516</v>
      </c>
      <c r="N610" s="5">
        <f>Table1[[#This Row],[Close Value]]/Table1[[#This Row],[Shares]]/Table1[[#This Row],[Multiplier]]</f>
        <v>2.6460000000000004</v>
      </c>
      <c r="O610" s="5">
        <v>520</v>
      </c>
      <c r="P610" s="3">
        <v>5.1669316375198865E-2</v>
      </c>
      <c r="Q610" s="9">
        <f>O610+Q609</f>
        <v>239963.38845814002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201</v>
      </c>
      <c r="C611" t="s">
        <v>303</v>
      </c>
      <c r="D611" t="s">
        <v>12</v>
      </c>
      <c r="E611" t="s">
        <v>7</v>
      </c>
      <c r="F611" s="11">
        <v>45448</v>
      </c>
      <c r="G611" s="7">
        <v>45461</v>
      </c>
      <c r="H611" t="s">
        <v>85</v>
      </c>
      <c r="I611">
        <v>7</v>
      </c>
      <c r="J611" s="5">
        <v>50530.89</v>
      </c>
      <c r="K611" s="13">
        <v>0.1</v>
      </c>
      <c r="L611" s="5">
        <f>Table1[[#This Row],[Open Value]]+Table1[[#This Row],[PnL]]</f>
        <v>45325.89</v>
      </c>
      <c r="M611" s="5">
        <f>Table1[[#This Row],[Open Value]]/Table1[[#This Row],[Shares]]/Table1[[#This Row],[Multiplier]]</f>
        <v>72186.985714285707</v>
      </c>
      <c r="N611" s="5">
        <f>Table1[[#This Row],[Close Value]]/Table1[[#This Row],[Shares]]/Table1[[#This Row],[Multiplier]]</f>
        <v>64751.271428571425</v>
      </c>
      <c r="O611" s="5">
        <v>-5205</v>
      </c>
      <c r="P611" s="3">
        <f>Table1[[#This Row],[PnL]]/Table1[[#This Row],[Open Value]]</f>
        <v>-0.1030062997109293</v>
      </c>
      <c r="Q611" s="9">
        <f>O611+Q610</f>
        <v>234758.38845814002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16</v>
      </c>
      <c r="E612" t="s">
        <v>7</v>
      </c>
      <c r="F612" s="11">
        <v>45449</v>
      </c>
      <c r="G612" s="7">
        <v>45463</v>
      </c>
      <c r="H612" t="s">
        <v>224</v>
      </c>
      <c r="I612">
        <v>5000</v>
      </c>
      <c r="J612" s="5">
        <v>75421</v>
      </c>
      <c r="K612" s="13">
        <v>1</v>
      </c>
      <c r="L612" s="5">
        <f>Table1[[#This Row],[Open Value]]+Table1[[#This Row],[PnL]]</f>
        <v>78684.73</v>
      </c>
      <c r="M612" s="5">
        <f>Table1[[#This Row],[Open Value]]/Table1[[#This Row],[Shares]]/Table1[[#This Row],[Multiplier]]</f>
        <v>15.084199999999999</v>
      </c>
      <c r="N612" s="5">
        <f>Table1[[#This Row],[Close Value]]/Table1[[#This Row],[Shares]]/Table1[[#This Row],[Multiplier]]</f>
        <v>15.736946</v>
      </c>
      <c r="O612" s="5">
        <v>3263.73</v>
      </c>
      <c r="P612" s="3">
        <f>Table1[[#This Row],[PnL]]/Table1[[#This Row],[Open Value]]</f>
        <v>4.3273491467893554E-2</v>
      </c>
      <c r="Q612" s="9">
        <f>O612+Q611</f>
        <v>238022.11845814003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197</v>
      </c>
      <c r="C613" t="s">
        <v>302</v>
      </c>
      <c r="D613" t="s">
        <v>97</v>
      </c>
      <c r="E613" t="s">
        <v>7</v>
      </c>
      <c r="F613" s="11">
        <v>45453</v>
      </c>
      <c r="G613" s="7">
        <v>45463</v>
      </c>
      <c r="H613" t="s">
        <v>130</v>
      </c>
      <c r="I613">
        <v>40</v>
      </c>
      <c r="J613" s="5">
        <f>4682.68-1037.17</f>
        <v>3645.51</v>
      </c>
      <c r="K613" s="13">
        <v>100</v>
      </c>
      <c r="L613" s="5">
        <f>Table1[[#This Row],[Open Value]]+Table1[[#This Row],[PnL]]</f>
        <v>1333.0100000000002</v>
      </c>
      <c r="M613" s="5">
        <f>Table1[[#This Row],[Open Value]]/Table1[[#This Row],[Shares]]/Table1[[#This Row],[Multiplier]]</f>
        <v>0.91137750000000006</v>
      </c>
      <c r="N613" s="5">
        <f>Table1[[#This Row],[Close Value]]/Table1[[#This Row],[Shares]]/Table1[[#This Row],[Multiplier]]</f>
        <v>0.33325250000000006</v>
      </c>
      <c r="O613" s="5">
        <f>-3025.76+713.26</f>
        <v>-2312.5</v>
      </c>
      <c r="P613" s="3">
        <f>Table1[[#This Row],[PnL]]/Table1[[#This Row],[Open Value]]</f>
        <v>-0.63434197135654546</v>
      </c>
      <c r="Q613" s="9">
        <f>O613+Q612</f>
        <v>235709.61845814003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99</v>
      </c>
      <c r="E614" t="s">
        <v>7</v>
      </c>
      <c r="F614" s="11">
        <v>45453</v>
      </c>
      <c r="G614" s="7">
        <v>45464</v>
      </c>
      <c r="H614" t="s">
        <v>133</v>
      </c>
      <c r="I614">
        <v>10</v>
      </c>
      <c r="J614" s="5">
        <v>3326.92</v>
      </c>
      <c r="K614" s="13">
        <v>100</v>
      </c>
      <c r="L614" s="5">
        <v>0</v>
      </c>
      <c r="M614" s="5">
        <f>Table1[[#This Row],[Open Value]]/Table1[[#This Row],[Shares]]/Table1[[#This Row],[Multiplier]]</f>
        <v>3.3269199999999999</v>
      </c>
      <c r="N614" s="5">
        <f>Table1[[#This Row],[Close Value]]/Table1[[#This Row],[Shares]]/Table1[[#This Row],[Multiplier]]</f>
        <v>0</v>
      </c>
      <c r="O614" s="5">
        <v>-3326.92</v>
      </c>
      <c r="P614" s="3">
        <v>-1</v>
      </c>
      <c r="Q614" s="9">
        <f>O614+Q613</f>
        <v>232382.69845814002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201</v>
      </c>
      <c r="C615" t="s">
        <v>303</v>
      </c>
      <c r="D615" t="s">
        <v>16</v>
      </c>
      <c r="E615" t="s">
        <v>7</v>
      </c>
      <c r="F615" s="5"/>
      <c r="G615" s="7">
        <v>45464</v>
      </c>
      <c r="H615" t="s">
        <v>11</v>
      </c>
      <c r="I615">
        <v>125</v>
      </c>
      <c r="J615" s="5">
        <v>112327.5</v>
      </c>
      <c r="K615" s="13">
        <v>1</v>
      </c>
      <c r="L615" s="5">
        <v>140081.62</v>
      </c>
      <c r="M615" s="5">
        <f>Table1[[#This Row],[Open Value]]/Table1[[#This Row],[Shares]]/Table1[[#This Row],[Multiplier]]</f>
        <v>898.62</v>
      </c>
      <c r="N615" s="5">
        <f>Table1[[#This Row],[Close Value]]/Table1[[#This Row],[Shares]]/Table1[[#This Row],[Multiplier]]</f>
        <v>1120.6529599999999</v>
      </c>
      <c r="O615" s="5">
        <v>27401</v>
      </c>
      <c r="P615" s="3">
        <v>0.24708214818276911</v>
      </c>
      <c r="Q615" s="9">
        <f>O615+Q614</f>
        <v>259783.69845814002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72</v>
      </c>
      <c r="I616">
        <v>200</v>
      </c>
      <c r="J616" s="5">
        <v>42913</v>
      </c>
      <c r="K616" s="13">
        <v>1</v>
      </c>
      <c r="L616" s="5">
        <v>40260.79</v>
      </c>
      <c r="M616" s="5">
        <f>Table1[[#This Row],[Open Value]]/Table1[[#This Row],[Shares]]/Table1[[#This Row],[Multiplier]]</f>
        <v>214.565</v>
      </c>
      <c r="N616" s="5">
        <f>Table1[[#This Row],[Close Value]]/Table1[[#This Row],[Shares]]/Table1[[#This Row],[Multiplier]]</f>
        <v>201.30395000000001</v>
      </c>
      <c r="O616" s="5">
        <v>-2652.2099999999991</v>
      </c>
      <c r="P616" s="3">
        <v>-2.5000000000000001E-2</v>
      </c>
      <c r="Q616" s="9">
        <f>O616+Q615</f>
        <v>257131.48845814003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302</v>
      </c>
      <c r="D617" t="s">
        <v>12</v>
      </c>
      <c r="E617" t="s">
        <v>7</v>
      </c>
      <c r="F617" s="11">
        <v>45464</v>
      </c>
      <c r="G617" s="7">
        <v>45467</v>
      </c>
      <c r="H617" t="s">
        <v>268</v>
      </c>
      <c r="I617">
        <v>3</v>
      </c>
      <c r="J617" s="5">
        <v>335182.40999999997</v>
      </c>
      <c r="K617" s="13">
        <v>25000</v>
      </c>
      <c r="L617" s="5">
        <f>Table1[[#This Row],[Open Value]]+Table1[[#This Row],[PnL]]</f>
        <v>332355.08999999997</v>
      </c>
      <c r="M617" s="5">
        <f>Table1[[#This Row],[Open Value]]/Table1[[#This Row],[Shares]]/Table1[[#This Row],[Multiplier]]</f>
        <v>4.4690987999999994</v>
      </c>
      <c r="N617" s="5">
        <f>Table1[[#This Row],[Close Value]]/Table1[[#This Row],[Shares]]/Table1[[#This Row],[Multiplier]]</f>
        <v>4.4314011999999989</v>
      </c>
      <c r="O617" s="5">
        <v>-2827.32</v>
      </c>
      <c r="P617" s="3">
        <f>Table1[[#This Row],[PnL]]/Table1[[#This Row],[Open Value]]</f>
        <v>-8.4351681820057332E-3</v>
      </c>
      <c r="Q617" s="9">
        <f>O617+Q616</f>
        <v>254304.16845814002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197</v>
      </c>
      <c r="C618" t="s">
        <v>305</v>
      </c>
      <c r="D618" t="s">
        <v>102</v>
      </c>
      <c r="E618" t="s">
        <v>7</v>
      </c>
      <c r="F618" s="11">
        <v>45359</v>
      </c>
      <c r="G618" s="7">
        <v>45467</v>
      </c>
      <c r="H618" t="s">
        <v>15</v>
      </c>
      <c r="I618">
        <v>50</v>
      </c>
      <c r="J618" s="5">
        <v>30282.5</v>
      </c>
      <c r="K618" s="13">
        <v>1</v>
      </c>
      <c r="L618" s="5">
        <v>0</v>
      </c>
      <c r="M618" s="5">
        <f>Table1[[#This Row],[Open Value]]/Table1[[#This Row],[Shares]]/Table1[[#This Row],[Multiplier]]</f>
        <v>605.65</v>
      </c>
      <c r="N618" s="5">
        <f>Table1[[#This Row],[Close Value]]/Table1[[#This Row],[Shares]]/Table1[[#This Row],[Multiplier]]</f>
        <v>0</v>
      </c>
      <c r="O618" s="5">
        <f>Table1[[#This Row],[Close Value]]-Table1[[#This Row],[Open Value]]</f>
        <v>-30282.5</v>
      </c>
      <c r="P618" s="3">
        <f>Table1[[#This Row],[PnL]]/Table1[[#This Row],[Open Value]]</f>
        <v>-1</v>
      </c>
      <c r="Q618" s="9">
        <f>O618+Q617</f>
        <v>224021.66845814002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203</v>
      </c>
    </row>
    <row r="619" spans="2:21" x14ac:dyDescent="0.25">
      <c r="B619" t="s">
        <v>197</v>
      </c>
      <c r="C619" t="s">
        <v>303</v>
      </c>
      <c r="D619" t="s">
        <v>102</v>
      </c>
      <c r="E619" t="s">
        <v>7</v>
      </c>
      <c r="F619" s="11">
        <v>45356</v>
      </c>
      <c r="G619" s="7">
        <v>45467</v>
      </c>
      <c r="H619" t="s">
        <v>293</v>
      </c>
      <c r="I619">
        <v>400</v>
      </c>
      <c r="J619" s="5">
        <v>30260</v>
      </c>
      <c r="K619" s="13">
        <v>100</v>
      </c>
      <c r="L619" s="5">
        <v>0</v>
      </c>
      <c r="M619" s="5">
        <f>Table1[[#This Row],[Open Value]]/Table1[[#This Row],[Shares]]/Table1[[#This Row],[Multiplier]]</f>
        <v>0.75650000000000006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-30260</v>
      </c>
      <c r="P619" s="3">
        <f>Table1[[#This Row],[PnL]]/Table1[[#This Row],[Open Value]]</f>
        <v>-1</v>
      </c>
      <c r="Q619" s="9">
        <f>O619+Q618</f>
        <v>193761.66845814002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201</v>
      </c>
      <c r="C620" t="s">
        <v>303</v>
      </c>
      <c r="D620" t="s">
        <v>16</v>
      </c>
      <c r="E620" t="s">
        <v>7</v>
      </c>
      <c r="F620" s="5"/>
      <c r="G620" s="7">
        <v>45468</v>
      </c>
      <c r="H620" t="s">
        <v>195</v>
      </c>
      <c r="I620">
        <v>1450</v>
      </c>
      <c r="J620" s="5">
        <v>71920</v>
      </c>
      <c r="K620" s="13">
        <v>1</v>
      </c>
      <c r="L620" s="5">
        <v>72664.66</v>
      </c>
      <c r="M620" s="5">
        <f>Table1[[#This Row],[Open Value]]/Table1[[#This Row],[Shares]]/Table1[[#This Row],[Multiplier]]</f>
        <v>49.6</v>
      </c>
      <c r="N620" s="5">
        <f>Table1[[#This Row],[Close Value]]/Table1[[#This Row],[Shares]]/Table1[[#This Row],[Multiplier]]</f>
        <v>50.113558620689659</v>
      </c>
      <c r="O620" s="5">
        <v>744.66000000000349</v>
      </c>
      <c r="P620" s="3">
        <v>1.0354004449388257E-2</v>
      </c>
      <c r="Q620" s="9">
        <f>O620+Q619</f>
        <v>194506.32845814002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301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11">
        <v>45461</v>
      </c>
      <c r="G621" s="7">
        <v>45468</v>
      </c>
      <c r="H621" t="s">
        <v>284</v>
      </c>
      <c r="I621">
        <v>6500</v>
      </c>
      <c r="J621" s="5">
        <v>275625.15999999997</v>
      </c>
      <c r="K621" s="13">
        <v>1</v>
      </c>
      <c r="L621" s="5">
        <f>Table1[[#This Row],[Open Value]]+Table1[[#This Row],[PnL]]</f>
        <v>270801.52999999997</v>
      </c>
      <c r="M621" s="5">
        <f>Table1[[#This Row],[Open Value]]/Table1[[#This Row],[Shares]]/Table1[[#This Row],[Multiplier]]</f>
        <v>42.403870769230764</v>
      </c>
      <c r="N621" s="5">
        <f>Table1[[#This Row],[Close Value]]/Table1[[#This Row],[Shares]]/Table1[[#This Row],[Multiplier]]</f>
        <v>41.661773846153842</v>
      </c>
      <c r="O621" s="5">
        <v>-4823.63</v>
      </c>
      <c r="P621" s="3">
        <f>Table1[[#This Row],[PnL]]/Table1[[#This Row],[Open Value]]</f>
        <v>-1.7500688253568725E-2</v>
      </c>
      <c r="Q621" s="9">
        <f>O621+Q620</f>
        <v>189682.69845814002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302</v>
      </c>
      <c r="D622" t="s">
        <v>12</v>
      </c>
      <c r="E622" t="s">
        <v>7</v>
      </c>
      <c r="F622" s="11">
        <v>45467</v>
      </c>
      <c r="G622" s="7">
        <v>45468</v>
      </c>
      <c r="H622" t="s">
        <v>268</v>
      </c>
      <c r="I622">
        <v>3</v>
      </c>
      <c r="J622" s="5">
        <v>331762.5</v>
      </c>
      <c r="K622" s="13">
        <v>25000</v>
      </c>
      <c r="L622" s="5">
        <f>Table1[[#This Row],[Open Value]]+Table1[[#This Row],[PnL]]</f>
        <v>326835.18</v>
      </c>
      <c r="M622" s="5">
        <f>Table1[[#This Row],[Open Value]]/Table1[[#This Row],[Shares]]/Table1[[#This Row],[Multiplier]]</f>
        <v>4.4234999999999998</v>
      </c>
      <c r="N622" s="5">
        <f>Table1[[#This Row],[Close Value]]/Table1[[#This Row],[Shares]]/Table1[[#This Row],[Multiplier]]</f>
        <v>4.3578023999999997</v>
      </c>
      <c r="O622" s="5">
        <v>-4927.32</v>
      </c>
      <c r="P622" s="3">
        <f>Table1[[#This Row],[PnL]]/Table1[[#This Row],[Open Value]]</f>
        <v>-1.48519498134961E-2</v>
      </c>
      <c r="Q622" s="9">
        <f>O622+Q621</f>
        <v>184755.37845814001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303</v>
      </c>
      <c r="D623" t="s">
        <v>12</v>
      </c>
      <c r="E623" t="s">
        <v>7</v>
      </c>
      <c r="F623" s="11">
        <v>45448</v>
      </c>
      <c r="G623" s="7">
        <v>45469</v>
      </c>
      <c r="H623" t="s">
        <v>88</v>
      </c>
      <c r="I623">
        <v>10</v>
      </c>
      <c r="J623" s="5">
        <v>210544.9</v>
      </c>
      <c r="K623" s="13">
        <v>1120</v>
      </c>
      <c r="L623" s="5">
        <f>Table1[[#This Row],[Open Value]]+Table1[[#This Row],[PnL]]</f>
        <v>213106.3</v>
      </c>
      <c r="M623" s="5">
        <f>Table1[[#This Row],[Open Value]]/Table1[[#This Row],[Shares]]/Table1[[#This Row],[Multiplier]]</f>
        <v>18.798651785714284</v>
      </c>
      <c r="N623" s="5">
        <f>Table1[[#This Row],[Close Value]]/Table1[[#This Row],[Shares]]/Table1[[#This Row],[Multiplier]]</f>
        <v>19.027348214285713</v>
      </c>
      <c r="O623" s="5">
        <v>2561.4</v>
      </c>
      <c r="P623" s="3">
        <f>Table1[[#This Row],[PnL]]/Table1[[#This Row],[Open Value]]</f>
        <v>1.2165576083771206E-2</v>
      </c>
      <c r="Q623" s="9">
        <f>O623+Q622</f>
        <v>187316.77845814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197</v>
      </c>
      <c r="C624" t="s">
        <v>302</v>
      </c>
      <c r="D624" t="s">
        <v>97</v>
      </c>
      <c r="E624" t="s">
        <v>7</v>
      </c>
      <c r="F624" s="11">
        <v>45457</v>
      </c>
      <c r="G624" s="7">
        <v>45470</v>
      </c>
      <c r="H624" t="s">
        <v>186</v>
      </c>
      <c r="I624">
        <v>8</v>
      </c>
      <c r="J624" s="5">
        <v>2824</v>
      </c>
      <c r="K624" s="13">
        <v>100</v>
      </c>
      <c r="L624" s="5">
        <v>3020.57</v>
      </c>
      <c r="M624" s="5">
        <v>3.53</v>
      </c>
      <c r="N624" s="5">
        <v>3.7757125</v>
      </c>
      <c r="O624" s="5">
        <v>196.57000000000016</v>
      </c>
      <c r="P624" s="3">
        <v>6.9606940509915075E-2</v>
      </c>
      <c r="Q624" s="9">
        <f>O624+Q623</f>
        <v>187513.34845814001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98</v>
      </c>
      <c r="E625" t="s">
        <v>7</v>
      </c>
      <c r="F625" s="11">
        <v>45464</v>
      </c>
      <c r="G625" s="7">
        <v>45470</v>
      </c>
      <c r="H625" t="s">
        <v>251</v>
      </c>
      <c r="I625">
        <v>2</v>
      </c>
      <c r="J625" s="5">
        <f>3803.05-300.94</f>
        <v>3502.11</v>
      </c>
      <c r="K625" s="13">
        <v>100</v>
      </c>
      <c r="L625" s="5">
        <f>Table1[[#This Row],[Open Value]]+Table1[[#This Row],[PnL]]</f>
        <v>1705.15</v>
      </c>
      <c r="M625" s="5">
        <f>Table1[[#This Row],[Open Value]]/Table1[[#This Row],[Shares]]/Table1[[#This Row],[Multiplier]]</f>
        <v>17.510550000000002</v>
      </c>
      <c r="N625" s="5">
        <f>Table1[[#This Row],[Close Value]]/Table1[[#This Row],[Shares]]/Table1[[#This Row],[Multiplier]]</f>
        <v>8.5257500000000004</v>
      </c>
      <c r="O625" s="5">
        <f>201.54-1998.5</f>
        <v>-1796.96</v>
      </c>
      <c r="P625" s="3">
        <f>Table1[[#This Row],[PnL]]/Table1[[#This Row],[Open Value]]</f>
        <v>-0.51310781214753387</v>
      </c>
      <c r="Q625" s="9">
        <f>O625+Q624</f>
        <v>185716.38845814002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97</v>
      </c>
      <c r="E626" t="s">
        <v>7</v>
      </c>
      <c r="F626" s="11">
        <v>45464</v>
      </c>
      <c r="G626" s="7">
        <v>45471</v>
      </c>
      <c r="H626" t="s">
        <v>278</v>
      </c>
      <c r="I626">
        <v>10</v>
      </c>
      <c r="J626" s="5">
        <v>3150</v>
      </c>
      <c r="K626" s="13">
        <v>100</v>
      </c>
      <c r="L626" s="5">
        <v>3616.48</v>
      </c>
      <c r="M626" s="5">
        <f>Table1[[#This Row],[Open Value]]/Table1[[#This Row],[Shares]]/Table1[[#This Row],[Multiplier]]</f>
        <v>3.15</v>
      </c>
      <c r="N626" s="5">
        <f>Table1[[#This Row],[Close Value]]/Table1[[#This Row],[Shares]]/Table1[[#This Row],[Multiplier]]</f>
        <v>3.6164800000000001</v>
      </c>
      <c r="O626" s="5">
        <v>466.48</v>
      </c>
      <c r="P626" s="3">
        <v>0.14808888888888896</v>
      </c>
      <c r="Q626" s="9">
        <f>O626+Q625</f>
        <v>186182.86845814003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98</v>
      </c>
      <c r="E627" t="s">
        <v>7</v>
      </c>
      <c r="F627" s="11">
        <v>45455</v>
      </c>
      <c r="G627" s="7">
        <v>45471</v>
      </c>
      <c r="H627" t="s">
        <v>10</v>
      </c>
      <c r="I627">
        <v>20</v>
      </c>
      <c r="J627" s="5">
        <v>2460</v>
      </c>
      <c r="K627" s="13">
        <v>100</v>
      </c>
      <c r="L627" s="5">
        <v>0</v>
      </c>
      <c r="M627" s="5">
        <f>Table1[[#This Row],[Open Value]]/Table1[[#This Row],[Shares]]/Table1[[#This Row],[Multiplier]]</f>
        <v>1.23</v>
      </c>
      <c r="N627" s="5">
        <f>Table1[[#This Row],[Close Value]]/Table1[[#This Row],[Shares]]/Table1[[#This Row],[Multiplier]]</f>
        <v>0</v>
      </c>
      <c r="O627" s="5">
        <v>-2460</v>
      </c>
      <c r="P627" s="3">
        <v>-1</v>
      </c>
      <c r="Q627" s="9">
        <f>O627+Q626</f>
        <v>183722.86845814003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45467</v>
      </c>
      <c r="G628" s="7">
        <v>45471</v>
      </c>
      <c r="H628" t="s">
        <v>53</v>
      </c>
      <c r="I628">
        <v>125</v>
      </c>
      <c r="J628" s="5">
        <v>2896</v>
      </c>
      <c r="K628" s="13">
        <v>100</v>
      </c>
      <c r="L628" s="5">
        <v>5933.25</v>
      </c>
      <c r="M628" s="5">
        <f>Table1[[#This Row],[Open Value]]/Table1[[#This Row],[Shares]]/Table1[[#This Row],[Multiplier]]</f>
        <v>0.23168</v>
      </c>
      <c r="N628" s="5">
        <f>Table1[[#This Row],[Close Value]]/Table1[[#This Row],[Shares]]/Table1[[#This Row],[Multiplier]]</f>
        <v>0.47466000000000003</v>
      </c>
      <c r="O628" s="5">
        <v>3037.25</v>
      </c>
      <c r="P628" s="3">
        <v>1.0487741712707184</v>
      </c>
      <c r="Q628" s="9">
        <f>O628+Q627</f>
        <v>186760.11845814003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97</v>
      </c>
      <c r="E629" t="s">
        <v>7</v>
      </c>
      <c r="F629" s="11">
        <v>45464</v>
      </c>
      <c r="G629" s="7">
        <v>45471</v>
      </c>
      <c r="H629" t="s">
        <v>278</v>
      </c>
      <c r="I629">
        <v>10</v>
      </c>
      <c r="J629" s="5">
        <f>3371.47-212.5</f>
        <v>3158.97</v>
      </c>
      <c r="K629" s="13">
        <v>100</v>
      </c>
      <c r="L629" s="5">
        <f>Table1[[#This Row],[Open Value]]+Table1[[#This Row],[PnL]]</f>
        <v>3625.45</v>
      </c>
      <c r="M629" s="5">
        <f>Table1[[#This Row],[Open Value]]/Table1[[#This Row],[Shares]]/Table1[[#This Row],[Multiplier]]</f>
        <v>3.1589700000000001</v>
      </c>
      <c r="N629" s="5">
        <f>Table1[[#This Row],[Close Value]]/Table1[[#This Row],[Shares]]/Table1[[#This Row],[Multiplier]]</f>
        <v>3.6254499999999994</v>
      </c>
      <c r="O629" s="5">
        <f>350.42+116.06</f>
        <v>466.48</v>
      </c>
      <c r="P629" s="3">
        <f>Table1[[#This Row],[PnL]]/Table1[[#This Row],[Open Value]]</f>
        <v>0.14766838558137621</v>
      </c>
      <c r="Q629" s="9">
        <f>O629+Q628</f>
        <v>187226.59845814004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102</v>
      </c>
      <c r="E630" t="s">
        <v>7</v>
      </c>
      <c r="F630" s="11">
        <v>45455</v>
      </c>
      <c r="G630" s="7">
        <v>45471</v>
      </c>
      <c r="H630" t="s">
        <v>10</v>
      </c>
      <c r="I630">
        <v>3</v>
      </c>
      <c r="J630" s="5">
        <v>9575</v>
      </c>
      <c r="K630" s="13">
        <v>100</v>
      </c>
      <c r="L630" s="5">
        <f>Table1[[#This Row],[Open Value]]+Table1[[#This Row],[PnL]]</f>
        <v>23030.879999999997</v>
      </c>
      <c r="M630" s="5">
        <f>Table1[[#This Row],[Open Value]]/Table1[[#This Row],[Shares]]/Table1[[#This Row],[Multiplier]]</f>
        <v>31.916666666666664</v>
      </c>
      <c r="N630" s="5">
        <f>Table1[[#This Row],[Close Value]]/Table1[[#This Row],[Shares]]/Table1[[#This Row],[Multiplier]]</f>
        <v>76.769599999999997</v>
      </c>
      <c r="O630" s="5">
        <v>13455.88</v>
      </c>
      <c r="P630" s="3">
        <f>Table1[[#This Row],[PnL]]/Table1[[#This Row],[Open Value]]</f>
        <v>1.4053138381201045</v>
      </c>
      <c r="Q630" s="9">
        <f>O630+Q629</f>
        <v>200682.47845814005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45397</v>
      </c>
      <c r="G631" s="7">
        <v>45473</v>
      </c>
      <c r="H631" t="s">
        <v>10</v>
      </c>
      <c r="I631">
        <v>8</v>
      </c>
      <c r="J631" s="5">
        <v>14405.49</v>
      </c>
      <c r="K631" s="13">
        <v>100</v>
      </c>
      <c r="L631" s="5">
        <v>27867</v>
      </c>
      <c r="M631" s="5">
        <v>18.0068625</v>
      </c>
      <c r="N631" s="5">
        <v>34.833750000000002</v>
      </c>
      <c r="O631" s="5">
        <v>13461.51</v>
      </c>
      <c r="P631" s="3">
        <v>0.93447081633460582</v>
      </c>
      <c r="Q631" s="9">
        <f>O631+Q630</f>
        <v>214143.98845814005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98</v>
      </c>
      <c r="E632" t="s">
        <v>7</v>
      </c>
      <c r="F632" s="11">
        <v>45448</v>
      </c>
      <c r="G632" s="7">
        <v>45473</v>
      </c>
      <c r="H632" t="s">
        <v>276</v>
      </c>
      <c r="I632">
        <v>30</v>
      </c>
      <c r="J632" s="5">
        <v>3621</v>
      </c>
      <c r="K632" s="13">
        <v>100</v>
      </c>
      <c r="L632" s="5">
        <v>5236</v>
      </c>
      <c r="M632" s="5">
        <f>Table1[[#This Row],[Open Value]]/Table1[[#This Row],[Shares]]/Table1[[#This Row],[Multiplier]]</f>
        <v>1.2070000000000001</v>
      </c>
      <c r="N632" s="5">
        <f>Table1[[#This Row],[Close Value]]/Table1[[#This Row],[Shares]]/Table1[[#This Row],[Multiplier]]</f>
        <v>1.7453333333333334</v>
      </c>
      <c r="O632" s="5">
        <v>1615</v>
      </c>
      <c r="P632" s="3">
        <v>0.4460093896713615</v>
      </c>
      <c r="Q632" s="9">
        <f>O632+Q631</f>
        <v>215758.98845814005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97</v>
      </c>
      <c r="E633" t="s">
        <v>7</v>
      </c>
      <c r="F633" s="11">
        <v>45474</v>
      </c>
      <c r="G633" s="7">
        <v>45474</v>
      </c>
      <c r="H633" t="s">
        <v>11</v>
      </c>
      <c r="I633">
        <v>12</v>
      </c>
      <c r="J633" s="5">
        <v>3788</v>
      </c>
      <c r="K633" s="13">
        <v>100</v>
      </c>
      <c r="L633" s="5">
        <v>4244</v>
      </c>
      <c r="M633" s="5">
        <f>Table1[[#This Row],[Open Value]]/Table1[[#This Row],[Shares]]/Table1[[#This Row],[Multiplier]]</f>
        <v>3.1566666666666667</v>
      </c>
      <c r="N633" s="5">
        <f>Table1[[#This Row],[Close Value]]/Table1[[#This Row],[Shares]]/Table1[[#This Row],[Multiplier]]</f>
        <v>3.5366666666666671</v>
      </c>
      <c r="O633" s="5">
        <v>456</v>
      </c>
      <c r="P633" s="3">
        <v>0.12038014783526937</v>
      </c>
      <c r="Q633" s="9">
        <f>O633+Q632</f>
        <v>216214.98845814005</v>
      </c>
      <c r="R633" s="5" t="str">
        <f>TEXT(Table1[[#This Row],[Closing Date]],"yyyy")</f>
        <v>2024</v>
      </c>
      <c r="S633" s="5" t="str">
        <f>TEXT(Table1[[#This Row],[Closing Date]],"mmmm")</f>
        <v>July</v>
      </c>
      <c r="T633" s="5" t="s">
        <v>240</v>
      </c>
      <c r="U633" s="5" t="s">
        <v>301</v>
      </c>
    </row>
    <row r="634" spans="2:21" x14ac:dyDescent="0.25">
      <c r="B634" t="s">
        <v>201</v>
      </c>
      <c r="C634" t="s">
        <v>303</v>
      </c>
      <c r="D634" t="s">
        <v>4</v>
      </c>
      <c r="E634" t="s">
        <v>7</v>
      </c>
      <c r="F634" s="11">
        <v>45461</v>
      </c>
      <c r="G634" s="7">
        <v>45474</v>
      </c>
      <c r="H634" t="s">
        <v>287</v>
      </c>
      <c r="I634">
        <v>250000</v>
      </c>
      <c r="J634" s="5">
        <v>2058270</v>
      </c>
      <c r="K634" s="13">
        <v>1</v>
      </c>
      <c r="L634" s="5">
        <f>Table1[[#This Row],[Open Value]]+Table1[[#This Row],[PnL]]</f>
        <v>2053770.4748056266</v>
      </c>
      <c r="M634" s="5">
        <f>Table1[[#This Row],[Open Value]]/Table1[[#This Row],[Shares]]/Table1[[#This Row],[Multiplier]]</f>
        <v>8.2330799999999993</v>
      </c>
      <c r="N634" s="5">
        <f>Table1[[#This Row],[Close Value]]/Table1[[#This Row],[Shares]]/Table1[[#This Row],[Multiplier]]</f>
        <v>8.2150818992225059</v>
      </c>
      <c r="O634" s="5">
        <f>(2021880-Table1[[#This Row],[Open Value]])/8.08752</f>
        <v>-4499.5251943735539</v>
      </c>
      <c r="P634" s="3">
        <f>Table1[[#This Row],[PnL]]/Table1[[#This Row],[Open Value]]</f>
        <v>-2.1860714067510841E-3</v>
      </c>
      <c r="Q634" s="9">
        <f>O634+Q633</f>
        <v>211715.46326376649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45463</v>
      </c>
      <c r="G635" s="7">
        <v>45474</v>
      </c>
      <c r="H635" t="s">
        <v>288</v>
      </c>
      <c r="I635">
        <v>400000</v>
      </c>
      <c r="J635" s="5">
        <v>148146800</v>
      </c>
      <c r="K635" s="13">
        <v>1</v>
      </c>
      <c r="L635" s="5">
        <f>Table1[[#This Row],[Open Value]]+Table1[[#This Row],[PnL]]</f>
        <v>148142003.42833763</v>
      </c>
      <c r="M635" s="5">
        <f>Table1[[#This Row],[Open Value]]/Table1[[#This Row],[Shares]]/Table1[[#This Row],[Multiplier]]</f>
        <v>370.36700000000002</v>
      </c>
      <c r="N635" s="5">
        <f>Table1[[#This Row],[Close Value]]/Table1[[#This Row],[Shares]]/Table1[[#This Row],[Multiplier]]</f>
        <v>370.35500857084406</v>
      </c>
      <c r="O635" s="5">
        <f>(146400400-Table1[[#This Row],[Open Value]])/366.001-25</f>
        <v>-4796.5716623725075</v>
      </c>
      <c r="P635" s="3">
        <f>Table1[[#This Row],[PnL]]/Table1[[#This Row],[Open Value]]</f>
        <v>-3.237715335310994E-5</v>
      </c>
      <c r="Q635" s="9">
        <f>O635+Q634</f>
        <v>206918.89160139399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197</v>
      </c>
      <c r="C636" t="s">
        <v>302</v>
      </c>
      <c r="D636" t="s">
        <v>97</v>
      </c>
      <c r="E636" t="s">
        <v>7</v>
      </c>
      <c r="F636" s="11">
        <v>45468</v>
      </c>
      <c r="G636" s="7">
        <v>45476</v>
      </c>
      <c r="H636" t="s">
        <v>279</v>
      </c>
      <c r="I636">
        <v>10</v>
      </c>
      <c r="J636" s="5">
        <v>4050</v>
      </c>
      <c r="K636" s="13">
        <v>100</v>
      </c>
      <c r="L636" s="5">
        <v>4394.63</v>
      </c>
      <c r="M636" s="5">
        <f>Table1[[#This Row],[Open Value]]/Table1[[#This Row],[Shares]]/Table1[[#This Row],[Multiplier]]</f>
        <v>4.05</v>
      </c>
      <c r="N636" s="5">
        <f>Table1[[#This Row],[Close Value]]/Table1[[#This Row],[Shares]]/Table1[[#This Row],[Multiplier]]</f>
        <v>4.3946300000000003</v>
      </c>
      <c r="O636" s="5">
        <v>344.63000000000011</v>
      </c>
      <c r="P636" s="3">
        <v>8.5093827160493934E-2</v>
      </c>
      <c r="Q636" s="9">
        <f>O636+Q635</f>
        <v>207263.52160139399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99</v>
      </c>
      <c r="E637" t="s">
        <v>7</v>
      </c>
      <c r="F637" s="11">
        <v>45470</v>
      </c>
      <c r="G637" s="7">
        <v>45478</v>
      </c>
      <c r="H637" t="s">
        <v>266</v>
      </c>
      <c r="I637">
        <v>40</v>
      </c>
      <c r="J637" s="5">
        <v>2307.4699999999998</v>
      </c>
      <c r="K637" s="13">
        <v>100</v>
      </c>
      <c r="L637" s="5">
        <f>Table1[[#This Row],[Open Value]]+Table1[[#This Row],[PnL]]</f>
        <v>0</v>
      </c>
      <c r="M637" s="5">
        <f>Table1[[#This Row],[Open Value]]/Table1[[#This Row],[Shares]]/Table1[[#This Row],[Multiplier]]</f>
        <v>0.57686749999999998</v>
      </c>
      <c r="N637" s="5">
        <f>Table1[[#This Row],[Close Value]]/Table1[[#This Row],[Shares]]/Table1[[#This Row],[Multiplier]]</f>
        <v>0</v>
      </c>
      <c r="O637" s="5">
        <v>-2307.4699999999998</v>
      </c>
      <c r="P637" s="3">
        <f>Table1[[#This Row],[PnL]]/Table1[[#This Row],[Open Value]]</f>
        <v>-1</v>
      </c>
      <c r="Q637" s="9">
        <f>O637+Q636</f>
        <v>204956.05160139399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97</v>
      </c>
      <c r="E638" t="s">
        <v>7</v>
      </c>
      <c r="F638" s="11">
        <v>45474</v>
      </c>
      <c r="G638" s="7">
        <v>45478</v>
      </c>
      <c r="H638" t="s">
        <v>162</v>
      </c>
      <c r="I638">
        <v>6</v>
      </c>
      <c r="J638" s="5">
        <f>-93.9+3548.08</f>
        <v>3454.18</v>
      </c>
      <c r="K638" s="13">
        <v>100</v>
      </c>
      <c r="L638" s="5">
        <f>Table1[[#This Row],[Open Value]]+Table1[[#This Row],[PnL]]</f>
        <v>8453.09</v>
      </c>
      <c r="M638" s="5">
        <f>Table1[[#This Row],[Open Value]]/Table1[[#This Row],[Shares]]/Table1[[#This Row],[Multiplier]]</f>
        <v>5.7569666666666661</v>
      </c>
      <c r="N638" s="5">
        <f>Table1[[#This Row],[Close Value]]/Table1[[#This Row],[Shares]]/Table1[[#This Row],[Multiplier]]</f>
        <v>14.088483333333334</v>
      </c>
      <c r="O638" s="5">
        <f>4947.54+51.37</f>
        <v>4998.91</v>
      </c>
      <c r="P638" s="3">
        <f>Table1[[#This Row],[PnL]]/Table1[[#This Row],[Open Value]]</f>
        <v>1.4472059938972492</v>
      </c>
      <c r="Q638" s="9">
        <f>O638+Q637</f>
        <v>209954.961601394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99</v>
      </c>
      <c r="E639" t="s">
        <v>7</v>
      </c>
      <c r="F639" s="11">
        <v>45463</v>
      </c>
      <c r="G639" s="7">
        <v>45483</v>
      </c>
      <c r="H639" t="s">
        <v>130</v>
      </c>
      <c r="I639">
        <v>25</v>
      </c>
      <c r="J639" s="5">
        <v>3642.17</v>
      </c>
      <c r="K639" s="13">
        <v>100</v>
      </c>
      <c r="L639" s="5">
        <f>Table1[[#This Row],[Open Value]]+Table1[[#This Row],[PnL]]</f>
        <v>6128.59</v>
      </c>
      <c r="M639" s="5">
        <f>Table1[[#This Row],[Open Value]]/Table1[[#This Row],[Shares]]/Table1[[#This Row],[Multiplier]]</f>
        <v>1.4568680000000001</v>
      </c>
      <c r="N639" s="5">
        <f>Table1[[#This Row],[Close Value]]/Table1[[#This Row],[Shares]]/Table1[[#This Row],[Multiplier]]</f>
        <v>2.4514359999999997</v>
      </c>
      <c r="O639" s="5">
        <v>2486.42</v>
      </c>
      <c r="P639" s="3">
        <f>Table1[[#This Row],[PnL]]/Table1[[#This Row],[Open Value]]</f>
        <v>0.68267543799438246</v>
      </c>
      <c r="Q639" s="9">
        <f>O639+Q638</f>
        <v>212441.38160139401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201</v>
      </c>
      <c r="C640" t="s">
        <v>303</v>
      </c>
      <c r="D640" t="s">
        <v>12</v>
      </c>
      <c r="E640" t="s">
        <v>7</v>
      </c>
      <c r="F640" s="11">
        <v>45482</v>
      </c>
      <c r="G640" s="7">
        <v>45484</v>
      </c>
      <c r="H640" t="s">
        <v>86</v>
      </c>
      <c r="I640">
        <v>75</v>
      </c>
      <c r="J640" s="5">
        <v>323292.75</v>
      </c>
      <c r="K640" s="13">
        <v>1000</v>
      </c>
      <c r="L640" s="5">
        <f>Table1[[#This Row],[Open Value]]+Table1[[#This Row],[PnL]]</f>
        <v>313401.25</v>
      </c>
      <c r="M640" s="5">
        <f>Table1[[#This Row],[Open Value]]/Table1[[#This Row],[Shares]]/Table1[[#This Row],[Multiplier]]</f>
        <v>4.3105699999999993</v>
      </c>
      <c r="N640" s="5">
        <f>Table1[[#This Row],[Close Value]]/Table1[[#This Row],[Shares]]/Table1[[#This Row],[Multiplier]]</f>
        <v>4.1786833333333337</v>
      </c>
      <c r="O640" s="5">
        <v>-9891.5</v>
      </c>
      <c r="P640" s="3">
        <f>Table1[[#This Row],[PnL]]/Table1[[#This Row],[Open Value]]</f>
        <v>-3.0596108325967718E-2</v>
      </c>
      <c r="Q640" s="9">
        <f>O640+Q639</f>
        <v>202549.88160139401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16</v>
      </c>
      <c r="E641" t="s">
        <v>7</v>
      </c>
      <c r="F641" s="11">
        <v>45447</v>
      </c>
      <c r="G641" s="7">
        <v>45485</v>
      </c>
      <c r="H641" t="s">
        <v>139</v>
      </c>
      <c r="I641">
        <v>650</v>
      </c>
      <c r="J641" s="5">
        <v>94680.27</v>
      </c>
      <c r="K641" s="13">
        <v>1</v>
      </c>
      <c r="L641" s="5">
        <f>Table1[[#This Row],[Open Value]]+Table1[[#This Row],[PnL]]</f>
        <v>89466.52</v>
      </c>
      <c r="M641" s="5">
        <f>Table1[[#This Row],[Open Value]]/Table1[[#This Row],[Shares]]/Table1[[#This Row],[Multiplier]]</f>
        <v>145.66195384615386</v>
      </c>
      <c r="N641" s="5">
        <f>Table1[[#This Row],[Close Value]]/Table1[[#This Row],[Shares]]/Table1[[#This Row],[Multiplier]]</f>
        <v>137.64080000000001</v>
      </c>
      <c r="O641" s="5">
        <v>-5213.75</v>
      </c>
      <c r="P641" s="3">
        <f>Table1[[#This Row],[PnL]]/Table1[[#This Row],[Open Value]]</f>
        <v>-5.5066910983671676E-2</v>
      </c>
      <c r="Q641" s="9">
        <f>O641+Q640</f>
        <v>197336.13160139401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45454</v>
      </c>
      <c r="G642" s="7">
        <v>45485</v>
      </c>
      <c r="H642" t="s">
        <v>162</v>
      </c>
      <c r="I642">
        <v>800</v>
      </c>
      <c r="J642" s="5">
        <v>425352</v>
      </c>
      <c r="K642" s="13">
        <v>1</v>
      </c>
      <c r="L642" s="5">
        <f>Table1[[#This Row],[Open Value]]+Table1[[#This Row],[PnL]]</f>
        <v>405974.72</v>
      </c>
      <c r="M642" s="5">
        <f>Table1[[#This Row],[Open Value]]/Table1[[#This Row],[Shares]]/Table1[[#This Row],[Multiplier]]</f>
        <v>531.69000000000005</v>
      </c>
      <c r="N642" s="5">
        <f>Table1[[#This Row],[Close Value]]/Table1[[#This Row],[Shares]]/Table1[[#This Row],[Multiplier]]</f>
        <v>507.46839999999997</v>
      </c>
      <c r="O642" s="5">
        <v>-19377.28</v>
      </c>
      <c r="P642" s="3">
        <f>Table1[[#This Row],[PnL]]/Table1[[#This Row],[Open Value]]</f>
        <v>-4.5555869021422252E-2</v>
      </c>
      <c r="Q642" s="9">
        <f>O642+Q641</f>
        <v>177958.85160139401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45481</v>
      </c>
      <c r="G643" s="7">
        <v>45485</v>
      </c>
      <c r="H643" t="s">
        <v>285</v>
      </c>
      <c r="I643">
        <v>700</v>
      </c>
      <c r="J643" s="5">
        <v>52318</v>
      </c>
      <c r="K643" s="13">
        <v>1</v>
      </c>
      <c r="L643" s="5">
        <f>Table1[[#This Row],[Open Value]]+Table1[[#This Row],[PnL]]</f>
        <v>47293.72</v>
      </c>
      <c r="M643" s="5">
        <f>Table1[[#This Row],[Open Value]]/Table1[[#This Row],[Shares]]/Table1[[#This Row],[Multiplier]]</f>
        <v>74.739999999999995</v>
      </c>
      <c r="N643" s="5">
        <f>Table1[[#This Row],[Close Value]]/Table1[[#This Row],[Shares]]/Table1[[#This Row],[Multiplier]]</f>
        <v>67.562457142857141</v>
      </c>
      <c r="O643" s="5">
        <v>-5024.28</v>
      </c>
      <c r="P643" s="3">
        <f>Table1[[#This Row],[PnL]]/Table1[[#This Row],[Open Value]]</f>
        <v>-9.6033487518636024E-2</v>
      </c>
      <c r="Q643" s="9">
        <f>O643+Q642</f>
        <v>172934.57160139401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197</v>
      </c>
      <c r="C644" t="s">
        <v>302</v>
      </c>
      <c r="D644" t="s">
        <v>98</v>
      </c>
      <c r="E644" t="s">
        <v>7</v>
      </c>
      <c r="F644" s="11">
        <v>45471</v>
      </c>
      <c r="G644" s="7">
        <v>45485</v>
      </c>
      <c r="H644" t="s">
        <v>37</v>
      </c>
      <c r="I644">
        <v>5</v>
      </c>
      <c r="J644" s="5">
        <v>2010</v>
      </c>
      <c r="K644" s="13">
        <v>100</v>
      </c>
      <c r="L644" s="5">
        <f>Table1[[#This Row],[Open Value]]+Table1[[#This Row],[PnL]]</f>
        <v>0</v>
      </c>
      <c r="M644" s="5">
        <f>Table1[[#This Row],[Open Value]]/Table1[[#This Row],[Shares]]/Table1[[#This Row],[Multiplier]]</f>
        <v>4.0199999999999996</v>
      </c>
      <c r="N644" s="5">
        <f>Table1[[#This Row],[Close Value]]/Table1[[#This Row],[Shares]]/Table1[[#This Row],[Multiplier]]</f>
        <v>0</v>
      </c>
      <c r="O644" s="5">
        <v>-2010</v>
      </c>
      <c r="P644" s="3">
        <f>Table1[[#This Row],[PnL]]/Table1[[#This Row],[Open Value]]</f>
        <v>-1</v>
      </c>
      <c r="Q644" s="9">
        <f>O644+Q643</f>
        <v>170924.57160139401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201</v>
      </c>
      <c r="C645" t="s">
        <v>303</v>
      </c>
      <c r="D645" t="s">
        <v>12</v>
      </c>
      <c r="E645" t="s">
        <v>7</v>
      </c>
      <c r="F645" s="11">
        <v>45461</v>
      </c>
      <c r="G645" s="7">
        <v>45489</v>
      </c>
      <c r="H645" t="s">
        <v>13</v>
      </c>
      <c r="I645">
        <v>4</v>
      </c>
      <c r="J645" s="5">
        <v>311169.48</v>
      </c>
      <c r="K645" s="13">
        <v>1000</v>
      </c>
      <c r="L645" s="5">
        <f>Table1[[#This Row],[Open Value]]+Table1[[#This Row],[PnL]]</f>
        <v>310630.51999999996</v>
      </c>
      <c r="M645" s="5">
        <f>Table1[[#This Row],[Open Value]]/Table1[[#This Row],[Shares]]/Table1[[#This Row],[Multiplier]]</f>
        <v>77.792369999999991</v>
      </c>
      <c r="N645" s="5">
        <f>Table1[[#This Row],[Close Value]]/Table1[[#This Row],[Shares]]/Table1[[#This Row],[Multiplier]]</f>
        <v>77.657629999999983</v>
      </c>
      <c r="O645" s="5">
        <v>-538.96</v>
      </c>
      <c r="P645" s="3">
        <f>Table1[[#This Row],[PnL]]/Table1[[#This Row],[Open Value]]</f>
        <v>-1.7320464719097774E-3</v>
      </c>
      <c r="Q645" s="9">
        <f>O645+Q644</f>
        <v>170385.61160139402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45463</v>
      </c>
      <c r="G646" s="7">
        <v>45489</v>
      </c>
      <c r="H646" t="s">
        <v>91</v>
      </c>
      <c r="I646">
        <v>2</v>
      </c>
      <c r="J646" s="5">
        <v>207980.34</v>
      </c>
      <c r="K646" s="13">
        <v>42000</v>
      </c>
      <c r="L646" s="5">
        <f>Table1[[#This Row],[Open Value]]+Table1[[#This Row],[PnL]]</f>
        <v>207987.66</v>
      </c>
      <c r="M646" s="5">
        <f>Table1[[#This Row],[Open Value]]/Table1[[#This Row],[Shares]]/Table1[[#This Row],[Multiplier]]</f>
        <v>2.4759564285714286</v>
      </c>
      <c r="N646" s="5">
        <f>Table1[[#This Row],[Close Value]]/Table1[[#This Row],[Shares]]/Table1[[#This Row],[Multiplier]]</f>
        <v>2.4760435714285713</v>
      </c>
      <c r="O646" s="5">
        <v>7.32</v>
      </c>
      <c r="P646" s="3">
        <f>Table1[[#This Row],[PnL]]/Table1[[#This Row],[Open Value]]</f>
        <v>3.5195634356593517E-5</v>
      </c>
      <c r="Q646" s="9">
        <f>O646+Q645</f>
        <v>170392.93160139403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302</v>
      </c>
      <c r="D647" t="s">
        <v>16</v>
      </c>
      <c r="E647" t="s">
        <v>7</v>
      </c>
      <c r="F647" s="11">
        <v>45490</v>
      </c>
      <c r="G647" s="7">
        <v>45490</v>
      </c>
      <c r="H647" t="s">
        <v>283</v>
      </c>
      <c r="I647">
        <v>500</v>
      </c>
      <c r="J647" s="5">
        <v>63767.5</v>
      </c>
      <c r="K647" s="13">
        <v>1</v>
      </c>
      <c r="L647" s="5">
        <f>Table1[[#This Row],[Open Value]]+Table1[[#This Row],[PnL]]</f>
        <v>61205.72</v>
      </c>
      <c r="M647" s="5">
        <f>Table1[[#This Row],[Open Value]]/Table1[[#This Row],[Shares]]/Table1[[#This Row],[Multiplier]]</f>
        <v>127.535</v>
      </c>
      <c r="N647" s="5">
        <f>Table1[[#This Row],[Close Value]]/Table1[[#This Row],[Shares]]/Table1[[#This Row],[Multiplier]]</f>
        <v>122.41144</v>
      </c>
      <c r="O647" s="5">
        <v>-2561.7800000000002</v>
      </c>
      <c r="P647" s="3">
        <f>Table1[[#This Row],[PnL]]/Table1[[#This Row],[Open Value]]</f>
        <v>-4.0173756223781713E-2</v>
      </c>
      <c r="Q647" s="9">
        <f>O647+Q646</f>
        <v>167831.15160139403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303</v>
      </c>
      <c r="D648" t="s">
        <v>16</v>
      </c>
      <c r="E648" t="s">
        <v>7</v>
      </c>
      <c r="F648" s="11">
        <v>42931</v>
      </c>
      <c r="G648" s="7">
        <v>45490</v>
      </c>
      <c r="H648" t="s">
        <v>256</v>
      </c>
      <c r="I648">
        <v>2050</v>
      </c>
      <c r="J648" s="5">
        <v>312500</v>
      </c>
      <c r="K648" s="13">
        <v>1</v>
      </c>
      <c r="L648" s="5">
        <f>Table1[[#This Row],[Open Value]]+Table1[[#This Row],[PnL]]</f>
        <v>315728.03000000003</v>
      </c>
      <c r="M648" s="5">
        <f>Table1[[#This Row],[Open Value]]/Table1[[#This Row],[Shares]]/Table1[[#This Row],[Multiplier]]</f>
        <v>152.4390243902439</v>
      </c>
      <c r="N648" s="5">
        <f>Table1[[#This Row],[Close Value]]/Table1[[#This Row],[Shares]]/Table1[[#This Row],[Multiplier]]</f>
        <v>154.01367317073172</v>
      </c>
      <c r="O648" s="5">
        <v>3228.03</v>
      </c>
      <c r="P648" s="3">
        <f>Table1[[#This Row],[PnL]]/Table1[[#This Row],[Open Value]]</f>
        <v>1.0329696000000001E-2</v>
      </c>
      <c r="Q648" s="9">
        <f>O648+Q647</f>
        <v>171059.18160139403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45474</v>
      </c>
      <c r="G649" s="7">
        <v>45490</v>
      </c>
      <c r="H649" t="s">
        <v>153</v>
      </c>
      <c r="I649">
        <v>3000</v>
      </c>
      <c r="J649" s="5">
        <v>165000</v>
      </c>
      <c r="K649" s="13">
        <v>1</v>
      </c>
      <c r="L649" s="5">
        <f>Table1[[#This Row],[Open Value]]+Table1[[#This Row],[PnL]]</f>
        <v>181841.41999999998</v>
      </c>
      <c r="M649" s="5">
        <f>Table1[[#This Row],[Open Value]]/Table1[[#This Row],[Shares]]/Table1[[#This Row],[Multiplier]]</f>
        <v>55</v>
      </c>
      <c r="N649" s="5">
        <f>Table1[[#This Row],[Close Value]]/Table1[[#This Row],[Shares]]/Table1[[#This Row],[Multiplier]]</f>
        <v>60.613806666666662</v>
      </c>
      <c r="O649" s="5">
        <v>16841.419999999998</v>
      </c>
      <c r="P649" s="3">
        <f>Table1[[#This Row],[PnL]]/Table1[[#This Row],[Open Value]]</f>
        <v>0.10206921212121212</v>
      </c>
      <c r="Q649" s="9">
        <f>O649+Q648</f>
        <v>187900.60160139401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197</v>
      </c>
      <c r="C650" t="s">
        <v>302</v>
      </c>
      <c r="D650" t="s">
        <v>97</v>
      </c>
      <c r="E650" t="s">
        <v>7</v>
      </c>
      <c r="F650" s="11">
        <v>45467</v>
      </c>
      <c r="G650" s="7">
        <v>45490</v>
      </c>
      <c r="H650" t="s">
        <v>186</v>
      </c>
      <c r="I650">
        <v>6</v>
      </c>
      <c r="J650" s="5">
        <f>3399.14-92.84</f>
        <v>3306.2999999999997</v>
      </c>
      <c r="K650" s="13">
        <v>100</v>
      </c>
      <c r="L650" s="5">
        <f>Table1[[#This Row],[Open Value]]+Table1[[#This Row],[PnL]]</f>
        <v>6128.78</v>
      </c>
      <c r="M650" s="5">
        <f>Table1[[#This Row],[Open Value]]/Table1[[#This Row],[Shares]]/Table1[[#This Row],[Multiplier]]</f>
        <v>5.5104999999999995</v>
      </c>
      <c r="N650" s="5">
        <f>Table1[[#This Row],[Close Value]]/Table1[[#This Row],[Shares]]/Table1[[#This Row],[Multiplier]]</f>
        <v>10.214633333333332</v>
      </c>
      <c r="O650" s="5">
        <f>2822.48</f>
        <v>2822.48</v>
      </c>
      <c r="P650" s="3">
        <f>Table1[[#This Row],[PnL]]/Table1[[#This Row],[Open Value]]</f>
        <v>0.85366724132716332</v>
      </c>
      <c r="Q650" s="9">
        <f>O650+Q649</f>
        <v>190723.08160139402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102</v>
      </c>
      <c r="E651" t="s">
        <v>7</v>
      </c>
      <c r="F651" s="11">
        <v>45485</v>
      </c>
      <c r="G651" s="7">
        <v>45490</v>
      </c>
      <c r="H651" t="s">
        <v>9</v>
      </c>
      <c r="I651">
        <v>400</v>
      </c>
      <c r="J651" s="5">
        <v>6274.74</v>
      </c>
      <c r="K651" s="13">
        <v>100</v>
      </c>
      <c r="L651" s="5">
        <f>Table1[[#This Row],[Open Value]]+Table1[[#This Row],[PnL]]</f>
        <v>0</v>
      </c>
      <c r="M651" s="5">
        <f>Table1[[#This Row],[Open Value]]/Table1[[#This Row],[Shares]]/Table1[[#This Row],[Multiplier]]</f>
        <v>0.15686849999999999</v>
      </c>
      <c r="N651" s="5">
        <f>Table1[[#This Row],[Close Value]]/Table1[[#This Row],[Shares]]/Table1[[#This Row],[Multiplier]]</f>
        <v>0</v>
      </c>
      <c r="O651" s="5">
        <v>-6274.74</v>
      </c>
      <c r="P651" s="3">
        <f>Table1[[#This Row],[PnL]]/Table1[[#This Row],[Open Value]]</f>
        <v>-1</v>
      </c>
      <c r="Q651" s="9">
        <f>O651+Q650</f>
        <v>184448.34160139403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201</v>
      </c>
      <c r="C652" t="s">
        <v>305</v>
      </c>
      <c r="D652" t="s">
        <v>12</v>
      </c>
      <c r="E652" t="s">
        <v>7</v>
      </c>
      <c r="F652" s="11">
        <v>45468</v>
      </c>
      <c r="G652" s="7">
        <v>45490</v>
      </c>
      <c r="H652" t="s">
        <v>44</v>
      </c>
      <c r="I652">
        <v>2</v>
      </c>
      <c r="J652" s="5">
        <v>393656.04</v>
      </c>
      <c r="K652" s="13">
        <v>25</v>
      </c>
      <c r="L652" s="5">
        <f>Table1[[#This Row],[Open Value]]+Table1[[#This Row],[PnL]]</f>
        <v>407718.95999999996</v>
      </c>
      <c r="M652" s="5">
        <f>Table1[[#This Row],[Open Value]]/Table1[[#This Row],[Shares]]/Table1[[#This Row],[Multiplier]]</f>
        <v>7873.1207999999997</v>
      </c>
      <c r="N652" s="5">
        <f>Table1[[#This Row],[Close Value]]/Table1[[#This Row],[Shares]]/Table1[[#This Row],[Multiplier]]</f>
        <v>8154.3791999999994</v>
      </c>
      <c r="O652" s="5">
        <v>14062.92</v>
      </c>
      <c r="P652" s="3">
        <f>Table1[[#This Row],[PnL]]/Table1[[#This Row],[Open Value]]</f>
        <v>3.5723877118715115E-2</v>
      </c>
      <c r="Q652" s="9">
        <f>O652+Q651</f>
        <v>198511.26160139404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303</v>
      </c>
      <c r="D653" t="s">
        <v>16</v>
      </c>
      <c r="E653" t="s">
        <v>7</v>
      </c>
      <c r="F653" s="11">
        <v>45460</v>
      </c>
      <c r="G653" s="7">
        <v>45491</v>
      </c>
      <c r="H653" t="s">
        <v>14</v>
      </c>
      <c r="I653">
        <v>1600</v>
      </c>
      <c r="J653" s="5">
        <v>283648</v>
      </c>
      <c r="K653" s="13">
        <v>1</v>
      </c>
      <c r="L653" s="5">
        <f>Table1[[#This Row],[Open Value]]+Table1[[#This Row],[PnL]]</f>
        <v>292875.59000000003</v>
      </c>
      <c r="M653" s="5">
        <f>Table1[[#This Row],[Open Value]]/Table1[[#This Row],[Shares]]/Table1[[#This Row],[Multiplier]]</f>
        <v>177.28</v>
      </c>
      <c r="N653" s="5">
        <f>Table1[[#This Row],[Close Value]]/Table1[[#This Row],[Shares]]/Table1[[#This Row],[Multiplier]]</f>
        <v>183.04724375000001</v>
      </c>
      <c r="O653" s="5">
        <v>9227.59</v>
      </c>
      <c r="P653" s="3">
        <f>Table1[[#This Row],[PnL]]/Table1[[#This Row],[Open Value]]</f>
        <v>3.2531835232400726E-2</v>
      </c>
      <c r="Q653" s="9">
        <f>O653+Q652</f>
        <v>207738.85160139404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302</v>
      </c>
      <c r="D654" t="s">
        <v>16</v>
      </c>
      <c r="E654" t="s">
        <v>5</v>
      </c>
      <c r="F654" s="11">
        <v>45489</v>
      </c>
      <c r="G654" s="7">
        <v>45492</v>
      </c>
      <c r="H654" t="s">
        <v>10</v>
      </c>
      <c r="I654">
        <v>1000</v>
      </c>
      <c r="J654" s="5">
        <v>550000</v>
      </c>
      <c r="K654" s="13">
        <v>1</v>
      </c>
      <c r="L654" s="5">
        <f>Table1[[#This Row],[Open Value]]+Table1[[#This Row],[PnL]]</f>
        <v>545039.28</v>
      </c>
      <c r="M654" s="5">
        <f>Table1[[#This Row],[Open Value]]/Table1[[#This Row],[Shares]]/Table1[[#This Row],[Multiplier]]</f>
        <v>550</v>
      </c>
      <c r="N654" s="5">
        <f>Table1[[#This Row],[Close Value]]/Table1[[#This Row],[Shares]]/Table1[[#This Row],[Multiplier]]</f>
        <v>545.03928000000008</v>
      </c>
      <c r="O654" s="5">
        <v>-4960.72</v>
      </c>
      <c r="P654" s="3">
        <f>Table1[[#This Row],[PnL]]/Table1[[#This Row],[Open Value]]</f>
        <v>-9.01949090909091E-3</v>
      </c>
      <c r="Q654" s="9">
        <f>O654+Q653</f>
        <v>202778.13160139404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303</v>
      </c>
      <c r="D655" t="s">
        <v>16</v>
      </c>
      <c r="E655" t="s">
        <v>7</v>
      </c>
      <c r="F655" s="11">
        <v>45489</v>
      </c>
      <c r="G655" s="7">
        <v>45492</v>
      </c>
      <c r="H655" t="s">
        <v>37</v>
      </c>
      <c r="I655">
        <v>325</v>
      </c>
      <c r="J655" s="5">
        <v>82933.460000000006</v>
      </c>
      <c r="K655" s="13">
        <v>1</v>
      </c>
      <c r="L655" s="5">
        <f>Table1[[#This Row],[Open Value]]+Table1[[#This Row],[PnL]]</f>
        <v>77946.03</v>
      </c>
      <c r="M655" s="5">
        <f>Table1[[#This Row],[Open Value]]/Table1[[#This Row],[Shares]]/Table1[[#This Row],[Multiplier]]</f>
        <v>255.17987692307693</v>
      </c>
      <c r="N655" s="5">
        <f>Table1[[#This Row],[Close Value]]/Table1[[#This Row],[Shares]]/Table1[[#This Row],[Multiplier]]</f>
        <v>239.83393846153845</v>
      </c>
      <c r="O655" s="5">
        <v>-4987.43</v>
      </c>
      <c r="P655" s="3">
        <f>Table1[[#This Row],[PnL]]/Table1[[#This Row],[Open Value]]</f>
        <v>-6.013772969317812E-2</v>
      </c>
      <c r="Q655" s="9">
        <f>O655+Q654</f>
        <v>197790.70160139404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197</v>
      </c>
      <c r="C656" t="s">
        <v>303</v>
      </c>
      <c r="D656" t="s">
        <v>97</v>
      </c>
      <c r="E656" t="s">
        <v>7</v>
      </c>
      <c r="F656" s="11">
        <v>45463</v>
      </c>
      <c r="G656" s="7">
        <v>45492</v>
      </c>
      <c r="H656" t="s">
        <v>76</v>
      </c>
      <c r="I656">
        <v>80</v>
      </c>
      <c r="J656" s="5">
        <v>6535.75</v>
      </c>
      <c r="K656" s="13">
        <v>100</v>
      </c>
      <c r="L656" s="5">
        <f>Table1[[#This Row],[Open Value]]+Table1[[#This Row],[PnL]]</f>
        <v>0</v>
      </c>
      <c r="M656" s="5">
        <f>Table1[[#This Row],[Open Value]]/Table1[[#This Row],[Shares]]/Table1[[#This Row],[Multiplier]]</f>
        <v>0.81696875000000002</v>
      </c>
      <c r="N656" s="5">
        <f>Table1[[#This Row],[Close Value]]/Table1[[#This Row],[Shares]]/Table1[[#This Row],[Multiplier]]</f>
        <v>0</v>
      </c>
      <c r="O656" s="5">
        <v>-6535.75</v>
      </c>
      <c r="P656" s="3">
        <f>Table1[[#This Row],[PnL]]/Table1[[#This Row],[Open Value]]</f>
        <v>-1</v>
      </c>
      <c r="Q656" s="9">
        <f>O656+Q655</f>
        <v>191254.95160139404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302</v>
      </c>
      <c r="D657" t="s">
        <v>99</v>
      </c>
      <c r="E657" t="s">
        <v>7</v>
      </c>
      <c r="F657" s="11">
        <v>45488</v>
      </c>
      <c r="G657" s="7">
        <v>45492</v>
      </c>
      <c r="H657" t="s">
        <v>10</v>
      </c>
      <c r="I657">
        <v>100</v>
      </c>
      <c r="J657" s="5">
        <v>2902.68</v>
      </c>
      <c r="K657" s="13">
        <v>100</v>
      </c>
      <c r="L657" s="5">
        <f>Table1[[#This Row],[Open Value]]+Table1[[#This Row],[PnL]]</f>
        <v>10914.44</v>
      </c>
      <c r="M657" s="5">
        <f>Table1[[#This Row],[Open Value]]/Table1[[#This Row],[Shares]]/Table1[[#This Row],[Multiplier]]</f>
        <v>0.29026799999999997</v>
      </c>
      <c r="N657" s="5">
        <f>Table1[[#This Row],[Close Value]]/Table1[[#This Row],[Shares]]/Table1[[#This Row],[Multiplier]]</f>
        <v>1.0914440000000001</v>
      </c>
      <c r="O657" s="5">
        <f>6211.76+1800</f>
        <v>8011.76</v>
      </c>
      <c r="P657" s="3">
        <f>Table1[[#This Row],[PnL]]/Table1[[#This Row],[Open Value]]</f>
        <v>2.7601251257458626</v>
      </c>
      <c r="Q657" s="9">
        <f>O657+Q656</f>
        <v>199266.71160139405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201</v>
      </c>
      <c r="C658" t="s">
        <v>303</v>
      </c>
      <c r="D658" t="s">
        <v>12</v>
      </c>
      <c r="E658" t="s">
        <v>7</v>
      </c>
      <c r="F658" s="11">
        <v>45487</v>
      </c>
      <c r="G658" s="7">
        <v>45492</v>
      </c>
      <c r="H658" t="s">
        <v>85</v>
      </c>
      <c r="I658">
        <v>8</v>
      </c>
      <c r="J658" s="5">
        <v>48753.16</v>
      </c>
      <c r="K658" s="13">
        <v>0.1</v>
      </c>
      <c r="L658" s="5">
        <f>Table1[[#This Row],[Open Value]]+Table1[[#This Row],[PnL]]</f>
        <v>50893.840000000004</v>
      </c>
      <c r="M658" s="5">
        <f>Table1[[#This Row],[Open Value]]/Table1[[#This Row],[Shares]]/Table1[[#This Row],[Multiplier]]</f>
        <v>60941.450000000004</v>
      </c>
      <c r="N658" s="5">
        <f>Table1[[#This Row],[Close Value]]/Table1[[#This Row],[Shares]]/Table1[[#This Row],[Multiplier]]</f>
        <v>63617.3</v>
      </c>
      <c r="O658" s="5">
        <v>2140.6799999999998</v>
      </c>
      <c r="P658" s="3">
        <f>Table1[[#This Row],[PnL]]/Table1[[#This Row],[Open Value]]</f>
        <v>4.3908538441405638E-2</v>
      </c>
      <c r="Q658" s="9">
        <f>O658+Q657</f>
        <v>201407.39160139405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271</v>
      </c>
      <c r="I659">
        <v>130</v>
      </c>
      <c r="J659" s="5">
        <v>42291.6</v>
      </c>
      <c r="K659" s="13">
        <v>0.1</v>
      </c>
      <c r="L659" s="5">
        <f>Table1[[#This Row],[Open Value]]+Table1[[#This Row],[PnL]]</f>
        <v>44320.9</v>
      </c>
      <c r="M659" s="5">
        <f>Table1[[#This Row],[Open Value]]/Table1[[#This Row],[Shares]]/Table1[[#This Row],[Multiplier]]</f>
        <v>3253.2</v>
      </c>
      <c r="N659" s="5">
        <f>Table1[[#This Row],[Close Value]]/Table1[[#This Row],[Shares]]/Table1[[#This Row],[Multiplier]]</f>
        <v>3409.2999999999997</v>
      </c>
      <c r="O659" s="5">
        <v>2029.3</v>
      </c>
      <c r="P659" s="3">
        <f>Table1[[#This Row],[PnL]]/Table1[[#This Row],[Open Value]]</f>
        <v>4.7983523914914547E-2</v>
      </c>
      <c r="Q659" s="9">
        <f>O659+Q658</f>
        <v>203436.69160139404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197</v>
      </c>
      <c r="C660" t="s">
        <v>302</v>
      </c>
      <c r="D660" t="s">
        <v>99</v>
      </c>
      <c r="E660" t="s">
        <v>7</v>
      </c>
      <c r="F660" s="11">
        <v>45488</v>
      </c>
      <c r="G660" s="7">
        <v>45495</v>
      </c>
      <c r="H660" t="s">
        <v>10</v>
      </c>
      <c r="I660">
        <v>85</v>
      </c>
      <c r="J660" s="5">
        <v>2609.23</v>
      </c>
      <c r="K660" s="13">
        <v>100</v>
      </c>
      <c r="L660" s="5">
        <f>Table1[[#This Row],[Open Value]]+Table1[[#This Row],[PnL]]</f>
        <v>12067.789999999999</v>
      </c>
      <c r="M660" s="5">
        <f>Table1[[#This Row],[Open Value]]/Table1[[#This Row],[Shares]]/Table1[[#This Row],[Multiplier]]</f>
        <v>0.30696823529411765</v>
      </c>
      <c r="N660" s="5">
        <f>Table1[[#This Row],[Close Value]]/Table1[[#This Row],[Shares]]/Table1[[#This Row],[Multiplier]]</f>
        <v>1.41974</v>
      </c>
      <c r="O660" s="5">
        <v>9458.56</v>
      </c>
      <c r="P660" s="3">
        <f>Table1[[#This Row],[PnL]]/Table1[[#This Row],[Open Value]]</f>
        <v>3.6250388045515343</v>
      </c>
      <c r="Q660" s="9">
        <f>O660+Q659</f>
        <v>212895.25160139403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201</v>
      </c>
      <c r="C661" t="s">
        <v>303</v>
      </c>
      <c r="D661" t="s">
        <v>12</v>
      </c>
      <c r="E661" t="s">
        <v>7</v>
      </c>
      <c r="F661" s="11">
        <v>45469</v>
      </c>
      <c r="G661" s="7">
        <v>45495</v>
      </c>
      <c r="H661" t="s">
        <v>88</v>
      </c>
      <c r="I661">
        <v>10</v>
      </c>
      <c r="J661" s="5">
        <v>217421.7</v>
      </c>
      <c r="K661" s="13">
        <v>1120</v>
      </c>
      <c r="L661" s="5">
        <f>Table1[[#This Row],[Open Value]]+Table1[[#This Row],[PnL]]</f>
        <v>207618.30000000002</v>
      </c>
      <c r="M661" s="5">
        <f>Table1[[#This Row],[Open Value]]/Table1[[#This Row],[Shares]]/Table1[[#This Row],[Multiplier]]</f>
        <v>19.412651785714289</v>
      </c>
      <c r="N661" s="5">
        <f>Table1[[#This Row],[Close Value]]/Table1[[#This Row],[Shares]]/Table1[[#This Row],[Multiplier]]</f>
        <v>18.537348214285714</v>
      </c>
      <c r="O661" s="5">
        <v>-9803.4</v>
      </c>
      <c r="P661" s="3">
        <f>Table1[[#This Row],[PnL]]/Table1[[#This Row],[Open Value]]</f>
        <v>-4.508933560909513E-2</v>
      </c>
      <c r="Q661" s="9">
        <f>O661+Q660</f>
        <v>203091.85160139404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4</v>
      </c>
      <c r="E662" t="s">
        <v>7</v>
      </c>
      <c r="F662" s="11">
        <v>45484</v>
      </c>
      <c r="G662" s="7">
        <v>45495</v>
      </c>
      <c r="H662" t="s">
        <v>289</v>
      </c>
      <c r="I662">
        <v>1000000</v>
      </c>
      <c r="J662" s="5">
        <f>103499949+101874610+50</f>
        <v>205374609</v>
      </c>
      <c r="K662" s="13">
        <v>1</v>
      </c>
      <c r="L662" s="5">
        <f>Table1[[#This Row],[Open Value]]+Table1[[#This Row],[PnL]]</f>
        <v>205358228.37421229</v>
      </c>
      <c r="M662" s="5">
        <f>Table1[[#This Row],[Open Value]]/Table1[[#This Row],[Shares]]/Table1[[#This Row],[Multiplier]]</f>
        <v>205.37460899999999</v>
      </c>
      <c r="N662" s="5">
        <f>Table1[[#This Row],[Close Value]]/Table1[[#This Row],[Shares]]/Table1[[#This Row],[Multiplier]]</f>
        <v>205.3582283742123</v>
      </c>
      <c r="O662" s="5">
        <f>(202072616-Table1[[#This Row],[Open Value]])/202.072616-40</f>
        <v>-16380.625787711879</v>
      </c>
      <c r="P662" s="3">
        <f>Table1[[#This Row],[PnL]]/Table1[[#This Row],[Open Value]]*Table1[[#This Row],[Close Price]]</f>
        <v>-1.6379319273228402E-2</v>
      </c>
      <c r="Q662" s="9">
        <f>O662+Q661</f>
        <v>186711.22581368216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16</v>
      </c>
      <c r="E663" t="s">
        <v>7</v>
      </c>
      <c r="F663" s="11">
        <v>45496</v>
      </c>
      <c r="G663" s="7">
        <v>45497</v>
      </c>
      <c r="H663" t="s">
        <v>206</v>
      </c>
      <c r="I663">
        <v>1000</v>
      </c>
      <c r="J663" s="5">
        <v>155605</v>
      </c>
      <c r="K663" s="13">
        <v>1</v>
      </c>
      <c r="L663" s="5">
        <f>Table1[[#This Row],[Open Value]]+Table1[[#This Row],[PnL]]</f>
        <v>150378.65</v>
      </c>
      <c r="M663" s="5">
        <f>Table1[[#This Row],[Open Value]]/Table1[[#This Row],[Shares]]/Table1[[#This Row],[Multiplier]]</f>
        <v>155.60499999999999</v>
      </c>
      <c r="N663" s="5">
        <f>Table1[[#This Row],[Close Value]]/Table1[[#This Row],[Shares]]/Table1[[#This Row],[Multiplier]]</f>
        <v>150.37864999999999</v>
      </c>
      <c r="O663" s="5">
        <v>-5226.3500000000004</v>
      </c>
      <c r="P663" s="3">
        <f>Table1[[#This Row],[PnL]]/Table1[[#This Row],[Open Value]]</f>
        <v>-3.35872883262106E-2</v>
      </c>
      <c r="Q663" s="9"/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12</v>
      </c>
      <c r="E664" t="s">
        <v>7</v>
      </c>
      <c r="F664" s="11">
        <v>45492</v>
      </c>
      <c r="G664" s="7">
        <v>45497</v>
      </c>
      <c r="H664" t="s">
        <v>271</v>
      </c>
      <c r="I664">
        <v>260</v>
      </c>
      <c r="J664" s="5">
        <v>85169</v>
      </c>
      <c r="K664" s="13">
        <v>0.1</v>
      </c>
      <c r="L664" s="5">
        <f>Table1[[#This Row],[Open Value]]+Table1[[#This Row],[PnL]]</f>
        <v>79127.100000000006</v>
      </c>
      <c r="M664" s="5">
        <f>Table1[[#This Row],[Open Value]]/Table1[[#This Row],[Shares]]/Table1[[#This Row],[Multiplier]]</f>
        <v>3275.7307692307691</v>
      </c>
      <c r="N664" s="5">
        <f>Table1[[#This Row],[Close Value]]/Table1[[#This Row],[Shares]]/Table1[[#This Row],[Multiplier]]</f>
        <v>3043.3500000000004</v>
      </c>
      <c r="O664" s="5">
        <v>-6041.9</v>
      </c>
      <c r="P664" s="3">
        <f>Table1[[#This Row],[PnL]]/Table1[[#This Row],[Open Value]]</f>
        <v>-7.0940130798764808E-2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305</v>
      </c>
      <c r="D665" t="s">
        <v>16</v>
      </c>
      <c r="E665" t="s">
        <v>7</v>
      </c>
      <c r="F665" s="11">
        <v>45355</v>
      </c>
      <c r="G665" s="7">
        <v>45497</v>
      </c>
      <c r="H665" t="s">
        <v>14</v>
      </c>
      <c r="I665">
        <v>1000</v>
      </c>
      <c r="J665" s="5">
        <v>133799.41</v>
      </c>
      <c r="K665" s="13">
        <v>1</v>
      </c>
      <c r="L665" s="5">
        <f>59839.52+59799.52+40+34869.03</f>
        <v>154548.07</v>
      </c>
      <c r="M665" s="5">
        <f>Table1[[#This Row],[Open Value]]/Table1[[#This Row],[Shares]]/Table1[[#This Row],[Multiplier]]</f>
        <v>133.79940999999999</v>
      </c>
      <c r="N665" s="5">
        <f>Table1[[#This Row],[Close Value]]/Table1[[#This Row],[Shares]]/Table1[[#This Row],[Multiplier]]</f>
        <v>154.54807</v>
      </c>
      <c r="O665" s="5">
        <f>Table1[[#This Row],[Close Value]]-Table1[[#This Row],[Open Value]]</f>
        <v>20748.660000000003</v>
      </c>
      <c r="P665" s="3">
        <f>Table1[[#This Row],[PnL]]/Table1[[#This Row],[Open Value]]</f>
        <v>0.15507288111360135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203</v>
      </c>
    </row>
    <row r="666" spans="2:21" x14ac:dyDescent="0.25">
      <c r="B666" t="s">
        <v>201</v>
      </c>
      <c r="C666" t="s">
        <v>302</v>
      </c>
      <c r="D666" t="s">
        <v>16</v>
      </c>
      <c r="E666" t="s">
        <v>7</v>
      </c>
      <c r="F666" s="11">
        <v>45488</v>
      </c>
      <c r="G666" s="7">
        <v>45498</v>
      </c>
      <c r="H666" t="s">
        <v>211</v>
      </c>
      <c r="I666">
        <v>2500</v>
      </c>
      <c r="J666" s="5">
        <v>75137.5</v>
      </c>
      <c r="K666" s="13">
        <v>1</v>
      </c>
      <c r="L666" s="5">
        <f>Table1[[#This Row],[Open Value]]+Table1[[#This Row],[PnL]]</f>
        <v>65262.38</v>
      </c>
      <c r="M666" s="5">
        <f>Table1[[#This Row],[Open Value]]/Table1[[#This Row],[Shares]]/Table1[[#This Row],[Multiplier]]</f>
        <v>30.055</v>
      </c>
      <c r="N666" s="5">
        <f>Table1[[#This Row],[Close Value]]/Table1[[#This Row],[Shares]]/Table1[[#This Row],[Multiplier]]</f>
        <v>26.104951999999997</v>
      </c>
      <c r="O666" s="5">
        <v>-9875.1200000000008</v>
      </c>
      <c r="P666" s="3">
        <f>Table1[[#This Row],[PnL]]/Table1[[#This Row],[Open Value]]</f>
        <v>-0.13142731658625853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301</v>
      </c>
    </row>
    <row r="667" spans="2:21" x14ac:dyDescent="0.25">
      <c r="B667" t="s">
        <v>201</v>
      </c>
      <c r="C667" t="s">
        <v>303</v>
      </c>
      <c r="D667" t="s">
        <v>16</v>
      </c>
      <c r="E667" t="s">
        <v>7</v>
      </c>
      <c r="F667" s="11">
        <v>45449</v>
      </c>
      <c r="G667" s="7">
        <v>45498</v>
      </c>
      <c r="H667" t="s">
        <v>218</v>
      </c>
      <c r="I667">
        <v>5000</v>
      </c>
      <c r="J667" s="5">
        <f>33831+75680</f>
        <v>109511</v>
      </c>
      <c r="K667" s="13">
        <v>1</v>
      </c>
      <c r="L667" s="5">
        <f>Table1[[#This Row],[Open Value]]+Table1[[#This Row],[PnL]]</f>
        <v>98427</v>
      </c>
      <c r="M667" s="5">
        <f>Table1[[#This Row],[Open Value]]/Table1[[#This Row],[Shares]]/Table1[[#This Row],[Multiplier]]</f>
        <v>21.902200000000001</v>
      </c>
      <c r="N667" s="5">
        <f>Table1[[#This Row],[Close Value]]/Table1[[#This Row],[Shares]]/Table1[[#This Row],[Multiplier]]</f>
        <v>19.685400000000001</v>
      </c>
      <c r="O667" s="5">
        <v>-11084</v>
      </c>
      <c r="P667" s="3">
        <f>Table1[[#This Row],[PnL]]/Table1[[#This Row],[Open Value]]</f>
        <v>-0.10121357671832053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197</v>
      </c>
      <c r="C668" t="s">
        <v>302</v>
      </c>
      <c r="D668" t="s">
        <v>102</v>
      </c>
      <c r="E668" t="s">
        <v>7</v>
      </c>
      <c r="F668" s="11">
        <v>45449</v>
      </c>
      <c r="G668" s="7">
        <v>45498</v>
      </c>
      <c r="H668" t="s">
        <v>186</v>
      </c>
      <c r="I668">
        <v>3</v>
      </c>
      <c r="J668" s="5">
        <v>3452.06</v>
      </c>
      <c r="K668" s="13">
        <v>100</v>
      </c>
      <c r="L668" s="5">
        <f>Table1[[#This Row],[Open Value]]+Table1[[#This Row],[PnL]]</f>
        <v>8122.32</v>
      </c>
      <c r="M668" s="5">
        <f>Table1[[#This Row],[Open Value]]/Table1[[#This Row],[Shares]]/Table1[[#This Row],[Multiplier]]</f>
        <v>11.506866666666667</v>
      </c>
      <c r="N668" s="5">
        <f>Table1[[#This Row],[Close Value]]/Table1[[#This Row],[Shares]]/Table1[[#This Row],[Multiplier]]</f>
        <v>27.074400000000001</v>
      </c>
      <c r="O668" s="5">
        <v>4670.26</v>
      </c>
      <c r="P668" s="3">
        <f>Table1[[#This Row],[PnL]]/Table1[[#This Row],[Open Value]]</f>
        <v>1.3528907377044432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303</v>
      </c>
      <c r="D669" t="s">
        <v>99</v>
      </c>
      <c r="E669" t="s">
        <v>7</v>
      </c>
      <c r="F669" s="11">
        <v>45463</v>
      </c>
      <c r="G669" s="7">
        <v>45498</v>
      </c>
      <c r="H669" t="s">
        <v>51</v>
      </c>
      <c r="I669">
        <v>5</v>
      </c>
      <c r="J669" s="5">
        <v>7002.23</v>
      </c>
      <c r="K669" s="13">
        <v>100</v>
      </c>
      <c r="L669" s="5">
        <f>Table1[[#This Row],[Open Value]]+Table1[[#This Row],[PnL]]</f>
        <v>21022.16</v>
      </c>
      <c r="M669" s="5">
        <f>Table1[[#This Row],[Open Value]]/Table1[[#This Row],[Shares]]/Table1[[#This Row],[Multiplier]]</f>
        <v>14.00446</v>
      </c>
      <c r="N669" s="5">
        <f>Table1[[#This Row],[Close Value]]/Table1[[#This Row],[Shares]]/Table1[[#This Row],[Multiplier]]</f>
        <v>42.044319999999999</v>
      </c>
      <c r="O669" s="5">
        <v>14019.93</v>
      </c>
      <c r="P669" s="3">
        <f>Table1[[#This Row],[PnL]]/Table1[[#This Row],[Open Value]]</f>
        <v>2.0022092961813596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302</v>
      </c>
      <c r="D670" t="s">
        <v>98</v>
      </c>
      <c r="E670" t="s">
        <v>7</v>
      </c>
      <c r="F670" s="11">
        <v>45455</v>
      </c>
      <c r="G670" s="7">
        <v>45498</v>
      </c>
      <c r="H670" t="s">
        <v>29</v>
      </c>
      <c r="I670">
        <v>85</v>
      </c>
      <c r="J670" s="5">
        <f>3766.23-551.26</f>
        <v>3214.9700000000003</v>
      </c>
      <c r="K670" s="13">
        <v>100</v>
      </c>
      <c r="L670" s="5">
        <f>Table1[[#This Row],[Open Value]]+Table1[[#This Row],[PnL]]</f>
        <v>1423.5700000000002</v>
      </c>
      <c r="M670" s="5">
        <f>Table1[[#This Row],[Open Value]]/Table1[[#This Row],[Shares]]/Table1[[#This Row],[Multiplier]]</f>
        <v>0.37823176470588238</v>
      </c>
      <c r="N670" s="5">
        <f>Table1[[#This Row],[Close Value]]/Table1[[#This Row],[Shares]]/Table1[[#This Row],[Multiplier]]</f>
        <v>0.16747882352941179</v>
      </c>
      <c r="O670" s="5">
        <f>79.57-1870.97</f>
        <v>-1791.4</v>
      </c>
      <c r="P670" s="3">
        <f>Table1[[#This Row],[PnL]]/Table1[[#This Row],[Open Value]]</f>
        <v>-0.55720582151621945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201</v>
      </c>
      <c r="C671" t="s">
        <v>303</v>
      </c>
      <c r="D671" t="s">
        <v>16</v>
      </c>
      <c r="E671" t="s">
        <v>7</v>
      </c>
      <c r="F671" s="11">
        <v>45491</v>
      </c>
      <c r="G671" s="7">
        <v>45503</v>
      </c>
      <c r="H671" t="s">
        <v>155</v>
      </c>
      <c r="I671">
        <v>350</v>
      </c>
      <c r="J671" s="5">
        <v>122500</v>
      </c>
      <c r="K671" s="13">
        <v>1</v>
      </c>
      <c r="L671" s="5">
        <v>86386.49</v>
      </c>
      <c r="M671" s="5">
        <f>Table1[[#This Row],[Open Value]]/Table1[[#This Row],[Shares]]/Table1[[#This Row],[Multiplier]]</f>
        <v>350</v>
      </c>
      <c r="N671" s="5">
        <f>Table1[[#This Row],[Close Value]]/Table1[[#This Row],[Shares]]/Table1[[#This Row],[Multiplier]]</f>
        <v>246.81854285714286</v>
      </c>
      <c r="O671" s="5">
        <f>Table1[[#This Row],[Close Value]]-Table1[[#This Row],[Open Value]]</f>
        <v>-36113.509999999995</v>
      </c>
      <c r="P671" s="3">
        <f>Table1[[#This Row],[PnL]]/Table1[[#This Row],[Open Value]]</f>
        <v>-0.29480416326530606</v>
      </c>
      <c r="Q671" s="14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203</v>
      </c>
    </row>
    <row r="672" spans="2:21" x14ac:dyDescent="0.25">
      <c r="B672" t="s">
        <v>201</v>
      </c>
      <c r="C672" t="s">
        <v>306</v>
      </c>
      <c r="D672" t="s">
        <v>12</v>
      </c>
      <c r="E672" t="s">
        <v>7</v>
      </c>
      <c r="F672" s="11">
        <v>45460</v>
      </c>
      <c r="G672" s="7">
        <v>45504</v>
      </c>
      <c r="H672" t="s">
        <v>286</v>
      </c>
      <c r="I672">
        <v>2</v>
      </c>
      <c r="J672" s="5">
        <v>169811</v>
      </c>
      <c r="K672" s="13">
        <v>375</v>
      </c>
      <c r="L672" s="5">
        <v>170844.06</v>
      </c>
      <c r="M672" s="5">
        <f>Table1[[#This Row],[Open Value]]/Table1[[#This Row],[Shares]]/Table1[[#This Row],[Multiplier]]</f>
        <v>226.41466666666668</v>
      </c>
      <c r="N672" s="5">
        <f>Table1[[#This Row],[Close Value]]/Table1[[#This Row],[Shares]]/Table1[[#This Row],[Multiplier]]</f>
        <v>227.79208</v>
      </c>
      <c r="O672" s="5">
        <f>Table1[[#This Row],[Close Value]]-Table1[[#This Row],[Open Value]]</f>
        <v>1033.0599999999977</v>
      </c>
      <c r="P672" s="3">
        <f>Table1[[#This Row],[PnL]]/Table1[[#This Row],[Open Value]]</f>
        <v>6.0835870467755189E-3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301</v>
      </c>
    </row>
    <row r="673" spans="1:21" x14ac:dyDescent="0.25">
      <c r="B673" t="s">
        <v>201</v>
      </c>
      <c r="C673" t="s">
        <v>303</v>
      </c>
      <c r="D673" t="s">
        <v>16</v>
      </c>
      <c r="E673" t="s">
        <v>5</v>
      </c>
      <c r="F673" s="11">
        <v>45503</v>
      </c>
      <c r="G673" s="7">
        <v>45504</v>
      </c>
      <c r="H673" t="s">
        <v>307</v>
      </c>
      <c r="I673">
        <v>200</v>
      </c>
      <c r="J673" s="5">
        <f>Table1[[#This Row],[Close Value]]+Table1[[#This Row],[PnL]]</f>
        <v>153800.97</v>
      </c>
      <c r="K673" s="13">
        <v>1</v>
      </c>
      <c r="L673" s="5">
        <v>162801.97</v>
      </c>
      <c r="M673" s="5">
        <f>Table1[[#This Row],[Open Value]]/Table1[[#This Row],[Shares]]/Table1[[#This Row],[Multiplier]]</f>
        <v>769.00485000000003</v>
      </c>
      <c r="N673" s="5">
        <f>Table1[[#This Row],[Close Value]]/Table1[[#This Row],[Shares]]/Table1[[#This Row],[Multiplier]]</f>
        <v>814.00985000000003</v>
      </c>
      <c r="O673" s="5">
        <v>-9001</v>
      </c>
      <c r="P673" s="3">
        <f>Table1[[#This Row],[PnL]]/Table1[[#This Row],[Open Value]]</f>
        <v>-5.8523688114580814E-2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7</v>
      </c>
      <c r="F674" s="11">
        <v>45504</v>
      </c>
      <c r="G674" s="7">
        <v>45504</v>
      </c>
      <c r="H674" t="s">
        <v>231</v>
      </c>
      <c r="I674">
        <v>8333</v>
      </c>
      <c r="J674" s="5">
        <v>111245.55</v>
      </c>
      <c r="K674" s="13">
        <v>1</v>
      </c>
      <c r="L674" s="5">
        <f>106167.07-87.66</f>
        <v>106079.41</v>
      </c>
      <c r="M674" s="5">
        <f>Table1[[#This Row],[Open Value]]/Table1[[#This Row],[Shares]]/Table1[[#This Row],[Multiplier]]</f>
        <v>13.35</v>
      </c>
      <c r="N674" s="5">
        <f>Table1[[#This Row],[Close Value]]/Table1[[#This Row],[Shares]]/Table1[[#This Row],[Multiplier]]</f>
        <v>12.730038401536062</v>
      </c>
      <c r="O674" s="5">
        <v>-5166</v>
      </c>
      <c r="P674" s="3">
        <f>Table1[[#This Row],[PnL]]/Table1[[#This Row],[Open Value]]</f>
        <v>-4.643781256868252E-2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12</v>
      </c>
      <c r="E675" t="s">
        <v>5</v>
      </c>
      <c r="F675" s="11">
        <v>45497</v>
      </c>
      <c r="G675" s="7">
        <v>45504</v>
      </c>
      <c r="H675" t="s">
        <v>267</v>
      </c>
      <c r="I675">
        <v>15</v>
      </c>
      <c r="J675" s="5">
        <f>Table1[[#This Row],[Close Value]]+Table1[[#This Row],[PnL]]</f>
        <v>3607280.8</v>
      </c>
      <c r="K675" s="13">
        <v>2500</v>
      </c>
      <c r="L675" s="5">
        <v>3612406.8</v>
      </c>
      <c r="M675" s="5">
        <f>Table1[[#This Row],[Open Value]]/Table1[[#This Row],[Shares]]/Table1[[#This Row],[Multiplier]]</f>
        <v>96.194154666666662</v>
      </c>
      <c r="N675" s="5">
        <f>Table1[[#This Row],[Close Value]]/Table1[[#This Row],[Shares]]/Table1[[#This Row],[Multiplier]]</f>
        <v>96.330848000000003</v>
      </c>
      <c r="O675" s="5">
        <v>-5126</v>
      </c>
      <c r="P675" s="3">
        <f>Table1[[#This Row],[PnL]]/Table1[[#This Row],[Open Value]]</f>
        <v>-1.4210149650673162E-3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7</v>
      </c>
      <c r="F676" s="11">
        <v>45488</v>
      </c>
      <c r="G676" s="7">
        <v>45506</v>
      </c>
      <c r="H676" t="s">
        <v>85</v>
      </c>
      <c r="I676">
        <v>16</v>
      </c>
      <c r="J676" s="5">
        <f>Table1[[#This Row],[Close Value]]-Table1[[#This Row],[PnL]]</f>
        <v>106288.18</v>
      </c>
      <c r="K676" s="13">
        <v>0.1</v>
      </c>
      <c r="L676" s="5">
        <v>99938.18</v>
      </c>
      <c r="M676" s="5">
        <f>Table1[[#This Row],[Open Value]]/Table1[[#This Row],[Shares]]/Table1[[#This Row],[Multiplier]]</f>
        <v>66430.112499999988</v>
      </c>
      <c r="N676" s="5">
        <f>Table1[[#This Row],[Close Value]]/Table1[[#This Row],[Shares]]/Table1[[#This Row],[Multiplier]]</f>
        <v>62461.362499999996</v>
      </c>
      <c r="O676" s="5">
        <v>-6350</v>
      </c>
      <c r="P676" s="3">
        <f>Table1[[#This Row],[PnL]]/Table1[[#This Row],[Open Value]]</f>
        <v>-5.9743237677039915E-2</v>
      </c>
      <c r="Q676" s="14"/>
      <c r="R676" s="5" t="str">
        <f>TEXT(Table1[[#This Row],[Closing Date]],"yyyy")</f>
        <v>2024</v>
      </c>
      <c r="S676" s="5" t="str">
        <f>TEXT(Table1[[#This Row],[Closing Date]],"mmmm")</f>
        <v>August</v>
      </c>
      <c r="T676" s="5" t="s">
        <v>240</v>
      </c>
      <c r="U676" s="5" t="s">
        <v>301</v>
      </c>
    </row>
    <row r="677" spans="1:21" x14ac:dyDescent="0.25">
      <c r="B677" t="s">
        <v>197</v>
      </c>
      <c r="C677" t="s">
        <v>302</v>
      </c>
      <c r="D677" t="s">
        <v>97</v>
      </c>
      <c r="E677" t="s">
        <v>7</v>
      </c>
      <c r="F677" s="11">
        <v>45487</v>
      </c>
      <c r="G677" s="7">
        <v>45509</v>
      </c>
      <c r="H677" t="s">
        <v>308</v>
      </c>
      <c r="I677">
        <v>200</v>
      </c>
      <c r="J677" s="5">
        <v>8012</v>
      </c>
      <c r="K677" s="13">
        <v>100</v>
      </c>
      <c r="L677" s="5">
        <f>33800-399.49</f>
        <v>33400.51</v>
      </c>
      <c r="M677" s="5">
        <f>Table1[[#This Row],[Open Value]]/Table1[[#This Row],[Shares]]/Table1[[#This Row],[Multiplier]]</f>
        <v>0.40060000000000001</v>
      </c>
      <c r="N677" s="5">
        <f>Table1[[#This Row],[Close Value]]/Table1[[#This Row],[Shares]]/Table1[[#This Row],[Multiplier]]</f>
        <v>1.6700255000000002</v>
      </c>
      <c r="O677" s="5">
        <f>Table1[[#This Row],[Close Value]]-Table1[[#This Row],[Open Value]]</f>
        <v>25388.510000000002</v>
      </c>
      <c r="P677" s="3">
        <f>Table1[[#This Row],[PnL]]/Table1[[#This Row],[Open Value]]</f>
        <v>3.1688105341987023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201</v>
      </c>
      <c r="C678" t="s">
        <v>303</v>
      </c>
      <c r="D678" t="s">
        <v>16</v>
      </c>
      <c r="E678" t="s">
        <v>5</v>
      </c>
      <c r="F678" s="11">
        <v>45505</v>
      </c>
      <c r="G678" s="7">
        <v>45510</v>
      </c>
      <c r="H678" t="s">
        <v>307</v>
      </c>
      <c r="I678">
        <v>200</v>
      </c>
      <c r="J678" s="5">
        <f>Table1[[#This Row],[Close Value]]-Table1[[#This Row],[PnL]]</f>
        <v>129001.68</v>
      </c>
      <c r="K678" s="13">
        <v>1</v>
      </c>
      <c r="L678" s="5">
        <f>72633.68+69661</f>
        <v>142294.68</v>
      </c>
      <c r="M678" s="5">
        <f>Table1[[#This Row],[Open Value]]/Table1[[#This Row],[Shares]]/Table1[[#This Row],[Multiplier]]</f>
        <v>645.00839999999994</v>
      </c>
      <c r="N678" s="5">
        <f>Table1[[#This Row],[Close Value]]/Table1[[#This Row],[Shares]]/Table1[[#This Row],[Multiplier]]</f>
        <v>711.47339999999997</v>
      </c>
      <c r="O678" s="5">
        <f>10392+2901</f>
        <v>13293</v>
      </c>
      <c r="P678" s="3">
        <f>Table1[[#This Row],[PnL]]/Table1[[#This Row],[Open Value]]</f>
        <v>0.10304516964430231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/>
      <c r="U678" s="5"/>
    </row>
    <row r="679" spans="1:21" x14ac:dyDescent="0.25">
      <c r="B679" t="s">
        <v>201</v>
      </c>
      <c r="C679" t="s">
        <v>305</v>
      </c>
      <c r="D679" t="s">
        <v>12</v>
      </c>
      <c r="E679" t="s">
        <v>7</v>
      </c>
      <c r="F679" s="11">
        <v>45509</v>
      </c>
      <c r="G679" s="7">
        <v>45511</v>
      </c>
      <c r="H679" t="s">
        <v>82</v>
      </c>
      <c r="I679">
        <v>1</v>
      </c>
      <c r="J679" s="5">
        <v>260227.25</v>
      </c>
      <c r="K679" s="13">
        <v>50</v>
      </c>
      <c r="L679" s="5">
        <v>267897.75</v>
      </c>
      <c r="M679" s="5">
        <f>Table1[[#This Row],[Open Value]]/Table1[[#This Row],[Shares]]/Table1[[#This Row],[Multiplier]]</f>
        <v>5204.5450000000001</v>
      </c>
      <c r="N679" s="5">
        <f>Table1[[#This Row],[Close Value]]/Table1[[#This Row],[Shares]]/Table1[[#This Row],[Multiplier]]</f>
        <v>5357.9549999999999</v>
      </c>
      <c r="O679" s="5">
        <f>Table1[[#This Row],[Close Value]]-Table1[[#This Row],[Open Value]]</f>
        <v>7670.5</v>
      </c>
      <c r="P679" s="3">
        <f>Table1[[#This Row],[PnL]]/Table1[[#This Row],[Open Value]]</f>
        <v>2.9476159779577273E-2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303</v>
      </c>
      <c r="D680" t="s">
        <v>16</v>
      </c>
      <c r="E680" t="s">
        <v>5</v>
      </c>
      <c r="F680" s="11">
        <v>45510</v>
      </c>
      <c r="G680" s="7">
        <v>45511</v>
      </c>
      <c r="H680" t="s">
        <v>310</v>
      </c>
      <c r="I680">
        <v>1850</v>
      </c>
      <c r="J680" s="5">
        <f>Table1[[#This Row],[Close Value]]+Table1[[#This Row],[PnL]]</f>
        <v>116777.55</v>
      </c>
      <c r="K680" s="13">
        <v>1</v>
      </c>
      <c r="L680" s="5">
        <v>122253.55</v>
      </c>
      <c r="M680" s="5">
        <f>Table1[[#This Row],[Open Value]]/Table1[[#This Row],[Shares]]/Table1[[#This Row],[Multiplier]]</f>
        <v>63.123000000000005</v>
      </c>
      <c r="N680" s="5">
        <f>Table1[[#This Row],[Close Value]]/Table1[[#This Row],[Shares]]/Table1[[#This Row],[Multiplier]]</f>
        <v>66.082999999999998</v>
      </c>
      <c r="O680" s="5">
        <v>-5476</v>
      </c>
      <c r="P680" s="3">
        <f>Table1[[#This Row],[PnL]]/Table1[[#This Row],[Open Value]]</f>
        <v>-4.6892574814251541E-2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197</v>
      </c>
      <c r="C681" t="s">
        <v>302</v>
      </c>
      <c r="D681" t="s">
        <v>102</v>
      </c>
      <c r="E681" t="s">
        <v>7</v>
      </c>
      <c r="F681" s="11">
        <v>45505</v>
      </c>
      <c r="H681" t="s">
        <v>35</v>
      </c>
      <c r="I681">
        <v>200</v>
      </c>
      <c r="K681" s="13">
        <v>100</v>
      </c>
      <c r="L681" s="5">
        <f>9004.78</f>
        <v>9004.7800000000007</v>
      </c>
      <c r="N681" s="5"/>
      <c r="O681" s="5">
        <f>6536</f>
        <v>6536</v>
      </c>
      <c r="P681" s="3"/>
      <c r="Q681" s="14"/>
      <c r="R681" s="5" t="str">
        <f>TEXT(Table1[[#This Row],[Closing Date]],"yyyy")</f>
        <v>1900</v>
      </c>
      <c r="S681" s="5" t="str">
        <f>TEXT(Table1[[#This Row],[Closing Date]],"mmmm")</f>
        <v>January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H682" t="s">
        <v>309</v>
      </c>
      <c r="I682">
        <v>20</v>
      </c>
      <c r="K682" s="13">
        <v>100</v>
      </c>
      <c r="L682" s="5">
        <f>7296.88</f>
        <v>7296.88</v>
      </c>
      <c r="N682" s="5"/>
      <c r="O682" s="5">
        <f>4877</f>
        <v>4877</v>
      </c>
      <c r="P682" s="3"/>
      <c r="Q682" s="14"/>
      <c r="R682" s="5" t="str">
        <f>TEXT(Table1[[#This Row],[Closing Date]],"yyyy")</f>
        <v>1900</v>
      </c>
      <c r="S682" s="5" t="str">
        <f>TEXT(Table1[[#This Row],[Closing Date]],"mmmm")</f>
        <v>January</v>
      </c>
      <c r="T682" s="5"/>
      <c r="U682" s="5"/>
    </row>
    <row r="683" spans="1:21" x14ac:dyDescent="0.25">
      <c r="B683" t="s">
        <v>201</v>
      </c>
      <c r="C683" t="s">
        <v>302</v>
      </c>
      <c r="D683" t="s">
        <v>12</v>
      </c>
      <c r="E683" t="s">
        <v>7</v>
      </c>
      <c r="F683" s="11">
        <v>45498</v>
      </c>
      <c r="H683" t="s">
        <v>82</v>
      </c>
      <c r="I683">
        <v>1</v>
      </c>
      <c r="K683" s="13">
        <v>50</v>
      </c>
      <c r="N683" s="5"/>
      <c r="P683" s="3"/>
      <c r="Q683" s="14"/>
      <c r="R683" s="5" t="str">
        <f>TEXT(Table1[[#This Row],[Closing Date]],"yyyy")</f>
        <v>1900</v>
      </c>
      <c r="S683" s="5" t="str">
        <f>TEXT(Table1[[#This Row],[Closing Date]],"mmmm")</f>
        <v>January</v>
      </c>
      <c r="T683" s="5"/>
      <c r="U683" s="5"/>
    </row>
    <row r="684" spans="1:21" x14ac:dyDescent="0.25">
      <c r="B684" t="s">
        <v>201</v>
      </c>
      <c r="C684" t="s">
        <v>303</v>
      </c>
      <c r="D684" t="s">
        <v>12</v>
      </c>
      <c r="E684" t="s">
        <v>7</v>
      </c>
      <c r="F684" s="11">
        <v>45498</v>
      </c>
      <c r="H684" t="s">
        <v>82</v>
      </c>
      <c r="I684">
        <v>1</v>
      </c>
      <c r="K684" s="13">
        <v>50</v>
      </c>
      <c r="N684" s="5"/>
      <c r="P684" s="3"/>
      <c r="Q684" s="14"/>
      <c r="R684" s="5" t="str">
        <f>TEXT(Table1[[#This Row],[Closing Date]],"yyyy")</f>
        <v>1900</v>
      </c>
      <c r="S684" s="5" t="str">
        <f>TEXT(Table1[[#This Row],[Closing Date]],"mmmm")</f>
        <v>January</v>
      </c>
      <c r="T684" s="5"/>
      <c r="U684" s="5"/>
    </row>
    <row r="685" spans="1:21" x14ac:dyDescent="0.25">
      <c r="B685" t="s">
        <v>201</v>
      </c>
      <c r="C685" t="s">
        <v>303</v>
      </c>
      <c r="D685" t="s">
        <v>12</v>
      </c>
      <c r="E685" t="s">
        <v>7</v>
      </c>
      <c r="F685" s="11">
        <v>45510</v>
      </c>
      <c r="H685" t="s">
        <v>90</v>
      </c>
      <c r="I685">
        <v>2</v>
      </c>
      <c r="J685" s="5">
        <v>720534.4</v>
      </c>
      <c r="K685" s="13">
        <v>5</v>
      </c>
      <c r="L685" s="5">
        <f>370612.8</f>
        <v>370612.8</v>
      </c>
      <c r="N685" s="5"/>
      <c r="P685" s="3"/>
      <c r="Q685" s="14"/>
      <c r="R685" s="5" t="str">
        <f>TEXT(Table1[[#This Row],[Closing Date]],"yyyy")</f>
        <v>1900</v>
      </c>
      <c r="S685" s="5" t="str">
        <f>TEXT(Table1[[#This Row],[Closing Date]],"mmmm")</f>
        <v>January</v>
      </c>
      <c r="T685" s="5"/>
      <c r="U685" s="5"/>
    </row>
    <row r="686" spans="1:21" x14ac:dyDescent="0.25">
      <c r="A686" t="s">
        <v>316</v>
      </c>
      <c r="B686" t="s">
        <v>197</v>
      </c>
      <c r="C686" t="s">
        <v>302</v>
      </c>
      <c r="D686" t="s">
        <v>97</v>
      </c>
      <c r="E686" t="s">
        <v>7</v>
      </c>
      <c r="F686" s="11">
        <v>45510</v>
      </c>
      <c r="H686" t="s">
        <v>41</v>
      </c>
      <c r="I686">
        <v>20</v>
      </c>
      <c r="J686" s="5">
        <v>7022.41</v>
      </c>
      <c r="K686" s="13">
        <v>100</v>
      </c>
      <c r="N686" s="5"/>
      <c r="P686" s="3"/>
      <c r="Q686" s="14"/>
      <c r="R686" s="5" t="str">
        <f>TEXT(Table1[[#This Row],[Closing Date]],"yyyy")</f>
        <v>1900</v>
      </c>
      <c r="S686" s="5" t="str">
        <f>TEXT(Table1[[#This Row],[Closing Date]],"mmmm")</f>
        <v>January</v>
      </c>
      <c r="T686" s="5"/>
      <c r="U686" s="5"/>
    </row>
    <row r="687" spans="1:21" x14ac:dyDescent="0.25">
      <c r="B687" t="s">
        <v>201</v>
      </c>
      <c r="C687" t="s">
        <v>303</v>
      </c>
      <c r="D687" t="s">
        <v>16</v>
      </c>
      <c r="E687" t="s">
        <v>7</v>
      </c>
      <c r="F687" s="11">
        <v>45510</v>
      </c>
      <c r="H687" t="s">
        <v>153</v>
      </c>
      <c r="I687">
        <v>1400</v>
      </c>
      <c r="J687" s="5">
        <v>41517</v>
      </c>
      <c r="K687" s="13">
        <v>1</v>
      </c>
      <c r="N687" s="5"/>
      <c r="P687" s="3"/>
      <c r="Q687" s="14"/>
      <c r="R687" s="5" t="str">
        <f>TEXT(Table1[[#This Row],[Closing Date]],"yyyy")</f>
        <v>1900</v>
      </c>
      <c r="S687" s="5" t="str">
        <f>TEXT(Table1[[#This Row],[Closing Date]],"mmmm")</f>
        <v>January</v>
      </c>
      <c r="T687" s="5"/>
      <c r="U687" s="5"/>
    </row>
    <row r="688" spans="1:21" x14ac:dyDescent="0.25">
      <c r="B688" t="s">
        <v>201</v>
      </c>
      <c r="C688" t="s">
        <v>303</v>
      </c>
      <c r="D688" t="s">
        <v>16</v>
      </c>
      <c r="E688" t="s">
        <v>7</v>
      </c>
      <c r="F688" s="11">
        <v>45511</v>
      </c>
      <c r="H688" t="s">
        <v>312</v>
      </c>
      <c r="I688">
        <v>1600</v>
      </c>
      <c r="J688" s="5">
        <v>32896</v>
      </c>
      <c r="K688" s="13">
        <v>1</v>
      </c>
      <c r="L688" s="16"/>
      <c r="N688" s="5"/>
      <c r="P688" s="3"/>
      <c r="Q688" s="14">
        <f>O688+Q687</f>
        <v>0</v>
      </c>
      <c r="R688" s="16" t="str">
        <f>TEXT(Table1[[#This Row],[Closing Date]],"yyyy")</f>
        <v>1900</v>
      </c>
      <c r="S688" s="16" t="str">
        <f>TEXT(Table1[[#This Row],[Closing Date]],"mmmm")</f>
        <v>January</v>
      </c>
      <c r="T688" s="5"/>
      <c r="U688" s="5"/>
    </row>
    <row r="689" spans="1:21" x14ac:dyDescent="0.25">
      <c r="A689" t="s">
        <v>317</v>
      </c>
      <c r="B689" t="s">
        <v>197</v>
      </c>
      <c r="C689" t="s">
        <v>303</v>
      </c>
      <c r="D689" t="s">
        <v>102</v>
      </c>
      <c r="E689" t="s">
        <v>7</v>
      </c>
      <c r="F689" s="11">
        <v>45509</v>
      </c>
      <c r="H689" t="s">
        <v>313</v>
      </c>
      <c r="I689">
        <v>50</v>
      </c>
      <c r="J689" s="5">
        <v>4989</v>
      </c>
      <c r="K689" s="13">
        <v>100</v>
      </c>
      <c r="L689" s="16"/>
      <c r="N689" s="5"/>
      <c r="P689" s="3"/>
      <c r="Q689" s="14">
        <f>O689+Q688</f>
        <v>0</v>
      </c>
      <c r="R689" s="16" t="str">
        <f>TEXT(Table1[[#This Row],[Closing Date]],"yyyy")</f>
        <v>1900</v>
      </c>
      <c r="S689" s="16" t="str">
        <f>TEXT(Table1[[#This Row],[Closing Date]],"mmmm")</f>
        <v>January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97</v>
      </c>
      <c r="E690" t="s">
        <v>7</v>
      </c>
      <c r="F690" s="11">
        <v>45492</v>
      </c>
      <c r="H690" t="s">
        <v>206</v>
      </c>
      <c r="I690">
        <v>3</v>
      </c>
      <c r="J690" s="5">
        <v>3600</v>
      </c>
      <c r="K690" s="13">
        <v>100</v>
      </c>
      <c r="L690" s="16"/>
      <c r="N690" s="5"/>
      <c r="P690" s="3"/>
      <c r="Q690" s="14">
        <f t="shared" ref="Q690:Q693" si="0">O690+Q689</f>
        <v>0</v>
      </c>
      <c r="R690" s="16" t="str">
        <f>TEXT(Table1[[#This Row],[Closing Date]],"yyyy")</f>
        <v>1900</v>
      </c>
      <c r="S690" s="16" t="str">
        <f>TEXT(Table1[[#This Row],[Closing Date]],"mmmm")</f>
        <v>January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97</v>
      </c>
      <c r="E691" t="s">
        <v>7</v>
      </c>
      <c r="F691" s="11">
        <v>45457</v>
      </c>
      <c r="H691" t="s">
        <v>96</v>
      </c>
      <c r="I691">
        <v>4</v>
      </c>
      <c r="J691" s="5">
        <v>3406</v>
      </c>
      <c r="K691" s="13">
        <v>100</v>
      </c>
      <c r="L691" s="16"/>
      <c r="N691" s="5"/>
      <c r="P691" s="3"/>
      <c r="Q691" s="14">
        <f t="shared" si="0"/>
        <v>0</v>
      </c>
      <c r="R691" s="16" t="str">
        <f>TEXT(Table1[[#This Row],[Closing Date]],"yyyy")</f>
        <v>1900</v>
      </c>
      <c r="S691" s="16" t="str">
        <f>TEXT(Table1[[#This Row],[Closing Date]],"mmmm")</f>
        <v>January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45485</v>
      </c>
      <c r="H692" t="s">
        <v>277</v>
      </c>
      <c r="I692">
        <v>4</v>
      </c>
      <c r="J692" s="5">
        <v>5610</v>
      </c>
      <c r="K692" s="13">
        <v>100</v>
      </c>
      <c r="L692" s="16">
        <f>3200</f>
        <v>3200</v>
      </c>
      <c r="N692" s="5"/>
      <c r="P692" s="3"/>
      <c r="Q692" s="14">
        <f t="shared" si="0"/>
        <v>0</v>
      </c>
      <c r="R692" s="16" t="str">
        <f>TEXT(Table1[[#This Row],[Closing Date]],"yyyy")</f>
        <v>1900</v>
      </c>
      <c r="S692" s="16" t="str">
        <f>TEXT(Table1[[#This Row],[Closing Date]],"mmmm")</f>
        <v>January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45503</v>
      </c>
      <c r="H693" t="s">
        <v>256</v>
      </c>
      <c r="I693">
        <v>15</v>
      </c>
      <c r="J693" s="5">
        <v>7316</v>
      </c>
      <c r="K693" s="13">
        <v>100</v>
      </c>
      <c r="L693" s="16"/>
      <c r="N693" s="5"/>
      <c r="P693" s="3"/>
      <c r="Q693" s="14">
        <f t="shared" si="0"/>
        <v>0</v>
      </c>
      <c r="R693" s="16" t="str">
        <f>TEXT(Table1[[#This Row],[Closing Date]],"yyyy")</f>
        <v>1900</v>
      </c>
      <c r="S693" s="16" t="str">
        <f>TEXT(Table1[[#This Row],[Closing Date]],"mmmm")</f>
        <v>January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97</v>
      </c>
      <c r="E694" t="s">
        <v>7</v>
      </c>
      <c r="F694" s="11">
        <v>45488</v>
      </c>
      <c r="H694" t="s">
        <v>159</v>
      </c>
      <c r="I694">
        <v>2</v>
      </c>
      <c r="J694" s="5">
        <v>7004</v>
      </c>
      <c r="K694" s="13">
        <v>100</v>
      </c>
      <c r="L694" s="16"/>
      <c r="N694" s="5"/>
      <c r="P694" s="3"/>
      <c r="Q694" s="14">
        <f>O694+Q693</f>
        <v>0</v>
      </c>
      <c r="R694" s="16" t="str">
        <f>TEXT(Table1[[#This Row],[Closing Date]],"yyyy")</f>
        <v>1900</v>
      </c>
      <c r="S694" s="16" t="str">
        <f>TEXT(Table1[[#This Row],[Closing Date]],"mmmm")</f>
        <v>January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45501</v>
      </c>
      <c r="H695" t="s">
        <v>10</v>
      </c>
      <c r="I695">
        <v>400</v>
      </c>
      <c r="J695" s="5">
        <v>5475</v>
      </c>
      <c r="K695" s="13">
        <v>100</v>
      </c>
      <c r="L695" s="16"/>
      <c r="N695" s="5"/>
      <c r="P695" s="3"/>
      <c r="Q695" s="14">
        <f>O695+Q694</f>
        <v>0</v>
      </c>
      <c r="R695" s="16" t="str">
        <f>TEXT(Table1[[#This Row],[Closing Date]],"yyyy")</f>
        <v>1900</v>
      </c>
      <c r="S695" s="16" t="str">
        <f>TEXT(Table1[[#This Row],[Closing Date]],"mmmm")</f>
        <v>January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45500</v>
      </c>
      <c r="H696" t="s">
        <v>10</v>
      </c>
      <c r="I696">
        <v>300</v>
      </c>
      <c r="J696" s="5">
        <v>3508</v>
      </c>
      <c r="K696" s="13">
        <v>100</v>
      </c>
      <c r="L696" s="16"/>
      <c r="N696" s="5"/>
      <c r="P696" s="3"/>
      <c r="Q696" s="14">
        <f t="shared" ref="Q696:Q701" si="1">O696+Q695</f>
        <v>0</v>
      </c>
      <c r="R696" s="16" t="str">
        <f>TEXT(Table1[[#This Row],[Closing Date]],"yyyy")</f>
        <v>1900</v>
      </c>
      <c r="S696" s="16" t="str">
        <f>TEXT(Table1[[#This Row],[Closing Date]],"mmmm")</f>
        <v>January</v>
      </c>
      <c r="T696" s="5"/>
      <c r="U696" s="5"/>
    </row>
    <row r="697" spans="1:21" x14ac:dyDescent="0.25">
      <c r="A697" t="s">
        <v>318</v>
      </c>
      <c r="B697" t="s">
        <v>197</v>
      </c>
      <c r="C697" t="s">
        <v>302</v>
      </c>
      <c r="D697" t="s">
        <v>102</v>
      </c>
      <c r="E697" t="s">
        <v>7</v>
      </c>
      <c r="F697" s="11">
        <v>45510</v>
      </c>
      <c r="H697" t="s">
        <v>266</v>
      </c>
      <c r="I697">
        <v>300</v>
      </c>
      <c r="J697" s="5">
        <v>2864.05</v>
      </c>
      <c r="K697" s="13">
        <v>100</v>
      </c>
      <c r="L697" s="16"/>
      <c r="N697" s="5"/>
      <c r="P697" s="3"/>
      <c r="Q697" s="14">
        <f t="shared" si="1"/>
        <v>0</v>
      </c>
      <c r="R697" s="16" t="str">
        <f>TEXT(Table1[[#This Row],[Closing Date]],"yyyy")</f>
        <v>1900</v>
      </c>
      <c r="S697" s="16" t="str">
        <f>TEXT(Table1[[#This Row],[Closing Date]],"mmmm")</f>
        <v>January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302</v>
      </c>
      <c r="D698" t="s">
        <v>102</v>
      </c>
      <c r="E698" t="s">
        <v>7</v>
      </c>
      <c r="F698" s="11">
        <v>45498</v>
      </c>
      <c r="H698" t="s">
        <v>37</v>
      </c>
      <c r="I698">
        <v>100</v>
      </c>
      <c r="J698" s="5">
        <f>2258+4987</f>
        <v>7245</v>
      </c>
      <c r="K698" s="13">
        <v>100</v>
      </c>
      <c r="L698" s="16"/>
      <c r="N698" s="5"/>
      <c r="P698" s="3"/>
      <c r="Q698" s="14">
        <f t="shared" si="1"/>
        <v>0</v>
      </c>
      <c r="R698" s="16" t="str">
        <f>TEXT(Table1[[#This Row],[Closing Date]],"yyyy")</f>
        <v>1900</v>
      </c>
      <c r="S698" s="16" t="str">
        <f>TEXT(Table1[[#This Row],[Closing Date]],"mmmm")</f>
        <v>January</v>
      </c>
      <c r="T698" s="5"/>
      <c r="U698" s="5"/>
    </row>
    <row r="699" spans="1:21" x14ac:dyDescent="0.25">
      <c r="A699" t="s">
        <v>319</v>
      </c>
      <c r="B699" t="s">
        <v>197</v>
      </c>
      <c r="C699" t="s">
        <v>302</v>
      </c>
      <c r="D699" t="s">
        <v>102</v>
      </c>
      <c r="E699" t="s">
        <v>7</v>
      </c>
      <c r="F699" s="11">
        <v>45505</v>
      </c>
      <c r="H699" t="s">
        <v>133</v>
      </c>
      <c r="I699">
        <v>20</v>
      </c>
      <c r="J699" s="5">
        <v>6492</v>
      </c>
      <c r="K699" s="13">
        <v>100</v>
      </c>
      <c r="L699" s="16"/>
      <c r="N699" s="5"/>
      <c r="P699" s="3"/>
      <c r="Q699" s="14">
        <f t="shared" si="1"/>
        <v>0</v>
      </c>
      <c r="R699" s="16" t="str">
        <f>TEXT(Table1[[#This Row],[Closing Date]],"yyyy")</f>
        <v>1900</v>
      </c>
      <c r="S699" s="16" t="str">
        <f>TEXT(Table1[[#This Row],[Closing Date]],"mmmm")</f>
        <v>January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102</v>
      </c>
      <c r="E700" t="s">
        <v>7</v>
      </c>
      <c r="F700" s="11">
        <v>45459</v>
      </c>
      <c r="H700" t="s">
        <v>320</v>
      </c>
      <c r="I700">
        <v>15</v>
      </c>
      <c r="J700" s="5">
        <v>4810</v>
      </c>
      <c r="K700" s="13">
        <v>100</v>
      </c>
      <c r="L700" s="16"/>
      <c r="N700" s="5"/>
      <c r="P700" s="3"/>
      <c r="Q700" s="14">
        <f t="shared" si="1"/>
        <v>0</v>
      </c>
      <c r="R700" s="16" t="str">
        <f>TEXT(Table1[[#This Row],[Closing Date]],"yyyy")</f>
        <v>1900</v>
      </c>
      <c r="S700" s="16" t="str">
        <f>TEXT(Table1[[#This Row],[Closing Date]],"mmmm")</f>
        <v>January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45499</v>
      </c>
      <c r="H701" t="s">
        <v>206</v>
      </c>
      <c r="I701">
        <v>4</v>
      </c>
      <c r="J701" s="5">
        <v>2804</v>
      </c>
      <c r="K701" s="13">
        <v>100</v>
      </c>
      <c r="L701" s="16"/>
      <c r="N701" s="5"/>
      <c r="P701" s="3"/>
      <c r="Q701" s="14">
        <f t="shared" si="1"/>
        <v>0</v>
      </c>
      <c r="R701" s="16" t="str">
        <f>TEXT(Table1[[#This Row],[Closing Date]],"yyyy")</f>
        <v>1900</v>
      </c>
      <c r="S701" s="16" t="str">
        <f>TEXT(Table1[[#This Row],[Closing Date]],"mmmm")</f>
        <v>January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102</v>
      </c>
      <c r="E702" t="s">
        <v>7</v>
      </c>
      <c r="F702" s="18">
        <v>45458</v>
      </c>
      <c r="H702" t="s">
        <v>156</v>
      </c>
      <c r="I702">
        <v>9</v>
      </c>
      <c r="J702" s="5">
        <v>3608</v>
      </c>
      <c r="K702" s="19">
        <v>100</v>
      </c>
    </row>
    <row r="703" spans="1:21" x14ac:dyDescent="0.25">
      <c r="A703" t="s">
        <v>315</v>
      </c>
      <c r="B703" t="s">
        <v>197</v>
      </c>
      <c r="C703" t="s">
        <v>302</v>
      </c>
      <c r="D703" t="s">
        <v>97</v>
      </c>
      <c r="E703" t="s">
        <v>7</v>
      </c>
      <c r="F703" s="11">
        <v>45501</v>
      </c>
      <c r="H703" t="s">
        <v>52</v>
      </c>
      <c r="I703">
        <v>20</v>
      </c>
      <c r="J703" s="5">
        <v>3442</v>
      </c>
      <c r="K703" s="19">
        <v>100</v>
      </c>
    </row>
    <row r="704" spans="1:21" x14ac:dyDescent="0.25">
      <c r="A704" t="s">
        <v>321</v>
      </c>
      <c r="B704" t="s">
        <v>197</v>
      </c>
      <c r="C704" s="15" t="s">
        <v>306</v>
      </c>
      <c r="D704" t="s">
        <v>102</v>
      </c>
      <c r="E704" t="s">
        <v>7</v>
      </c>
      <c r="F704" s="11">
        <v>45509</v>
      </c>
      <c r="H704" t="s">
        <v>100</v>
      </c>
      <c r="I704">
        <v>10</v>
      </c>
      <c r="J704" s="5">
        <v>10007</v>
      </c>
      <c r="K704" s="19">
        <v>100</v>
      </c>
    </row>
  </sheetData>
  <sortState xmlns:xlrd2="http://schemas.microsoft.com/office/spreadsheetml/2017/richdata2" ref="B2:P414">
    <sortCondition ref="G1:G414"/>
  </sortState>
  <phoneticPr fontId="3" type="noConversion"/>
  <conditionalFormatting sqref="Q1 P677 O1:O701 P679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2024-08-07T14:37:12Z</dcterms:modified>
</cp:coreProperties>
</file>